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pivotTables/pivotTable1.xml" ContentType="application/vnd.openxmlformats-officedocument.spreadsheetml.pivotTable+xml"/>
  <Override PartName="/xl/drawings/drawing18.xml" ContentType="application/vnd.openxmlformats-officedocument.drawing+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drawings/drawing2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omments1.xml" ContentType="application/vnd.openxmlformats-officedocument.spreadsheetml.comments+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0308" yWindow="-12" windowWidth="10200" windowHeight="8172" tabRatio="839"/>
  </bookViews>
  <sheets>
    <sheet name="Summary Page" sheetId="30" r:id="rId1"/>
    <sheet name="Surplus" sheetId="29" r:id="rId2"/>
    <sheet name="NEW Risk Ratings" sheetId="129" state="hidden" r:id="rId3"/>
    <sheet name="OLD Risk Ratings" sheetId="20" state="hidden" r:id="rId4"/>
    <sheet name="TDA" sheetId="121" state="hidden" r:id="rId5"/>
    <sheet name="FRR" sheetId="122" state="hidden" r:id="rId6"/>
    <sheet name="COSratings" sheetId="128" state="hidden" r:id="rId7"/>
    <sheet name="COSratings calcs" sheetId="131" state="hidden" r:id="rId8"/>
    <sheet name="FRR Calcs" sheetId="137" state="hidden" r:id="rId9"/>
    <sheet name="Cash" sheetId="32" r:id="rId10"/>
    <sheet name="Financial Risk metrics" sheetId="151" state="hidden" r:id="rId11"/>
    <sheet name="Rolling Cashflow" sheetId="142" r:id="rId12"/>
    <sheet name="Income" sheetId="41" r:id="rId13"/>
    <sheet name="Contract Perf (old)" sheetId="130" state="hidden" r:id="rId14"/>
    <sheet name="Contract Performance" sheetId="138" state="hidden" r:id="rId15"/>
    <sheet name="Operating Costs" sheetId="44" r:id="rId16"/>
    <sheet name="Contract Performance OLD" sheetId="123" state="hidden" r:id="rId17"/>
    <sheet name="Finance" sheetId="124" state="hidden" r:id="rId18"/>
    <sheet name="contract Monitoring Month 3" sheetId="125" state="hidden" r:id="rId19"/>
    <sheet name="Contract Performance (old)" sheetId="117" state="hidden" r:id="rId20"/>
    <sheet name="Sheet5" sheetId="136" state="hidden" r:id="rId21"/>
    <sheet name="contract Monitoring" sheetId="132" state="hidden" r:id="rId22"/>
    <sheet name="SOFP" sheetId="75" r:id="rId23"/>
    <sheet name="Debtors" sheetId="86" r:id="rId24"/>
    <sheet name="Capital" sheetId="35" r:id="rId25"/>
    <sheet name="Specialty Performance" sheetId="107" state="hidden" r:id="rId26"/>
    <sheet name="Divisional Performance" sheetId="112" state="hidden" r:id="rId27"/>
    <sheet name="FRR 2" sheetId="120" state="hidden" r:id="rId28"/>
    <sheet name="Forward Financial Risk" sheetId="17" state="hidden" r:id="rId29"/>
    <sheet name="Tips" sheetId="82" state="hidden" r:id="rId30"/>
    <sheet name="Cost Improvement Prog" sheetId="149" r:id="rId31"/>
    <sheet name="IncomeandExpenditure Data" sheetId="83" state="hidden" r:id="rId32"/>
    <sheet name="Monthly workings for CIPs" sheetId="150" state="hidden" r:id="rId33"/>
    <sheet name="Chart Data" sheetId="88" r:id="rId34"/>
    <sheet name="Manual adjs " sheetId="141" state="hidden" r:id="rId35"/>
    <sheet name="KN Baseplan" sheetId="144" state="hidden" r:id="rId36"/>
    <sheet name="KN Forecast Actuals" sheetId="143" state="hidden" r:id="rId37"/>
    <sheet name="IncomeandExpenditure Data2" sheetId="145" state="hidden" r:id="rId38"/>
    <sheet name="Balance Sheet Data" sheetId="84" state="hidden" r:id="rId39"/>
    <sheet name="Cash Data" sheetId="65" state="hidden" r:id="rId40"/>
    <sheet name="Capital Data" sheetId="74" state="hidden" r:id="rId41"/>
    <sheet name="FRR SHAs" sheetId="101" state="hidden" r:id="rId42"/>
    <sheet name="Normalised data" sheetId="97" state="hidden" r:id="rId43"/>
    <sheet name="Workings 1" sheetId="22" state="hidden" r:id="rId44"/>
    <sheet name="Sheet1" sheetId="113" state="hidden" r:id="rId45"/>
    <sheet name="Deanery Forecast" sheetId="126" state="hidden" r:id="rId46"/>
    <sheet name="Deanery Budget" sheetId="127" state="hidden" r:id="rId47"/>
    <sheet name="Sheet3" sheetId="134" state="hidden" r:id="rId48"/>
    <sheet name="Sheet4" sheetId="139" state="hidden" r:id="rId49"/>
  </sheets>
  <externalReferences>
    <externalReference r:id="rId50"/>
    <externalReference r:id="rId51"/>
    <externalReference r:id="rId52"/>
    <externalReference r:id="rId53"/>
    <externalReference r:id="rId54"/>
  </externalReferences>
  <definedNames>
    <definedName name="__123Graph_A" localSheetId="13" hidden="1">'[1]2002PCTs'!#REF!</definedName>
    <definedName name="__123Graph_A" localSheetId="14" hidden="1">'[1]2002PCTs'!#REF!</definedName>
    <definedName name="__123Graph_A" localSheetId="19" hidden="1">'[1]2002PCTs'!#REF!</definedName>
    <definedName name="__123Graph_A" localSheetId="16" hidden="1">'[1]2002PCTs'!#REF!</definedName>
    <definedName name="__123Graph_B" localSheetId="13" hidden="1">'[2]Table 5.8'!#REF!</definedName>
    <definedName name="__123Graph_B" localSheetId="14" hidden="1">'[2]Table 5.8'!#REF!</definedName>
    <definedName name="__123Graph_B" localSheetId="19" hidden="1">'[2]Table 5.8'!#REF!</definedName>
    <definedName name="__123Graph_B" localSheetId="16" hidden="1">'[2]Table 5.8'!#REF!</definedName>
    <definedName name="__123Graph_C" localSheetId="13" hidden="1">'[2]Table 5.8'!#REF!</definedName>
    <definedName name="__123Graph_C" localSheetId="14" hidden="1">'[2]Table 5.8'!#REF!</definedName>
    <definedName name="__123Graph_C" localSheetId="19" hidden="1">'[2]Table 5.8'!#REF!</definedName>
    <definedName name="__123Graph_C" localSheetId="16" hidden="1">'[2]Table 5.8'!#REF!</definedName>
    <definedName name="__123Graph_X" localSheetId="13" hidden="1">'[2]Table 5.8'!#REF!</definedName>
    <definedName name="__123Graph_X" localSheetId="14" hidden="1">'[2]Table 5.8'!#REF!</definedName>
    <definedName name="__123Graph_X" localSheetId="19" hidden="1">'[2]Table 5.8'!#REF!</definedName>
    <definedName name="__123Graph_X" localSheetId="16" hidden="1">'[2]Table 5.8'!#REF!</definedName>
    <definedName name="__net1" localSheetId="21" hidden="1">{"NET",#N/A,FALSE,"401C11"}</definedName>
    <definedName name="__net1" localSheetId="13" hidden="1">{"NET",#N/A,FALSE,"401C11"}</definedName>
    <definedName name="__net1" localSheetId="14" hidden="1">{"NET",#N/A,FALSE,"401C11"}</definedName>
    <definedName name="__net1" localSheetId="19" hidden="1">{"NET",#N/A,FALSE,"401C11"}</definedName>
    <definedName name="__net1" localSheetId="16" hidden="1">{"NET",#N/A,FALSE,"401C11"}</definedName>
    <definedName name="__net1" localSheetId="7" hidden="1">{"NET",#N/A,FALSE,"401C11"}</definedName>
    <definedName name="__net1" localSheetId="26" hidden="1">{"NET",#N/A,FALSE,"401C11"}</definedName>
    <definedName name="__net1" localSheetId="5" hidden="1">{"NET",#N/A,FALSE,"401C11"}</definedName>
    <definedName name="__net1" localSheetId="27" hidden="1">{"NET",#N/A,FALSE,"401C11"}</definedName>
    <definedName name="__net1" localSheetId="41" hidden="1">{"NET",#N/A,FALSE,"401C11"}</definedName>
    <definedName name="__net1" localSheetId="2" hidden="1">{"NET",#N/A,FALSE,"401C11"}</definedName>
    <definedName name="__net1" localSheetId="4" hidden="1">{"NET",#N/A,FALSE,"401C11"}</definedName>
    <definedName name="_1_0__123Grap" localSheetId="13" hidden="1">#REF!</definedName>
    <definedName name="_1_0__123Grap" localSheetId="14" hidden="1">#REF!</definedName>
    <definedName name="_10_0_S" localSheetId="19" hidden="1">#REF!</definedName>
    <definedName name="_11_0_S" localSheetId="16" hidden="1">#REF!</definedName>
    <definedName name="_2_0__123Grap" localSheetId="19" hidden="1">#REF!</definedName>
    <definedName name="_3_0__123Grap" localSheetId="16" hidden="1">#REF!</definedName>
    <definedName name="_5_0__123Grap" localSheetId="13" hidden="1">#REF!</definedName>
    <definedName name="_5_0__123Grap" localSheetId="14" hidden="1">#REF!</definedName>
    <definedName name="_6_0__123Grap" localSheetId="19" hidden="1">#REF!</definedName>
    <definedName name="_7_0__123Grap" localSheetId="16" hidden="1">#REF!</definedName>
    <definedName name="_9_0_S" localSheetId="13" hidden="1">#REF!</definedName>
    <definedName name="_9_0_S" localSheetId="14" hidden="1">#REF!</definedName>
    <definedName name="_Key1" localSheetId="13" hidden="1">#REF!</definedName>
    <definedName name="_Key1" localSheetId="14" hidden="1">#REF!</definedName>
    <definedName name="_Key1" localSheetId="19" hidden="1">#REF!</definedName>
    <definedName name="_Key1" localSheetId="16" hidden="1">#REF!</definedName>
    <definedName name="_net1" localSheetId="21" hidden="1">{"NET",#N/A,FALSE,"401C11"}</definedName>
    <definedName name="_net1" localSheetId="13" hidden="1">{"NET",#N/A,FALSE,"401C11"}</definedName>
    <definedName name="_net1" localSheetId="14" hidden="1">{"NET",#N/A,FALSE,"401C11"}</definedName>
    <definedName name="_net1" localSheetId="19" hidden="1">{"NET",#N/A,FALSE,"401C11"}</definedName>
    <definedName name="_net1" localSheetId="16" hidden="1">{"NET",#N/A,FALSE,"401C11"}</definedName>
    <definedName name="_net1" localSheetId="7" hidden="1">{"NET",#N/A,FALSE,"401C11"}</definedName>
    <definedName name="_net1" localSheetId="26" hidden="1">{"NET",#N/A,FALSE,"401C11"}</definedName>
    <definedName name="_net1" localSheetId="5" hidden="1">{"NET",#N/A,FALSE,"401C11"}</definedName>
    <definedName name="_net1" localSheetId="27" hidden="1">{"NET",#N/A,FALSE,"401C11"}</definedName>
    <definedName name="_net1" localSheetId="41" hidden="1">{"NET",#N/A,FALSE,"401C11"}</definedName>
    <definedName name="_net1" localSheetId="2" hidden="1">{"NET",#N/A,FALSE,"401C11"}</definedName>
    <definedName name="_net1" localSheetId="4" hidden="1">{"NET",#N/A,FALSE,"401C11"}</definedName>
    <definedName name="_Order1" hidden="1">0</definedName>
    <definedName name="_Sort" localSheetId="13" hidden="1">#REF!</definedName>
    <definedName name="_Sort" localSheetId="14" hidden="1">#REF!</definedName>
    <definedName name="_Sort" localSheetId="19" hidden="1">#REF!</definedName>
    <definedName name="_Sort" localSheetId="16" hidden="1">#REF!</definedName>
    <definedName name="a" localSheetId="21" hidden="1">{"CHARGE",#N/A,FALSE,"401C11"}</definedName>
    <definedName name="a" localSheetId="13" hidden="1">{"CHARGE",#N/A,FALSE,"401C11"}</definedName>
    <definedName name="a" localSheetId="14" hidden="1">{"CHARGE",#N/A,FALSE,"401C11"}</definedName>
    <definedName name="a" localSheetId="19" hidden="1">{"CHARGE",#N/A,FALSE,"401C11"}</definedName>
    <definedName name="a" localSheetId="16" hidden="1">{"CHARGE",#N/A,FALSE,"401C11"}</definedName>
    <definedName name="a" localSheetId="7" hidden="1">{"CHARGE",#N/A,FALSE,"401C11"}</definedName>
    <definedName name="a" localSheetId="26" hidden="1">{"CHARGE",#N/A,FALSE,"401C11"}</definedName>
    <definedName name="a" localSheetId="5" hidden="1">{"CHARGE",#N/A,FALSE,"401C11"}</definedName>
    <definedName name="a" localSheetId="27" hidden="1">{"CHARGE",#N/A,FALSE,"401C11"}</definedName>
    <definedName name="a" localSheetId="41" hidden="1">{"CHARGE",#N/A,FALSE,"401C11"}</definedName>
    <definedName name="a" localSheetId="2" hidden="1">{"CHARGE",#N/A,FALSE,"401C11"}</definedName>
    <definedName name="a" localSheetId="4" hidden="1">{"CHARGE",#N/A,FALSE,"401C11"}</definedName>
    <definedName name="aa">#REF!</definedName>
    <definedName name="aaa" localSheetId="21" hidden="1">{"CHARGE",#N/A,FALSE,"401C11"}</definedName>
    <definedName name="aaa" localSheetId="13" hidden="1">{"CHARGE",#N/A,FALSE,"401C11"}</definedName>
    <definedName name="aaa" localSheetId="14" hidden="1">{"CHARGE",#N/A,FALSE,"401C11"}</definedName>
    <definedName name="aaa" localSheetId="19" hidden="1">{"CHARGE",#N/A,FALSE,"401C11"}</definedName>
    <definedName name="aaa" localSheetId="16" hidden="1">{"CHARGE",#N/A,FALSE,"401C11"}</definedName>
    <definedName name="aaa" localSheetId="7" hidden="1">{"CHARGE",#N/A,FALSE,"401C11"}</definedName>
    <definedName name="aaa" localSheetId="26" hidden="1">{"CHARGE",#N/A,FALSE,"401C11"}</definedName>
    <definedName name="aaa" localSheetId="5" hidden="1">{"CHARGE",#N/A,FALSE,"401C11"}</definedName>
    <definedName name="aaa" localSheetId="27" hidden="1">{"CHARGE",#N/A,FALSE,"401C11"}</definedName>
    <definedName name="aaa" localSheetId="41" hidden="1">{"CHARGE",#N/A,FALSE,"401C11"}</definedName>
    <definedName name="aaa" localSheetId="2" hidden="1">{"CHARGE",#N/A,FALSE,"401C11"}</definedName>
    <definedName name="aaa" localSheetId="4" hidden="1">{"CHARGE",#N/A,FALSE,"401C11"}</definedName>
    <definedName name="aaaa" localSheetId="21" hidden="1">{"CHARGE",#N/A,FALSE,"401C11"}</definedName>
    <definedName name="aaaa" localSheetId="13" hidden="1">{"CHARGE",#N/A,FALSE,"401C11"}</definedName>
    <definedName name="aaaa" localSheetId="14" hidden="1">{"CHARGE",#N/A,FALSE,"401C11"}</definedName>
    <definedName name="aaaa" localSheetId="19" hidden="1">{"CHARGE",#N/A,FALSE,"401C11"}</definedName>
    <definedName name="aaaa" localSheetId="16" hidden="1">{"CHARGE",#N/A,FALSE,"401C11"}</definedName>
    <definedName name="aaaa" localSheetId="7" hidden="1">{"CHARGE",#N/A,FALSE,"401C11"}</definedName>
    <definedName name="aaaa" localSheetId="26" hidden="1">{"CHARGE",#N/A,FALSE,"401C11"}</definedName>
    <definedName name="aaaa" localSheetId="5" hidden="1">{"CHARGE",#N/A,FALSE,"401C11"}</definedName>
    <definedName name="aaaa" localSheetId="27" hidden="1">{"CHARGE",#N/A,FALSE,"401C11"}</definedName>
    <definedName name="aaaa" localSheetId="41" hidden="1">{"CHARGE",#N/A,FALSE,"401C11"}</definedName>
    <definedName name="aaaa" localSheetId="2" hidden="1">{"CHARGE",#N/A,FALSE,"401C11"}</definedName>
    <definedName name="aaaa" localSheetId="4" hidden="1">{"CHARGE",#N/A,FALSE,"401C11"}</definedName>
    <definedName name="adbr" localSheetId="21" hidden="1">{"CHARGE",#N/A,FALSE,"401C11"}</definedName>
    <definedName name="adbr" localSheetId="13" hidden="1">{"CHARGE",#N/A,FALSE,"401C11"}</definedName>
    <definedName name="adbr" localSheetId="14" hidden="1">{"CHARGE",#N/A,FALSE,"401C11"}</definedName>
    <definedName name="adbr" localSheetId="19" hidden="1">{"CHARGE",#N/A,FALSE,"401C11"}</definedName>
    <definedName name="adbr" localSheetId="16" hidden="1">{"CHARGE",#N/A,FALSE,"401C11"}</definedName>
    <definedName name="adbr" localSheetId="7" hidden="1">{"CHARGE",#N/A,FALSE,"401C11"}</definedName>
    <definedName name="adbr" localSheetId="26" hidden="1">{"CHARGE",#N/A,FALSE,"401C11"}</definedName>
    <definedName name="adbr" localSheetId="5" hidden="1">{"CHARGE",#N/A,FALSE,"401C11"}</definedName>
    <definedName name="adbr" localSheetId="27" hidden="1">{"CHARGE",#N/A,FALSE,"401C11"}</definedName>
    <definedName name="adbr" localSheetId="41" hidden="1">{"CHARGE",#N/A,FALSE,"401C11"}</definedName>
    <definedName name="adbr" localSheetId="2" hidden="1">{"CHARGE",#N/A,FALSE,"401C11"}</definedName>
    <definedName name="adbr" localSheetId="4" hidden="1">{"CHARGE",#N/A,FALSE,"401C11"}</definedName>
    <definedName name="b" localSheetId="21" hidden="1">{"CHARGE",#N/A,FALSE,"401C11"}</definedName>
    <definedName name="b" localSheetId="13" hidden="1">{"CHARGE",#N/A,FALSE,"401C11"}</definedName>
    <definedName name="b" localSheetId="14" hidden="1">{"CHARGE",#N/A,FALSE,"401C11"}</definedName>
    <definedName name="b" localSheetId="19" hidden="1">{"CHARGE",#N/A,FALSE,"401C11"}</definedName>
    <definedName name="b" localSheetId="16" hidden="1">{"CHARGE",#N/A,FALSE,"401C11"}</definedName>
    <definedName name="b" localSheetId="7" hidden="1">{"CHARGE",#N/A,FALSE,"401C11"}</definedName>
    <definedName name="b" localSheetId="26" hidden="1">{"CHARGE",#N/A,FALSE,"401C11"}</definedName>
    <definedName name="b" localSheetId="5" hidden="1">{"CHARGE",#N/A,FALSE,"401C11"}</definedName>
    <definedName name="b" localSheetId="27" hidden="1">{"CHARGE",#N/A,FALSE,"401C11"}</definedName>
    <definedName name="b" localSheetId="41" hidden="1">{"CHARGE",#N/A,FALSE,"401C11"}</definedName>
    <definedName name="b" localSheetId="2" hidden="1">{"CHARGE",#N/A,FALSE,"401C11"}</definedName>
    <definedName name="b" localSheetId="4" hidden="1">{"CHARGE",#N/A,FALSE,"401C11"}</definedName>
    <definedName name="change1" localSheetId="21" hidden="1">{"CHARGE",#N/A,FALSE,"401C11"}</definedName>
    <definedName name="change1" localSheetId="13" hidden="1">{"CHARGE",#N/A,FALSE,"401C11"}</definedName>
    <definedName name="change1" localSheetId="14" hidden="1">{"CHARGE",#N/A,FALSE,"401C11"}</definedName>
    <definedName name="change1" localSheetId="19" hidden="1">{"CHARGE",#N/A,FALSE,"401C11"}</definedName>
    <definedName name="change1" localSheetId="16" hidden="1">{"CHARGE",#N/A,FALSE,"401C11"}</definedName>
    <definedName name="change1" localSheetId="7" hidden="1">{"CHARGE",#N/A,FALSE,"401C11"}</definedName>
    <definedName name="change1" localSheetId="26" hidden="1">{"CHARGE",#N/A,FALSE,"401C11"}</definedName>
    <definedName name="change1" localSheetId="5" hidden="1">{"CHARGE",#N/A,FALSE,"401C11"}</definedName>
    <definedName name="change1" localSheetId="27" hidden="1">{"CHARGE",#N/A,FALSE,"401C11"}</definedName>
    <definedName name="change1" localSheetId="41" hidden="1">{"CHARGE",#N/A,FALSE,"401C11"}</definedName>
    <definedName name="change1" localSheetId="2" hidden="1">{"CHARGE",#N/A,FALSE,"401C11"}</definedName>
    <definedName name="change1" localSheetId="4" hidden="1">{"CHARGE",#N/A,FALSE,"401C11"}</definedName>
    <definedName name="charge" localSheetId="21" hidden="1">{"CHARGE",#N/A,FALSE,"401C11"}</definedName>
    <definedName name="charge" localSheetId="13" hidden="1">{"CHARGE",#N/A,FALSE,"401C11"}</definedName>
    <definedName name="charge" localSheetId="14" hidden="1">{"CHARGE",#N/A,FALSE,"401C11"}</definedName>
    <definedName name="charge" localSheetId="19" hidden="1">{"CHARGE",#N/A,FALSE,"401C11"}</definedName>
    <definedName name="charge" localSheetId="16" hidden="1">{"CHARGE",#N/A,FALSE,"401C11"}</definedName>
    <definedName name="charge" localSheetId="7" hidden="1">{"CHARGE",#N/A,FALSE,"401C11"}</definedName>
    <definedName name="charge" localSheetId="26" hidden="1">{"CHARGE",#N/A,FALSE,"401C11"}</definedName>
    <definedName name="charge" localSheetId="5" hidden="1">{"CHARGE",#N/A,FALSE,"401C11"}</definedName>
    <definedName name="charge" localSheetId="27" hidden="1">{"CHARGE",#N/A,FALSE,"401C11"}</definedName>
    <definedName name="charge" localSheetId="41" hidden="1">{"CHARGE",#N/A,FALSE,"401C11"}</definedName>
    <definedName name="charge" localSheetId="2" hidden="1">{"CHARGE",#N/A,FALSE,"401C11"}</definedName>
    <definedName name="charge" localSheetId="4" hidden="1">{"CHARGE",#N/A,FALSE,"401C11"}</definedName>
    <definedName name="cost_cen">'[3]Cost Centres'!$B$1:$F$65536</definedName>
    <definedName name="currM" localSheetId="41">[4]Introduction!$D$8</definedName>
    <definedName name="dog" localSheetId="21" hidden="1">{"NET",#N/A,FALSE,"401C11"}</definedName>
    <definedName name="dog" localSheetId="13" hidden="1">{"NET",#N/A,FALSE,"401C11"}</definedName>
    <definedName name="dog" localSheetId="14" hidden="1">{"NET",#N/A,FALSE,"401C11"}</definedName>
    <definedName name="dog" localSheetId="19" hidden="1">{"NET",#N/A,FALSE,"401C11"}</definedName>
    <definedName name="dog" localSheetId="16" hidden="1">{"NET",#N/A,FALSE,"401C11"}</definedName>
    <definedName name="dog" localSheetId="7" hidden="1">{"NET",#N/A,FALSE,"401C11"}</definedName>
    <definedName name="dog" localSheetId="26" hidden="1">{"NET",#N/A,FALSE,"401C11"}</definedName>
    <definedName name="dog" localSheetId="5" hidden="1">{"NET",#N/A,FALSE,"401C11"}</definedName>
    <definedName name="dog" localSheetId="27" hidden="1">{"NET",#N/A,FALSE,"401C11"}</definedName>
    <definedName name="dog" localSheetId="41" hidden="1">{"NET",#N/A,FALSE,"401C11"}</definedName>
    <definedName name="dog" localSheetId="2" hidden="1">{"NET",#N/A,FALSE,"401C11"}</definedName>
    <definedName name="dog" localSheetId="4" hidden="1">{"NET",#N/A,FALSE,"401C11"}</definedName>
    <definedName name="dsds" localSheetId="21" hidden="1">{"'Trust by name'!$A$6:$E$350","'Trust by name'!$A$1:$D$348"}</definedName>
    <definedName name="dsds" localSheetId="13" hidden="1">{"'Trust by name'!$A$6:$E$350","'Trust by name'!$A$1:$D$348"}</definedName>
    <definedName name="dsds" localSheetId="14" hidden="1">{"'Trust by name'!$A$6:$E$350","'Trust by name'!$A$1:$D$348"}</definedName>
    <definedName name="dsds" localSheetId="19" hidden="1">{"'Trust by name'!$A$6:$E$350","'Trust by name'!$A$1:$D$348"}</definedName>
    <definedName name="dsds" localSheetId="16" hidden="1">{"'Trust by name'!$A$6:$E$350","'Trust by name'!$A$1:$D$348"}</definedName>
    <definedName name="dsds" localSheetId="7" hidden="1">{"'Trust by name'!$A$6:$E$350","'Trust by name'!$A$1:$D$348"}</definedName>
    <definedName name="dsds" localSheetId="26" hidden="1">{"'Trust by name'!$A$6:$E$350","'Trust by name'!$A$1:$D$348"}</definedName>
    <definedName name="dsds" localSheetId="5" hidden="1">{"'Trust by name'!$A$6:$E$350","'Trust by name'!$A$1:$D$348"}</definedName>
    <definedName name="dsds" localSheetId="27" hidden="1">{"'Trust by name'!$A$6:$E$350","'Trust by name'!$A$1:$D$348"}</definedName>
    <definedName name="dsds" localSheetId="41" hidden="1">{"'Trust by name'!$A$6:$E$350","'Trust by name'!$A$1:$D$348"}</definedName>
    <definedName name="dsds" localSheetId="2" hidden="1">{"'Trust by name'!$A$6:$E$350","'Trust by name'!$A$1:$D$348"}</definedName>
    <definedName name="dsds" localSheetId="4" hidden="1">{"'Trust by name'!$A$6:$E$350","'Trust by name'!$A$1:$D$348"}</definedName>
    <definedName name="fdfd" localSheetId="21" hidden="1">{"'Trust by name'!$A$6:$E$350","'Trust by name'!$A$1:$D$348"}</definedName>
    <definedName name="fdfd" localSheetId="13" hidden="1">{"'Trust by name'!$A$6:$E$350","'Trust by name'!$A$1:$D$348"}</definedName>
    <definedName name="fdfd" localSheetId="14" hidden="1">{"'Trust by name'!$A$6:$E$350","'Trust by name'!$A$1:$D$348"}</definedName>
    <definedName name="fdfd" localSheetId="19" hidden="1">{"'Trust by name'!$A$6:$E$350","'Trust by name'!$A$1:$D$348"}</definedName>
    <definedName name="fdfd" localSheetId="16" hidden="1">{"'Trust by name'!$A$6:$E$350","'Trust by name'!$A$1:$D$348"}</definedName>
    <definedName name="fdfd" localSheetId="7" hidden="1">{"'Trust by name'!$A$6:$E$350","'Trust by name'!$A$1:$D$348"}</definedName>
    <definedName name="fdfd" localSheetId="26" hidden="1">{"'Trust by name'!$A$6:$E$350","'Trust by name'!$A$1:$D$348"}</definedName>
    <definedName name="fdfd" localSheetId="5" hidden="1">{"'Trust by name'!$A$6:$E$350","'Trust by name'!$A$1:$D$348"}</definedName>
    <definedName name="fdfd" localSheetId="27" hidden="1">{"'Trust by name'!$A$6:$E$350","'Trust by name'!$A$1:$D$348"}</definedName>
    <definedName name="fdfd" localSheetId="41" hidden="1">{"'Trust by name'!$A$6:$E$350","'Trust by name'!$A$1:$D$348"}</definedName>
    <definedName name="fdfd" localSheetId="2" hidden="1">{"'Trust by name'!$A$6:$E$350","'Trust by name'!$A$1:$D$348"}</definedName>
    <definedName name="fdfd" localSheetId="4" hidden="1">{"'Trust by name'!$A$6:$E$350","'Trust by name'!$A$1:$D$348"}</definedName>
    <definedName name="fghjkk" localSheetId="21" hidden="1">{"'Trust by name'!$A$6:$E$350","'Trust by name'!$A$1:$D$348"}</definedName>
    <definedName name="fghjkk" localSheetId="13" hidden="1">{"'Trust by name'!$A$6:$E$350","'Trust by name'!$A$1:$D$348"}</definedName>
    <definedName name="fghjkk" localSheetId="14" hidden="1">{"'Trust by name'!$A$6:$E$350","'Trust by name'!$A$1:$D$348"}</definedName>
    <definedName name="fghjkk" localSheetId="19" hidden="1">{"'Trust by name'!$A$6:$E$350","'Trust by name'!$A$1:$D$348"}</definedName>
    <definedName name="fghjkk" localSheetId="16" hidden="1">{"'Trust by name'!$A$6:$E$350","'Trust by name'!$A$1:$D$348"}</definedName>
    <definedName name="fghjkk" localSheetId="7" hidden="1">{"'Trust by name'!$A$6:$E$350","'Trust by name'!$A$1:$D$348"}</definedName>
    <definedName name="fghjkk" localSheetId="26" hidden="1">{"'Trust by name'!$A$6:$E$350","'Trust by name'!$A$1:$D$348"}</definedName>
    <definedName name="fghjkk" localSheetId="5" hidden="1">{"'Trust by name'!$A$6:$E$350","'Trust by name'!$A$1:$D$348"}</definedName>
    <definedName name="fghjkk" localSheetId="27" hidden="1">{"'Trust by name'!$A$6:$E$350","'Trust by name'!$A$1:$D$348"}</definedName>
    <definedName name="fghjkk" localSheetId="41" hidden="1">{"'Trust by name'!$A$6:$E$350","'Trust by name'!$A$1:$D$348"}</definedName>
    <definedName name="fghjkk" localSheetId="2" hidden="1">{"'Trust by name'!$A$6:$E$350","'Trust by name'!$A$1:$D$348"}</definedName>
    <definedName name="fghjkk" localSheetId="4" hidden="1">{"'Trust by name'!$A$6:$E$350","'Trust by name'!$A$1:$D$348"}</definedName>
    <definedName name="gfff" localSheetId="21" hidden="1">{"CHARGE",#N/A,FALSE,"401C11"}</definedName>
    <definedName name="gfff" localSheetId="13" hidden="1">{"CHARGE",#N/A,FALSE,"401C11"}</definedName>
    <definedName name="gfff" localSheetId="14" hidden="1">{"CHARGE",#N/A,FALSE,"401C11"}</definedName>
    <definedName name="gfff" localSheetId="19" hidden="1">{"CHARGE",#N/A,FALSE,"401C11"}</definedName>
    <definedName name="gfff" localSheetId="16" hidden="1">{"CHARGE",#N/A,FALSE,"401C11"}</definedName>
    <definedName name="gfff" localSheetId="7" hidden="1">{"CHARGE",#N/A,FALSE,"401C11"}</definedName>
    <definedName name="gfff" localSheetId="26" hidden="1">{"CHARGE",#N/A,FALSE,"401C11"}</definedName>
    <definedName name="gfff" localSheetId="5" hidden="1">{"CHARGE",#N/A,FALSE,"401C11"}</definedName>
    <definedName name="gfff" localSheetId="27" hidden="1">{"CHARGE",#N/A,FALSE,"401C11"}</definedName>
    <definedName name="gfff" localSheetId="41" hidden="1">{"CHARGE",#N/A,FALSE,"401C11"}</definedName>
    <definedName name="gfff" localSheetId="2" hidden="1">{"CHARGE",#N/A,FALSE,"401C11"}</definedName>
    <definedName name="gfff" localSheetId="4" hidden="1">{"CHARGE",#N/A,FALSE,"401C11"}</definedName>
    <definedName name="gggg" localSheetId="21" hidden="1">{"'Trust by name'!$A$6:$E$350","'Trust by name'!$A$1:$D$348"}</definedName>
    <definedName name="gggg" localSheetId="13" hidden="1">{"'Trust by name'!$A$6:$E$350","'Trust by name'!$A$1:$D$348"}</definedName>
    <definedName name="gggg" localSheetId="14" hidden="1">{"'Trust by name'!$A$6:$E$350","'Trust by name'!$A$1:$D$348"}</definedName>
    <definedName name="gggg" localSheetId="19" hidden="1">{"'Trust by name'!$A$6:$E$350","'Trust by name'!$A$1:$D$348"}</definedName>
    <definedName name="gggg" localSheetId="16" hidden="1">{"'Trust by name'!$A$6:$E$350","'Trust by name'!$A$1:$D$348"}</definedName>
    <definedName name="gggg" localSheetId="7" hidden="1">{"'Trust by name'!$A$6:$E$350","'Trust by name'!$A$1:$D$348"}</definedName>
    <definedName name="gggg" localSheetId="26" hidden="1">{"'Trust by name'!$A$6:$E$350","'Trust by name'!$A$1:$D$348"}</definedName>
    <definedName name="gggg" localSheetId="5" hidden="1">{"'Trust by name'!$A$6:$E$350","'Trust by name'!$A$1:$D$348"}</definedName>
    <definedName name="gggg" localSheetId="27" hidden="1">{"'Trust by name'!$A$6:$E$350","'Trust by name'!$A$1:$D$348"}</definedName>
    <definedName name="gggg" localSheetId="41" hidden="1">{"'Trust by name'!$A$6:$E$350","'Trust by name'!$A$1:$D$348"}</definedName>
    <definedName name="gggg" localSheetId="2" hidden="1">{"'Trust by name'!$A$6:$E$350","'Trust by name'!$A$1:$D$348"}</definedName>
    <definedName name="gggg" localSheetId="4" hidden="1">{"'Trust by name'!$A$6:$E$350","'Trust by name'!$A$1:$D$348"}</definedName>
    <definedName name="Grade">[3]Grade!$A$1:$C$65536</definedName>
    <definedName name="gross" localSheetId="21" hidden="1">{"GROSS",#N/A,FALSE,"401C11"}</definedName>
    <definedName name="gross" localSheetId="13" hidden="1">{"GROSS",#N/A,FALSE,"401C11"}</definedName>
    <definedName name="gross" localSheetId="14" hidden="1">{"GROSS",#N/A,FALSE,"401C11"}</definedName>
    <definedName name="gross" localSheetId="19" hidden="1">{"GROSS",#N/A,FALSE,"401C11"}</definedName>
    <definedName name="gross" localSheetId="16" hidden="1">{"GROSS",#N/A,FALSE,"401C11"}</definedName>
    <definedName name="gross" localSheetId="7" hidden="1">{"GROSS",#N/A,FALSE,"401C11"}</definedName>
    <definedName name="gross" localSheetId="26" hidden="1">{"GROSS",#N/A,FALSE,"401C11"}</definedName>
    <definedName name="gross" localSheetId="5" hidden="1">{"GROSS",#N/A,FALSE,"401C11"}</definedName>
    <definedName name="gross" localSheetId="27" hidden="1">{"GROSS",#N/A,FALSE,"401C11"}</definedName>
    <definedName name="gross" localSheetId="41" hidden="1">{"GROSS",#N/A,FALSE,"401C11"}</definedName>
    <definedName name="gross" localSheetId="2" hidden="1">{"GROSS",#N/A,FALSE,"401C11"}</definedName>
    <definedName name="gross" localSheetId="4" hidden="1">{"GROSS",#N/A,FALSE,"401C11"}</definedName>
    <definedName name="gross1" localSheetId="21" hidden="1">{"GROSS",#N/A,FALSE,"401C11"}</definedName>
    <definedName name="gross1" localSheetId="13" hidden="1">{"GROSS",#N/A,FALSE,"401C11"}</definedName>
    <definedName name="gross1" localSheetId="14" hidden="1">{"GROSS",#N/A,FALSE,"401C11"}</definedName>
    <definedName name="gross1" localSheetId="19" hidden="1">{"GROSS",#N/A,FALSE,"401C11"}</definedName>
    <definedName name="gross1" localSheetId="16" hidden="1">{"GROSS",#N/A,FALSE,"401C11"}</definedName>
    <definedName name="gross1" localSheetId="7" hidden="1">{"GROSS",#N/A,FALSE,"401C11"}</definedName>
    <definedName name="gross1" localSheetId="26" hidden="1">{"GROSS",#N/A,FALSE,"401C11"}</definedName>
    <definedName name="gross1" localSheetId="5" hidden="1">{"GROSS",#N/A,FALSE,"401C11"}</definedName>
    <definedName name="gross1" localSheetId="27" hidden="1">{"GROSS",#N/A,FALSE,"401C11"}</definedName>
    <definedName name="gross1" localSheetId="41" hidden="1">{"GROSS",#N/A,FALSE,"401C11"}</definedName>
    <definedName name="gross1" localSheetId="2" hidden="1">{"GROSS",#N/A,FALSE,"401C11"}</definedName>
    <definedName name="gross1" localSheetId="4" hidden="1">{"GROSS",#N/A,FALSE,"401C11"}</definedName>
    <definedName name="hasdfjklhklj" localSheetId="21" hidden="1">{"NET",#N/A,FALSE,"401C11"}</definedName>
    <definedName name="hasdfjklhklj" localSheetId="13" hidden="1">{"NET",#N/A,FALSE,"401C11"}</definedName>
    <definedName name="hasdfjklhklj" localSheetId="14" hidden="1">{"NET",#N/A,FALSE,"401C11"}</definedName>
    <definedName name="hasdfjklhklj" localSheetId="19" hidden="1">{"NET",#N/A,FALSE,"401C11"}</definedName>
    <definedName name="hasdfjklhklj" localSheetId="16" hidden="1">{"NET",#N/A,FALSE,"401C11"}</definedName>
    <definedName name="hasdfjklhklj" localSheetId="7" hidden="1">{"NET",#N/A,FALSE,"401C11"}</definedName>
    <definedName name="hasdfjklhklj" localSheetId="26" hidden="1">{"NET",#N/A,FALSE,"401C11"}</definedName>
    <definedName name="hasdfjklhklj" localSheetId="5" hidden="1">{"NET",#N/A,FALSE,"401C11"}</definedName>
    <definedName name="hasdfjklhklj" localSheetId="27" hidden="1">{"NET",#N/A,FALSE,"401C11"}</definedName>
    <definedName name="hasdfjklhklj" localSheetId="41" hidden="1">{"NET",#N/A,FALSE,"401C11"}</definedName>
    <definedName name="hasdfjklhklj" localSheetId="2" hidden="1">{"NET",#N/A,FALSE,"401C11"}</definedName>
    <definedName name="hasdfjklhklj" localSheetId="4" hidden="1">{"NET",#N/A,FALSE,"401C11"}</definedName>
    <definedName name="HTML_CodePage" hidden="1">1252</definedName>
    <definedName name="HTML_Control" localSheetId="21" hidden="1">{"'Trust by name'!$A$6:$E$350","'Trust by name'!$A$1:$D$348"}</definedName>
    <definedName name="HTML_Control" localSheetId="13" hidden="1">{"'Trust by name'!$A$6:$E$350","'Trust by name'!$A$1:$D$348"}</definedName>
    <definedName name="HTML_Control" localSheetId="14" hidden="1">{"'Trust by name'!$A$6:$E$350","'Trust by name'!$A$1:$D$348"}</definedName>
    <definedName name="HTML_Control" localSheetId="19" hidden="1">{"'Trust by name'!$A$6:$E$350","'Trust by name'!$A$1:$D$348"}</definedName>
    <definedName name="HTML_Control" localSheetId="16" hidden="1">{"'Trust by name'!$A$6:$E$350","'Trust by name'!$A$1:$D$348"}</definedName>
    <definedName name="HTML_Control" localSheetId="7" hidden="1">{"'Trust by name'!$A$6:$E$350","'Trust by name'!$A$1:$D$348"}</definedName>
    <definedName name="HTML_Control" localSheetId="26" hidden="1">{"'Trust by name'!$A$6:$E$350","'Trust by name'!$A$1:$D$348"}</definedName>
    <definedName name="HTML_Control" localSheetId="5" hidden="1">{"'Trust by name'!$A$6:$E$350","'Trust by name'!$A$1:$D$348"}</definedName>
    <definedName name="HTML_Control" localSheetId="27" hidden="1">{"'Trust by name'!$A$6:$E$350","'Trust by name'!$A$1:$D$348"}</definedName>
    <definedName name="HTML_Control" localSheetId="41" hidden="1">{"'Trust by name'!$A$6:$E$350","'Trust by name'!$A$1:$D$348"}</definedName>
    <definedName name="HTML_Control" localSheetId="2" hidden="1">{"'Trust by name'!$A$6:$E$350","'Trust by name'!$A$1:$D$348"}</definedName>
    <definedName name="HTML_Control" localSheetId="4"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gdata">[3]JG_Data!$D$1:$T$65536</definedName>
    <definedName name="MARCH_A_TITLES" localSheetId="8">#REF!</definedName>
    <definedName name="May" localSheetId="8">#REF!</definedName>
    <definedName name="noest" localSheetId="8">#REF!</definedName>
    <definedName name="OLDS" localSheetId="8">#REF!</definedName>
    <definedName name="org" localSheetId="41">[4]Introduction!$D$11</definedName>
    <definedName name="_xlnm.Print_Area" localSheetId="9">Cash!$A$1:$J$71</definedName>
    <definedName name="_xlnm.Print_Area" localSheetId="39">'Cash Data'!$AU$1:$BI$22</definedName>
    <definedName name="_xlnm.Print_Area" localSheetId="33">'Chart Data'!$A$182:$G$202</definedName>
    <definedName name="_xlnm.Print_Area" localSheetId="13">'Contract Perf (old)'!$A$1:$T$68</definedName>
    <definedName name="_xlnm.Print_Area" localSheetId="14">'Contract Performance'!$A$1:$T$76</definedName>
    <definedName name="_xlnm.Print_Area" localSheetId="19">'Contract Performance (old)'!$A$1:$T$67</definedName>
    <definedName name="_xlnm.Print_Area" localSheetId="16">'Contract Performance OLD'!$A$1:$T$68</definedName>
    <definedName name="_xlnm.Print_Area" localSheetId="6">COSratings!$A$1:$R$50</definedName>
    <definedName name="_xlnm.Print_Area" localSheetId="7">'COSratings calcs'!$A$1:$J$50</definedName>
    <definedName name="_xlnm.Print_Area" localSheetId="30">'Cost Improvement Prog'!$A$1:$P$68</definedName>
    <definedName name="_xlnm.Print_Area" localSheetId="23">Debtors!$A$1:$R$49</definedName>
    <definedName name="_xlnm.Print_Area" localSheetId="5">FRR!$A$1:$M$43</definedName>
    <definedName name="_xlnm.Print_Area" localSheetId="27">'FRR 2'!$A$1:$M$43</definedName>
    <definedName name="_xlnm.Print_Area" localSheetId="8">'FRR Calcs'!$A$1:$V$80</definedName>
    <definedName name="_xlnm.Print_Area" localSheetId="41">'FRR SHAs'!$A$1:$AT$118</definedName>
    <definedName name="_xlnm.Print_Area" localSheetId="31">'IncomeandExpenditure Data'!$A$1:$V$72</definedName>
    <definedName name="_xlnm.Print_Area" localSheetId="37">'IncomeandExpenditure Data2'!$A$5:$E$56</definedName>
    <definedName name="_xlnm.Print_Area" localSheetId="2">'NEW Risk Ratings'!$A$1:$M$62</definedName>
    <definedName name="_xlnm.Print_Area" localSheetId="3">'OLD Risk Ratings'!$A$1:$M$57</definedName>
    <definedName name="_xlnm.Print_Area" localSheetId="15">'Operating Costs'!$A$1:$J$47</definedName>
    <definedName name="_xlnm.Print_Area" localSheetId="11">'Rolling Cashflow'!$A$1:$M$34</definedName>
    <definedName name="_xlnm.Print_Area" localSheetId="0">'Summary Page'!$A$1:$N$58</definedName>
    <definedName name="_xlnm.Print_Area" localSheetId="1">Surplus!$A$1:$I$58</definedName>
    <definedName name="_xlnm.Print_Titles" localSheetId="8">#REF!</definedName>
    <definedName name="_xlnm.Print_Titles" localSheetId="31">'IncomeandExpenditure Data'!$A:$A</definedName>
    <definedName name="rytry" localSheetId="21" hidden="1">{"NET",#N/A,FALSE,"401C11"}</definedName>
    <definedName name="rytry" localSheetId="13" hidden="1">{"NET",#N/A,FALSE,"401C11"}</definedName>
    <definedName name="rytry" localSheetId="14" hidden="1">{"NET",#N/A,FALSE,"401C11"}</definedName>
    <definedName name="rytry" localSheetId="19" hidden="1">{"NET",#N/A,FALSE,"401C11"}</definedName>
    <definedName name="rytry" localSheetId="16" hidden="1">{"NET",#N/A,FALSE,"401C11"}</definedName>
    <definedName name="rytry" localSheetId="7" hidden="1">{"NET",#N/A,FALSE,"401C11"}</definedName>
    <definedName name="rytry" localSheetId="26" hidden="1">{"NET",#N/A,FALSE,"401C11"}</definedName>
    <definedName name="rytry" localSheetId="5" hidden="1">{"NET",#N/A,FALSE,"401C11"}</definedName>
    <definedName name="rytry" localSheetId="27" hidden="1">{"NET",#N/A,FALSE,"401C11"}</definedName>
    <definedName name="rytry" localSheetId="41" hidden="1">{"NET",#N/A,FALSE,"401C11"}</definedName>
    <definedName name="rytry" localSheetId="2" hidden="1">{"NET",#N/A,FALSE,"401C11"}</definedName>
    <definedName name="rytry" localSheetId="4" hidden="1">{"NET",#N/A,FALSE,"401C11"}</definedName>
    <definedName name="saa" localSheetId="21" hidden="1">{"'Trust by name'!$A$6:$E$350","'Trust by name'!$A$1:$D$348"}</definedName>
    <definedName name="saa" localSheetId="13" hidden="1">{"'Trust by name'!$A$6:$E$350","'Trust by name'!$A$1:$D$348"}</definedName>
    <definedName name="saa" localSheetId="14" hidden="1">{"'Trust by name'!$A$6:$E$350","'Trust by name'!$A$1:$D$348"}</definedName>
    <definedName name="saa" localSheetId="19" hidden="1">{"'Trust by name'!$A$6:$E$350","'Trust by name'!$A$1:$D$348"}</definedName>
    <definedName name="saa" localSheetId="16" hidden="1">{"'Trust by name'!$A$6:$E$350","'Trust by name'!$A$1:$D$348"}</definedName>
    <definedName name="saa" localSheetId="7" hidden="1">{"'Trust by name'!$A$6:$E$350","'Trust by name'!$A$1:$D$348"}</definedName>
    <definedName name="saa" localSheetId="26" hidden="1">{"'Trust by name'!$A$6:$E$350","'Trust by name'!$A$1:$D$348"}</definedName>
    <definedName name="saa" localSheetId="5" hidden="1">{"'Trust by name'!$A$6:$E$350","'Trust by name'!$A$1:$D$348"}</definedName>
    <definedName name="saa" localSheetId="27" hidden="1">{"'Trust by name'!$A$6:$E$350","'Trust by name'!$A$1:$D$348"}</definedName>
    <definedName name="saa" localSheetId="41" hidden="1">{"'Trust by name'!$A$6:$E$350","'Trust by name'!$A$1:$D$348"}</definedName>
    <definedName name="saa" localSheetId="2" hidden="1">{"'Trust by name'!$A$6:$E$350","'Trust by name'!$A$1:$D$348"}</definedName>
    <definedName name="saa" localSheetId="4" hidden="1">{"'Trust by name'!$A$6:$E$350","'Trust by name'!$A$1:$D$348"}</definedName>
    <definedName name="sas" localSheetId="21" hidden="1">{"'Trust by name'!$A$6:$E$350","'Trust by name'!$A$1:$D$348"}</definedName>
    <definedName name="sas" localSheetId="13" hidden="1">{"'Trust by name'!$A$6:$E$350","'Trust by name'!$A$1:$D$348"}</definedName>
    <definedName name="sas" localSheetId="14" hidden="1">{"'Trust by name'!$A$6:$E$350","'Trust by name'!$A$1:$D$348"}</definedName>
    <definedName name="sas" localSheetId="19" hidden="1">{"'Trust by name'!$A$6:$E$350","'Trust by name'!$A$1:$D$348"}</definedName>
    <definedName name="sas" localSheetId="16" hidden="1">{"'Trust by name'!$A$6:$E$350","'Trust by name'!$A$1:$D$348"}</definedName>
    <definedName name="sas" localSheetId="7" hidden="1">{"'Trust by name'!$A$6:$E$350","'Trust by name'!$A$1:$D$348"}</definedName>
    <definedName name="sas" localSheetId="26" hidden="1">{"'Trust by name'!$A$6:$E$350","'Trust by name'!$A$1:$D$348"}</definedName>
    <definedName name="sas" localSheetId="5" hidden="1">{"'Trust by name'!$A$6:$E$350","'Trust by name'!$A$1:$D$348"}</definedName>
    <definedName name="sas" localSheetId="27" hidden="1">{"'Trust by name'!$A$6:$E$350","'Trust by name'!$A$1:$D$348"}</definedName>
    <definedName name="sas" localSheetId="41" hidden="1">{"'Trust by name'!$A$6:$E$350","'Trust by name'!$A$1:$D$348"}</definedName>
    <definedName name="sas" localSheetId="2" hidden="1">{"'Trust by name'!$A$6:$E$350","'Trust by name'!$A$1:$D$348"}</definedName>
    <definedName name="sas" localSheetId="4" hidden="1">{"'Trust by name'!$A$6:$E$350","'Trust by name'!$A$1:$D$348"}</definedName>
    <definedName name="sdadas" localSheetId="21" hidden="1">{"'Trust by name'!$A$6:$E$350","'Trust by name'!$A$1:$D$348"}</definedName>
    <definedName name="sdadas" localSheetId="13" hidden="1">{"'Trust by name'!$A$6:$E$350","'Trust by name'!$A$1:$D$348"}</definedName>
    <definedName name="sdadas" localSheetId="14" hidden="1">{"'Trust by name'!$A$6:$E$350","'Trust by name'!$A$1:$D$348"}</definedName>
    <definedName name="sdadas" localSheetId="19" hidden="1">{"'Trust by name'!$A$6:$E$350","'Trust by name'!$A$1:$D$348"}</definedName>
    <definedName name="sdadas" localSheetId="16" hidden="1">{"'Trust by name'!$A$6:$E$350","'Trust by name'!$A$1:$D$348"}</definedName>
    <definedName name="sdadas" localSheetId="7" hidden="1">{"'Trust by name'!$A$6:$E$350","'Trust by name'!$A$1:$D$348"}</definedName>
    <definedName name="sdadas" localSheetId="26" hidden="1">{"'Trust by name'!$A$6:$E$350","'Trust by name'!$A$1:$D$348"}</definedName>
    <definedName name="sdadas" localSheetId="5" hidden="1">{"'Trust by name'!$A$6:$E$350","'Trust by name'!$A$1:$D$348"}</definedName>
    <definedName name="sdadas" localSheetId="27" hidden="1">{"'Trust by name'!$A$6:$E$350","'Trust by name'!$A$1:$D$348"}</definedName>
    <definedName name="sdadas" localSheetId="41" hidden="1">{"'Trust by name'!$A$6:$E$350","'Trust by name'!$A$1:$D$348"}</definedName>
    <definedName name="sdadas" localSheetId="2" hidden="1">{"'Trust by name'!$A$6:$E$350","'Trust by name'!$A$1:$D$348"}</definedName>
    <definedName name="sdadas" localSheetId="4" hidden="1">{"'Trust by name'!$A$6:$E$350","'Trust by name'!$A$1:$D$348"}</definedName>
    <definedName name="Table3.4" localSheetId="21" hidden="1">{"CHARGE",#N/A,FALSE,"401C11"}</definedName>
    <definedName name="Table3.4" localSheetId="13" hidden="1">{"CHARGE",#N/A,FALSE,"401C11"}</definedName>
    <definedName name="Table3.4" localSheetId="14" hidden="1">{"CHARGE",#N/A,FALSE,"401C11"}</definedName>
    <definedName name="Table3.4" localSheetId="19" hidden="1">{"CHARGE",#N/A,FALSE,"401C11"}</definedName>
    <definedName name="Table3.4" localSheetId="16" hidden="1">{"CHARGE",#N/A,FALSE,"401C11"}</definedName>
    <definedName name="Table3.4" localSheetId="7" hidden="1">{"CHARGE",#N/A,FALSE,"401C11"}</definedName>
    <definedName name="Table3.4" localSheetId="26" hidden="1">{"CHARGE",#N/A,FALSE,"401C11"}</definedName>
    <definedName name="Table3.4" localSheetId="5" hidden="1">{"CHARGE",#N/A,FALSE,"401C11"}</definedName>
    <definedName name="Table3.4" localSheetId="27" hidden="1">{"CHARGE",#N/A,FALSE,"401C11"}</definedName>
    <definedName name="Table3.4" localSheetId="41" hidden="1">{"CHARGE",#N/A,FALSE,"401C11"}</definedName>
    <definedName name="Table3.4" localSheetId="2" hidden="1">{"CHARGE",#N/A,FALSE,"401C11"}</definedName>
    <definedName name="Table3.4" localSheetId="4" hidden="1">{"CHARGE",#N/A,FALSE,"401C11"}</definedName>
    <definedName name="TableName">"Dummy"</definedName>
    <definedName name="vbnf" localSheetId="21" hidden="1">{"'Trust by name'!$A$6:$E$350","'Trust by name'!$A$1:$D$348"}</definedName>
    <definedName name="vbnf" localSheetId="13" hidden="1">{"'Trust by name'!$A$6:$E$350","'Trust by name'!$A$1:$D$348"}</definedName>
    <definedName name="vbnf" localSheetId="14" hidden="1">{"'Trust by name'!$A$6:$E$350","'Trust by name'!$A$1:$D$348"}</definedName>
    <definedName name="vbnf" localSheetId="19" hidden="1">{"'Trust by name'!$A$6:$E$350","'Trust by name'!$A$1:$D$348"}</definedName>
    <definedName name="vbnf" localSheetId="16" hidden="1">{"'Trust by name'!$A$6:$E$350","'Trust by name'!$A$1:$D$348"}</definedName>
    <definedName name="vbnf" localSheetId="7" hidden="1">{"'Trust by name'!$A$6:$E$350","'Trust by name'!$A$1:$D$348"}</definedName>
    <definedName name="vbnf" localSheetId="26" hidden="1">{"'Trust by name'!$A$6:$E$350","'Trust by name'!$A$1:$D$348"}</definedName>
    <definedName name="vbnf" localSheetId="5" hidden="1">{"'Trust by name'!$A$6:$E$350","'Trust by name'!$A$1:$D$348"}</definedName>
    <definedName name="vbnf" localSheetId="27" hidden="1">{"'Trust by name'!$A$6:$E$350","'Trust by name'!$A$1:$D$348"}</definedName>
    <definedName name="vbnf" localSheetId="41" hidden="1">{"'Trust by name'!$A$6:$E$350","'Trust by name'!$A$1:$D$348"}</definedName>
    <definedName name="vbnf" localSheetId="2" hidden="1">{"'Trust by name'!$A$6:$E$350","'Trust by name'!$A$1:$D$348"}</definedName>
    <definedName name="vbnf" localSheetId="4" hidden="1">{"'Trust by name'!$A$6:$E$350","'Trust by name'!$A$1:$D$348"}</definedName>
    <definedName name="wert" localSheetId="21" hidden="1">{"GROSS",#N/A,FALSE,"401C11"}</definedName>
    <definedName name="wert" localSheetId="13" hidden="1">{"GROSS",#N/A,FALSE,"401C11"}</definedName>
    <definedName name="wert" localSheetId="14" hidden="1">{"GROSS",#N/A,FALSE,"401C11"}</definedName>
    <definedName name="wert" localSheetId="19" hidden="1">{"GROSS",#N/A,FALSE,"401C11"}</definedName>
    <definedName name="wert" localSheetId="16" hidden="1">{"GROSS",#N/A,FALSE,"401C11"}</definedName>
    <definedName name="wert" localSheetId="7" hidden="1">{"GROSS",#N/A,FALSE,"401C11"}</definedName>
    <definedName name="wert" localSheetId="26" hidden="1">{"GROSS",#N/A,FALSE,"401C11"}</definedName>
    <definedName name="wert" localSheetId="5" hidden="1">{"GROSS",#N/A,FALSE,"401C11"}</definedName>
    <definedName name="wert" localSheetId="27" hidden="1">{"GROSS",#N/A,FALSE,"401C11"}</definedName>
    <definedName name="wert" localSheetId="41" hidden="1">{"GROSS",#N/A,FALSE,"401C11"}</definedName>
    <definedName name="wert" localSheetId="2" hidden="1">{"GROSS",#N/A,FALSE,"401C11"}</definedName>
    <definedName name="wert" localSheetId="4" hidden="1">{"GROSS",#N/A,FALSE,"401C11"}</definedName>
    <definedName name="wrn.CHARGE." localSheetId="21" hidden="1">{"CHARGE",#N/A,FALSE,"401C11"}</definedName>
    <definedName name="wrn.CHARGE." localSheetId="13" hidden="1">{"CHARGE",#N/A,FALSE,"401C11"}</definedName>
    <definedName name="wrn.CHARGE." localSheetId="14" hidden="1">{"CHARGE",#N/A,FALSE,"401C11"}</definedName>
    <definedName name="wrn.CHARGE." localSheetId="19" hidden="1">{"CHARGE",#N/A,FALSE,"401C11"}</definedName>
    <definedName name="wrn.CHARGE." localSheetId="16" hidden="1">{"CHARGE",#N/A,FALSE,"401C11"}</definedName>
    <definedName name="wrn.CHARGE." localSheetId="7" hidden="1">{"CHARGE",#N/A,FALSE,"401C11"}</definedName>
    <definedName name="wrn.CHARGE." localSheetId="26" hidden="1">{"CHARGE",#N/A,FALSE,"401C11"}</definedName>
    <definedName name="wrn.CHARGE." localSheetId="5" hidden="1">{"CHARGE",#N/A,FALSE,"401C11"}</definedName>
    <definedName name="wrn.CHARGE." localSheetId="27" hidden="1">{"CHARGE",#N/A,FALSE,"401C11"}</definedName>
    <definedName name="wrn.CHARGE." localSheetId="41" hidden="1">{"CHARGE",#N/A,FALSE,"401C11"}</definedName>
    <definedName name="wrn.CHARGE." localSheetId="2" hidden="1">{"CHARGE",#N/A,FALSE,"401C11"}</definedName>
    <definedName name="wrn.CHARGE." localSheetId="4" hidden="1">{"CHARGE",#N/A,FALSE,"401C11"}</definedName>
    <definedName name="wrn.GROSS." localSheetId="21" hidden="1">{"GROSS",#N/A,FALSE,"401C11"}</definedName>
    <definedName name="wrn.GROSS." localSheetId="13" hidden="1">{"GROSS",#N/A,FALSE,"401C11"}</definedName>
    <definedName name="wrn.GROSS." localSheetId="14" hidden="1">{"GROSS",#N/A,FALSE,"401C11"}</definedName>
    <definedName name="wrn.GROSS." localSheetId="19" hidden="1">{"GROSS",#N/A,FALSE,"401C11"}</definedName>
    <definedName name="wrn.GROSS." localSheetId="16" hidden="1">{"GROSS",#N/A,FALSE,"401C11"}</definedName>
    <definedName name="wrn.GROSS." localSheetId="7" hidden="1">{"GROSS",#N/A,FALSE,"401C11"}</definedName>
    <definedName name="wrn.GROSS." localSheetId="26" hidden="1">{"GROSS",#N/A,FALSE,"401C11"}</definedName>
    <definedName name="wrn.GROSS." localSheetId="5" hidden="1">{"GROSS",#N/A,FALSE,"401C11"}</definedName>
    <definedName name="wrn.GROSS." localSheetId="27" hidden="1">{"GROSS",#N/A,FALSE,"401C11"}</definedName>
    <definedName name="wrn.GROSS." localSheetId="41" hidden="1">{"GROSS",#N/A,FALSE,"401C11"}</definedName>
    <definedName name="wrn.GROSS." localSheetId="2" hidden="1">{"GROSS",#N/A,FALSE,"401C11"}</definedName>
    <definedName name="wrn.GROSS." localSheetId="4" hidden="1">{"GROSS",#N/A,FALSE,"401C11"}</definedName>
    <definedName name="wrn.NET." localSheetId="21" hidden="1">{"NET",#N/A,FALSE,"401C11"}</definedName>
    <definedName name="wrn.NET." localSheetId="13" hidden="1">{"NET",#N/A,FALSE,"401C11"}</definedName>
    <definedName name="wrn.NET." localSheetId="14" hidden="1">{"NET",#N/A,FALSE,"401C11"}</definedName>
    <definedName name="wrn.NET." localSheetId="19" hidden="1">{"NET",#N/A,FALSE,"401C11"}</definedName>
    <definedName name="wrn.NET." localSheetId="16" hidden="1">{"NET",#N/A,FALSE,"401C11"}</definedName>
    <definedName name="wrn.NET." localSheetId="7" hidden="1">{"NET",#N/A,FALSE,"401C11"}</definedName>
    <definedName name="wrn.NET." localSheetId="26" hidden="1">{"NET",#N/A,FALSE,"401C11"}</definedName>
    <definedName name="wrn.NET." localSheetId="5" hidden="1">{"NET",#N/A,FALSE,"401C11"}</definedName>
    <definedName name="wrn.NET." localSheetId="27" hidden="1">{"NET",#N/A,FALSE,"401C11"}</definedName>
    <definedName name="wrn.NET." localSheetId="41" hidden="1">{"NET",#N/A,FALSE,"401C11"}</definedName>
    <definedName name="wrn.NET." localSheetId="2" hidden="1">{"NET",#N/A,FALSE,"401C11"}</definedName>
    <definedName name="wrn.NET." localSheetId="4" hidden="1">{"NET",#N/A,FALSE,"401C11"}</definedName>
    <definedName name="xxx" localSheetId="21" hidden="1">{"CHARGE",#N/A,FALSE,"401C11"}</definedName>
    <definedName name="xxx" localSheetId="13" hidden="1">{"CHARGE",#N/A,FALSE,"401C11"}</definedName>
    <definedName name="xxx" localSheetId="14" hidden="1">{"CHARGE",#N/A,FALSE,"401C11"}</definedName>
    <definedName name="xxx" localSheetId="19" hidden="1">{"CHARGE",#N/A,FALSE,"401C11"}</definedName>
    <definedName name="xxx" localSheetId="16" hidden="1">{"CHARGE",#N/A,FALSE,"401C11"}</definedName>
    <definedName name="xxx" localSheetId="7" hidden="1">{"CHARGE",#N/A,FALSE,"401C11"}</definedName>
    <definedName name="xxx" localSheetId="26" hidden="1">{"CHARGE",#N/A,FALSE,"401C11"}</definedName>
    <definedName name="xxx" localSheetId="5" hidden="1">{"CHARGE",#N/A,FALSE,"401C11"}</definedName>
    <definedName name="xxx" localSheetId="27" hidden="1">{"CHARGE",#N/A,FALSE,"401C11"}</definedName>
    <definedName name="xxx" localSheetId="41" hidden="1">{"CHARGE",#N/A,FALSE,"401C11"}</definedName>
    <definedName name="xxx" localSheetId="2" hidden="1">{"CHARGE",#N/A,FALSE,"401C11"}</definedName>
    <definedName name="xxx" localSheetId="4" hidden="1">{"CHARGE",#N/A,FALSE,"401C11"}</definedName>
    <definedName name="yyy" localSheetId="21" hidden="1">{"GROSS",#N/A,FALSE,"401C11"}</definedName>
    <definedName name="yyy" localSheetId="13" hidden="1">{"GROSS",#N/A,FALSE,"401C11"}</definedName>
    <definedName name="yyy" localSheetId="14" hidden="1">{"GROSS",#N/A,FALSE,"401C11"}</definedName>
    <definedName name="yyy" localSheetId="19" hidden="1">{"GROSS",#N/A,FALSE,"401C11"}</definedName>
    <definedName name="yyy" localSheetId="16" hidden="1">{"GROSS",#N/A,FALSE,"401C11"}</definedName>
    <definedName name="yyy" localSheetId="7" hidden="1">{"GROSS",#N/A,FALSE,"401C11"}</definedName>
    <definedName name="yyy" localSheetId="26" hidden="1">{"GROSS",#N/A,FALSE,"401C11"}</definedName>
    <definedName name="yyy" localSheetId="5" hidden="1">{"GROSS",#N/A,FALSE,"401C11"}</definedName>
    <definedName name="yyy" localSheetId="27" hidden="1">{"GROSS",#N/A,FALSE,"401C11"}</definedName>
    <definedName name="yyy" localSheetId="41" hidden="1">{"GROSS",#N/A,FALSE,"401C11"}</definedName>
    <definedName name="yyy" localSheetId="2" hidden="1">{"GROSS",#N/A,FALSE,"401C11"}</definedName>
    <definedName name="yyy" localSheetId="4" hidden="1">{"GROSS",#N/A,FALSE,"401C11"}</definedName>
    <definedName name="zzz" localSheetId="21" hidden="1">{"NET",#N/A,FALSE,"401C11"}</definedName>
    <definedName name="zzz" localSheetId="13" hidden="1">{"NET",#N/A,FALSE,"401C11"}</definedName>
    <definedName name="zzz" localSheetId="14" hidden="1">{"NET",#N/A,FALSE,"401C11"}</definedName>
    <definedName name="zzz" localSheetId="19" hidden="1">{"NET",#N/A,FALSE,"401C11"}</definedName>
    <definedName name="zzz" localSheetId="16" hidden="1">{"NET",#N/A,FALSE,"401C11"}</definedName>
    <definedName name="zzz" localSheetId="7" hidden="1">{"NET",#N/A,FALSE,"401C11"}</definedName>
    <definedName name="zzz" localSheetId="26" hidden="1">{"NET",#N/A,FALSE,"401C11"}</definedName>
    <definedName name="zzz" localSheetId="5" hidden="1">{"NET",#N/A,FALSE,"401C11"}</definedName>
    <definedName name="zzz" localSheetId="27" hidden="1">{"NET",#N/A,FALSE,"401C11"}</definedName>
    <definedName name="zzz" localSheetId="41" hidden="1">{"NET",#N/A,FALSE,"401C11"}</definedName>
    <definedName name="zzz" localSheetId="2" hidden="1">{"NET",#N/A,FALSE,"401C11"}</definedName>
    <definedName name="zzz" localSheetId="4" hidden="1">{"NET",#N/A,FALSE,"401C11"}</definedName>
  </definedNames>
  <calcPr calcId="145621"/>
  <pivotCaches>
    <pivotCache cacheId="0" r:id="rId55"/>
  </pivotCaches>
</workbook>
</file>

<file path=xl/calcChain.xml><?xml version="1.0" encoding="utf-8"?>
<calcChain xmlns="http://schemas.openxmlformats.org/spreadsheetml/2006/main">
  <c r="H16" i="149" l="1"/>
  <c r="S17" i="150"/>
  <c r="S16" i="150"/>
  <c r="S15" i="150"/>
  <c r="S14" i="150"/>
  <c r="S13" i="150"/>
  <c r="S12" i="150"/>
  <c r="S11" i="150"/>
  <c r="S10" i="150"/>
  <c r="S9" i="150"/>
  <c r="S8" i="150"/>
  <c r="S7" i="150"/>
  <c r="S6" i="150"/>
  <c r="S5" i="150"/>
  <c r="S4" i="150"/>
  <c r="AH17" i="150"/>
  <c r="AH16" i="150"/>
  <c r="AH15" i="150"/>
  <c r="AH14" i="150"/>
  <c r="AH13" i="150"/>
  <c r="AH12" i="150"/>
  <c r="AH11" i="150"/>
  <c r="AH10" i="150"/>
  <c r="AH9" i="150"/>
  <c r="AH8" i="150"/>
  <c r="AH7" i="150"/>
  <c r="AH6" i="150"/>
  <c r="AH5" i="150"/>
  <c r="AH4" i="150"/>
  <c r="P13" i="86" l="1"/>
  <c r="P17" i="86"/>
  <c r="Z6" i="83" l="1"/>
  <c r="Z9" i="83"/>
  <c r="Z21" i="83"/>
  <c r="Z20" i="83"/>
  <c r="Z34" i="83"/>
  <c r="AA36" i="83"/>
  <c r="Z35" i="83"/>
  <c r="Z37" i="83"/>
  <c r="Z39" i="83"/>
  <c r="Z40" i="83"/>
  <c r="Z42" i="83"/>
  <c r="Y45" i="83"/>
  <c r="Y42" i="83"/>
  <c r="Y37" i="83"/>
  <c r="Y35" i="83"/>
  <c r="Y34" i="83"/>
  <c r="Z44" i="83" l="1"/>
  <c r="K35" i="83"/>
  <c r="K20" i="83"/>
  <c r="L20" i="83"/>
  <c r="B30" i="142" l="1"/>
  <c r="B29" i="142"/>
  <c r="B28" i="142"/>
  <c r="B27" i="142"/>
  <c r="B26" i="142"/>
  <c r="B25" i="142"/>
  <c r="B24" i="142"/>
  <c r="B22" i="142"/>
  <c r="B21" i="142"/>
  <c r="B19" i="142"/>
  <c r="B17" i="142"/>
  <c r="L30" i="142"/>
  <c r="K30" i="142"/>
  <c r="J30" i="142"/>
  <c r="I30" i="142"/>
  <c r="H30" i="142"/>
  <c r="G30" i="142"/>
  <c r="F30" i="142"/>
  <c r="E30" i="142"/>
  <c r="D30" i="142"/>
  <c r="C30" i="142"/>
  <c r="L29" i="142"/>
  <c r="K29" i="142"/>
  <c r="J29" i="142"/>
  <c r="I29" i="142"/>
  <c r="H29" i="142"/>
  <c r="G29" i="142"/>
  <c r="F29" i="142"/>
  <c r="E29" i="142"/>
  <c r="D29" i="142"/>
  <c r="C29" i="142"/>
  <c r="L28" i="142"/>
  <c r="K28" i="142"/>
  <c r="J28" i="142"/>
  <c r="I28" i="142"/>
  <c r="H28" i="142"/>
  <c r="G28" i="142"/>
  <c r="F28" i="142"/>
  <c r="E28" i="142"/>
  <c r="D28" i="142"/>
  <c r="C28" i="142"/>
  <c r="L27" i="142"/>
  <c r="K27" i="142"/>
  <c r="J27" i="142"/>
  <c r="I27" i="142"/>
  <c r="H27" i="142"/>
  <c r="G27" i="142"/>
  <c r="F27" i="142"/>
  <c r="E27" i="142"/>
  <c r="D27" i="142"/>
  <c r="C27" i="142"/>
  <c r="L26" i="142"/>
  <c r="K26" i="142"/>
  <c r="J26" i="142"/>
  <c r="I26" i="142"/>
  <c r="H26" i="142"/>
  <c r="G26" i="142"/>
  <c r="F26" i="142"/>
  <c r="E26" i="142"/>
  <c r="D26" i="142"/>
  <c r="C26" i="142"/>
  <c r="L25" i="142"/>
  <c r="K25" i="142"/>
  <c r="J25" i="142"/>
  <c r="I25" i="142"/>
  <c r="H25" i="142"/>
  <c r="G25" i="142"/>
  <c r="F25" i="142"/>
  <c r="E25" i="142"/>
  <c r="D25" i="142"/>
  <c r="C25" i="142"/>
  <c r="L24" i="142"/>
  <c r="K24" i="142"/>
  <c r="J24" i="142"/>
  <c r="I24" i="142"/>
  <c r="H24" i="142"/>
  <c r="G24" i="142"/>
  <c r="F24" i="142"/>
  <c r="E24" i="142"/>
  <c r="D24" i="142"/>
  <c r="C24" i="142"/>
  <c r="L22" i="142"/>
  <c r="K22" i="142"/>
  <c r="J22" i="142"/>
  <c r="I22" i="142"/>
  <c r="H22" i="142"/>
  <c r="G22" i="142"/>
  <c r="F22" i="142"/>
  <c r="E22" i="142"/>
  <c r="D22" i="142"/>
  <c r="C22" i="142"/>
  <c r="L21" i="142"/>
  <c r="K21" i="142"/>
  <c r="J21" i="142"/>
  <c r="I21" i="142"/>
  <c r="H21" i="142"/>
  <c r="G21" i="142"/>
  <c r="F21" i="142"/>
  <c r="E21" i="142"/>
  <c r="D21" i="142"/>
  <c r="C21" i="142"/>
  <c r="L19" i="142"/>
  <c r="K19" i="142"/>
  <c r="J19" i="142"/>
  <c r="I19" i="142"/>
  <c r="H19" i="142"/>
  <c r="G19" i="142"/>
  <c r="F19" i="142"/>
  <c r="E19" i="142"/>
  <c r="D19" i="142"/>
  <c r="C19" i="142"/>
  <c r="L18" i="142"/>
  <c r="K18" i="142"/>
  <c r="F18" i="142"/>
  <c r="C18" i="142"/>
  <c r="L17" i="142"/>
  <c r="K17" i="142"/>
  <c r="J17" i="142"/>
  <c r="I17" i="142"/>
  <c r="H17" i="142"/>
  <c r="G17" i="142"/>
  <c r="F17" i="142"/>
  <c r="E17" i="142"/>
  <c r="D17" i="142"/>
  <c r="C17" i="142"/>
  <c r="M30" i="142"/>
  <c r="M29" i="142"/>
  <c r="M28" i="142"/>
  <c r="M27" i="142"/>
  <c r="M26" i="142"/>
  <c r="M25" i="142"/>
  <c r="M24" i="142"/>
  <c r="M21" i="142"/>
  <c r="M19" i="142"/>
  <c r="M18" i="142"/>
  <c r="M17" i="142"/>
  <c r="M16" i="142"/>
  <c r="W4" i="150" l="1"/>
  <c r="F79" i="150" l="1"/>
  <c r="F78" i="150"/>
  <c r="F81" i="150" l="1"/>
  <c r="F82" i="150" s="1"/>
  <c r="F83" i="150" s="1"/>
  <c r="AA4" i="65" l="1"/>
  <c r="J18" i="142" s="1"/>
  <c r="Z4" i="65"/>
  <c r="I18" i="142" s="1"/>
  <c r="Y4" i="65"/>
  <c r="H18" i="142" s="1"/>
  <c r="X4" i="65"/>
  <c r="G18" i="142" s="1"/>
  <c r="V4" i="65"/>
  <c r="E18" i="142" s="1"/>
  <c r="U4" i="65"/>
  <c r="D18" i="142" s="1"/>
  <c r="S4" i="65"/>
  <c r="B18" i="142" s="1"/>
  <c r="M36" i="35"/>
  <c r="C33" i="75" l="1"/>
  <c r="C32" i="75"/>
  <c r="C31" i="75"/>
  <c r="C30" i="75"/>
  <c r="C27" i="75"/>
  <c r="C26" i="75"/>
  <c r="C25" i="75"/>
  <c r="C23" i="75"/>
  <c r="C22" i="75"/>
  <c r="C21" i="75"/>
  <c r="C20" i="75"/>
  <c r="C19" i="75"/>
  <c r="C17" i="75"/>
  <c r="C16" i="75"/>
  <c r="C15" i="75"/>
  <c r="C14" i="75"/>
  <c r="C12" i="75"/>
  <c r="C11" i="75"/>
  <c r="C10" i="75"/>
  <c r="Q17" i="86" l="1"/>
  <c r="Q13" i="86"/>
  <c r="M22" i="142" l="1"/>
  <c r="N4" i="65"/>
  <c r="M4" i="65"/>
  <c r="L4" i="65"/>
  <c r="K4" i="65"/>
  <c r="J4" i="65"/>
  <c r="I4" i="65"/>
  <c r="H4" i="65"/>
  <c r="G4" i="65"/>
  <c r="D4" i="65"/>
  <c r="F4" i="65"/>
  <c r="E4" i="65"/>
  <c r="C4" i="65"/>
  <c r="O10" i="65"/>
  <c r="O7" i="65"/>
  <c r="R4" i="65" l="1"/>
  <c r="AD4" i="65" l="1"/>
  <c r="W18" i="150" l="1"/>
  <c r="C31" i="88" s="1"/>
  <c r="X18" i="150"/>
  <c r="D31" i="88" s="1"/>
  <c r="Y18" i="150"/>
  <c r="E31" i="88" s="1"/>
  <c r="Z18" i="150"/>
  <c r="F31" i="88" s="1"/>
  <c r="AA18" i="150"/>
  <c r="G31" i="88" s="1"/>
  <c r="AB18" i="150"/>
  <c r="H31" i="88" s="1"/>
  <c r="AC18" i="150"/>
  <c r="I31" i="88" s="1"/>
  <c r="AD18" i="150"/>
  <c r="J31" i="88" s="1"/>
  <c r="AE18" i="150"/>
  <c r="K31" i="88" s="1"/>
  <c r="AF18" i="150"/>
  <c r="L31" i="88" s="1"/>
  <c r="AG18" i="150"/>
  <c r="M31" i="88" s="1"/>
  <c r="V18" i="150"/>
  <c r="B31" i="88" s="1"/>
  <c r="A1" i="149"/>
  <c r="H57" i="150"/>
  <c r="G57" i="150"/>
  <c r="F57" i="150"/>
  <c r="G27" i="149" s="1"/>
  <c r="E57" i="150"/>
  <c r="D57" i="150"/>
  <c r="D27" i="149" s="1"/>
  <c r="C57" i="150"/>
  <c r="C27" i="149" s="1"/>
  <c r="H56" i="150"/>
  <c r="G56" i="150"/>
  <c r="F56" i="150"/>
  <c r="G26" i="149" s="1"/>
  <c r="E56" i="150"/>
  <c r="D56" i="150"/>
  <c r="D26" i="149" s="1"/>
  <c r="C56" i="150"/>
  <c r="C26" i="149" s="1"/>
  <c r="H55" i="150"/>
  <c r="G55" i="150"/>
  <c r="H25" i="149" s="1"/>
  <c r="F55" i="150"/>
  <c r="G25" i="149" s="1"/>
  <c r="E55" i="150"/>
  <c r="D55" i="150"/>
  <c r="D25" i="149" s="1"/>
  <c r="C55" i="150"/>
  <c r="C25" i="149" s="1"/>
  <c r="H54" i="150"/>
  <c r="G54" i="150"/>
  <c r="H24" i="149" s="1"/>
  <c r="F54" i="150"/>
  <c r="G24" i="149" s="1"/>
  <c r="E54" i="150"/>
  <c r="D54" i="150"/>
  <c r="D24" i="149" s="1"/>
  <c r="C54" i="150"/>
  <c r="C24" i="149" s="1"/>
  <c r="H53" i="150"/>
  <c r="G53" i="150"/>
  <c r="F53" i="150"/>
  <c r="G23" i="149" s="1"/>
  <c r="E53" i="150"/>
  <c r="D53" i="150"/>
  <c r="D23" i="149" s="1"/>
  <c r="C53" i="150"/>
  <c r="C23" i="149" s="1"/>
  <c r="H52" i="150"/>
  <c r="G52" i="150"/>
  <c r="F52" i="150"/>
  <c r="G22" i="149" s="1"/>
  <c r="E52" i="150"/>
  <c r="D52" i="150"/>
  <c r="D22" i="149" s="1"/>
  <c r="C52" i="150"/>
  <c r="C22" i="149" s="1"/>
  <c r="H51" i="150"/>
  <c r="G51" i="150"/>
  <c r="H21" i="149" s="1"/>
  <c r="F51" i="150"/>
  <c r="G21" i="149" s="1"/>
  <c r="E51" i="150"/>
  <c r="D51" i="150"/>
  <c r="D21" i="149" s="1"/>
  <c r="C51" i="150"/>
  <c r="C21" i="149" s="1"/>
  <c r="H50" i="150"/>
  <c r="G50" i="150"/>
  <c r="H20" i="149" s="1"/>
  <c r="F50" i="150"/>
  <c r="G20" i="149" s="1"/>
  <c r="E50" i="150"/>
  <c r="D50" i="150"/>
  <c r="D20" i="149" s="1"/>
  <c r="C50" i="150"/>
  <c r="C20" i="149" s="1"/>
  <c r="H49" i="150"/>
  <c r="G49" i="150"/>
  <c r="F49" i="150"/>
  <c r="G19" i="149" s="1"/>
  <c r="E49" i="150"/>
  <c r="D49" i="150"/>
  <c r="D19" i="149" s="1"/>
  <c r="C49" i="150"/>
  <c r="C19" i="149" s="1"/>
  <c r="H48" i="150"/>
  <c r="G48" i="150"/>
  <c r="F48" i="150"/>
  <c r="G18" i="149" s="1"/>
  <c r="E48" i="150"/>
  <c r="D48" i="150"/>
  <c r="D18" i="149" s="1"/>
  <c r="C48" i="150"/>
  <c r="C18" i="149" s="1"/>
  <c r="H47" i="150"/>
  <c r="G47" i="150"/>
  <c r="H17" i="149" s="1"/>
  <c r="F47" i="150"/>
  <c r="G17" i="149" s="1"/>
  <c r="E47" i="150"/>
  <c r="D47" i="150"/>
  <c r="D17" i="149" s="1"/>
  <c r="C47" i="150"/>
  <c r="C17" i="149" s="1"/>
  <c r="H46" i="150"/>
  <c r="G46" i="150"/>
  <c r="F46" i="150"/>
  <c r="G16" i="149" s="1"/>
  <c r="E46" i="150"/>
  <c r="D46" i="150"/>
  <c r="D16" i="149" s="1"/>
  <c r="C46" i="150"/>
  <c r="C16" i="149" s="1"/>
  <c r="H45" i="150"/>
  <c r="G45" i="150"/>
  <c r="H15" i="149" s="1"/>
  <c r="F45" i="150"/>
  <c r="G15" i="149" s="1"/>
  <c r="E45" i="150"/>
  <c r="D45" i="150"/>
  <c r="D15" i="149" s="1"/>
  <c r="C45" i="150"/>
  <c r="C15" i="149" s="1"/>
  <c r="R18" i="150"/>
  <c r="M30" i="88" s="1"/>
  <c r="Q18" i="150"/>
  <c r="L30" i="88" s="1"/>
  <c r="P18" i="150"/>
  <c r="K30" i="88" s="1"/>
  <c r="O18" i="150"/>
  <c r="J30" i="88" s="1"/>
  <c r="N18" i="150"/>
  <c r="I30" i="88" s="1"/>
  <c r="M18" i="150"/>
  <c r="H30" i="88" s="1"/>
  <c r="L18" i="150"/>
  <c r="G30" i="88" s="1"/>
  <c r="K18" i="150"/>
  <c r="F30" i="88" s="1"/>
  <c r="J18" i="150"/>
  <c r="E30" i="88" s="1"/>
  <c r="I18" i="150"/>
  <c r="D30" i="88" s="1"/>
  <c r="H18" i="150"/>
  <c r="C30" i="88" s="1"/>
  <c r="G18" i="150"/>
  <c r="B30" i="88" s="1"/>
  <c r="AJ17" i="150"/>
  <c r="AO17" i="150" s="1"/>
  <c r="U17" i="150"/>
  <c r="F17" i="150"/>
  <c r="AJ16" i="150"/>
  <c r="AO16" i="150" s="1"/>
  <c r="U16" i="150"/>
  <c r="F16" i="150"/>
  <c r="AJ15" i="150"/>
  <c r="AO15" i="150" s="1"/>
  <c r="U15" i="150"/>
  <c r="F15" i="150"/>
  <c r="AJ14" i="150"/>
  <c r="AO14" i="150" s="1"/>
  <c r="U14" i="150"/>
  <c r="F14" i="150"/>
  <c r="AJ13" i="150"/>
  <c r="AO13" i="150" s="1"/>
  <c r="U13" i="150"/>
  <c r="F13" i="150"/>
  <c r="AJ12" i="150"/>
  <c r="AO12" i="150" s="1"/>
  <c r="U12" i="150"/>
  <c r="F12" i="150"/>
  <c r="AJ11" i="150"/>
  <c r="AO11" i="150" s="1"/>
  <c r="U11" i="150"/>
  <c r="F11" i="150"/>
  <c r="AJ10" i="150"/>
  <c r="AO10" i="150" s="1"/>
  <c r="U10" i="150"/>
  <c r="F10" i="150"/>
  <c r="AJ9" i="150"/>
  <c r="AO9" i="150" s="1"/>
  <c r="U9" i="150"/>
  <c r="F9" i="150"/>
  <c r="AJ8" i="150"/>
  <c r="AO8" i="150" s="1"/>
  <c r="U8" i="150"/>
  <c r="F8" i="150"/>
  <c r="AJ7" i="150"/>
  <c r="AO7" i="150" s="1"/>
  <c r="U7" i="150"/>
  <c r="F7" i="150"/>
  <c r="AJ6" i="150"/>
  <c r="AO6" i="150" s="1"/>
  <c r="U6" i="150"/>
  <c r="F6" i="150"/>
  <c r="AJ5" i="150"/>
  <c r="AO5" i="150" s="1"/>
  <c r="U5" i="150"/>
  <c r="F5" i="150"/>
  <c r="AJ4" i="150"/>
  <c r="AO4" i="150" s="1"/>
  <c r="U4" i="150"/>
  <c r="F4" i="150"/>
  <c r="B27" i="149"/>
  <c r="A27" i="149"/>
  <c r="B26" i="149"/>
  <c r="A26" i="149"/>
  <c r="B25" i="149"/>
  <c r="A25" i="149"/>
  <c r="B24" i="149"/>
  <c r="A24" i="149"/>
  <c r="B23" i="149"/>
  <c r="A23" i="149"/>
  <c r="B22" i="149"/>
  <c r="A22" i="149"/>
  <c r="B21" i="149"/>
  <c r="A21" i="149"/>
  <c r="B20" i="149"/>
  <c r="A20" i="149"/>
  <c r="B19" i="149"/>
  <c r="A19" i="149"/>
  <c r="B18" i="149"/>
  <c r="A18" i="149"/>
  <c r="B17" i="149"/>
  <c r="A17" i="149"/>
  <c r="B16" i="149"/>
  <c r="A16" i="149"/>
  <c r="B15" i="149"/>
  <c r="A15" i="149"/>
  <c r="AI11" i="150" l="1"/>
  <c r="T12" i="150"/>
  <c r="AI15" i="150"/>
  <c r="T16" i="150"/>
  <c r="AI8" i="150"/>
  <c r="T9" i="150"/>
  <c r="T13" i="150"/>
  <c r="AI12" i="150"/>
  <c r="S18" i="150"/>
  <c r="AI5" i="150"/>
  <c r="T6" i="150"/>
  <c r="AI7" i="150"/>
  <c r="T11" i="150"/>
  <c r="T15" i="150"/>
  <c r="AI4" i="150"/>
  <c r="T5" i="150"/>
  <c r="U18" i="150"/>
  <c r="AI9" i="150"/>
  <c r="T10" i="150"/>
  <c r="AI16" i="150"/>
  <c r="T17" i="150"/>
  <c r="AI6" i="150"/>
  <c r="T7" i="150"/>
  <c r="T8" i="150"/>
  <c r="AI14" i="150"/>
  <c r="AI17" i="150"/>
  <c r="E23" i="149"/>
  <c r="AI10" i="150"/>
  <c r="AI13" i="150"/>
  <c r="T14" i="150"/>
  <c r="I25" i="149"/>
  <c r="I20" i="149"/>
  <c r="D60" i="150"/>
  <c r="E17" i="149"/>
  <c r="F62" i="150"/>
  <c r="D64" i="150"/>
  <c r="E21" i="149"/>
  <c r="F66" i="150"/>
  <c r="D68" i="150"/>
  <c r="E25" i="149"/>
  <c r="F70" i="150"/>
  <c r="D72" i="150"/>
  <c r="I17" i="149"/>
  <c r="E19" i="149"/>
  <c r="I21" i="149"/>
  <c r="I16" i="149"/>
  <c r="I24" i="149"/>
  <c r="E61" i="150"/>
  <c r="F63" i="150"/>
  <c r="E65" i="150"/>
  <c r="F67" i="150"/>
  <c r="E69" i="150"/>
  <c r="F71" i="150"/>
  <c r="C28" i="149"/>
  <c r="C30" i="149" s="1"/>
  <c r="C10" i="149" s="1"/>
  <c r="B42" i="30" s="1"/>
  <c r="G28" i="149"/>
  <c r="G30" i="149" s="1"/>
  <c r="G10" i="149" s="1"/>
  <c r="B43" i="30" s="1"/>
  <c r="E63" i="150"/>
  <c r="F69" i="150"/>
  <c r="I15" i="149"/>
  <c r="H18" i="149"/>
  <c r="I18" i="149" s="1"/>
  <c r="H23" i="149"/>
  <c r="I23" i="149" s="1"/>
  <c r="H26" i="149"/>
  <c r="I26" i="149" s="1"/>
  <c r="E27" i="149"/>
  <c r="F65" i="150"/>
  <c r="D71" i="150"/>
  <c r="F61" i="150"/>
  <c r="D67" i="150"/>
  <c r="H19" i="149"/>
  <c r="I19" i="149" s="1"/>
  <c r="H22" i="149"/>
  <c r="I22" i="149" s="1"/>
  <c r="H27" i="149"/>
  <c r="I27" i="149" s="1"/>
  <c r="E60" i="150"/>
  <c r="E18" i="149"/>
  <c r="E64" i="150"/>
  <c r="E20" i="149"/>
  <c r="E22" i="149"/>
  <c r="E68" i="150"/>
  <c r="E24" i="149"/>
  <c r="E26" i="149"/>
  <c r="E71" i="150"/>
  <c r="E72" i="150"/>
  <c r="D63" i="150"/>
  <c r="E67" i="150"/>
  <c r="AH18" i="150"/>
  <c r="AJ18" i="150"/>
  <c r="T4" i="150"/>
  <c r="E16" i="149"/>
  <c r="D28" i="149"/>
  <c r="D30" i="149" s="1"/>
  <c r="F60" i="150"/>
  <c r="D62" i="150"/>
  <c r="F64" i="150"/>
  <c r="F68" i="150"/>
  <c r="F72" i="150"/>
  <c r="D61" i="150"/>
  <c r="E62" i="150"/>
  <c r="D65" i="150"/>
  <c r="E66" i="150"/>
  <c r="D69" i="150"/>
  <c r="E70" i="150"/>
  <c r="D66" i="150"/>
  <c r="D70" i="150"/>
  <c r="E15" i="149"/>
  <c r="E73" i="150" l="1"/>
  <c r="D79" i="150" s="1"/>
  <c r="F73" i="150"/>
  <c r="D80" i="150" s="1"/>
  <c r="D73" i="150"/>
  <c r="D78" i="150" s="1"/>
  <c r="AI18" i="150"/>
  <c r="T18" i="150"/>
  <c r="E28" i="149"/>
  <c r="I28" i="149"/>
  <c r="H28" i="149"/>
  <c r="H30" i="149" s="1"/>
  <c r="E30" i="149"/>
  <c r="E10" i="149" s="1"/>
  <c r="D10" i="149"/>
  <c r="C42" i="30" s="1"/>
  <c r="I30" i="149" l="1"/>
  <c r="I10" i="149" s="1"/>
  <c r="H10" i="149"/>
  <c r="C43" i="30" s="1"/>
  <c r="H70" i="145"/>
  <c r="U26" i="84" l="1"/>
  <c r="U28" i="84"/>
  <c r="U21" i="84"/>
  <c r="U18" i="84"/>
  <c r="U16" i="84"/>
  <c r="U12" i="84"/>
  <c r="T42" i="83" l="1"/>
  <c r="U42" i="83"/>
  <c r="U61" i="83"/>
  <c r="S64" i="83"/>
  <c r="S61" i="83"/>
  <c r="T61" i="83"/>
  <c r="T64" i="83"/>
  <c r="F18" i="86" l="1"/>
  <c r="BH4" i="65" l="1"/>
  <c r="AI63" i="83" l="1"/>
  <c r="AI64" i="83"/>
  <c r="AH64" i="83"/>
  <c r="AG64" i="83"/>
  <c r="AF64" i="83"/>
  <c r="AE64" i="83"/>
  <c r="AD64" i="83"/>
  <c r="AC64" i="83"/>
  <c r="AB64" i="83"/>
  <c r="AA64" i="83"/>
  <c r="Z64" i="83"/>
  <c r="Y64" i="83"/>
  <c r="X64" i="83"/>
  <c r="U64" i="83"/>
  <c r="R64" i="83"/>
  <c r="Q64" i="83"/>
  <c r="P64" i="83"/>
  <c r="O64" i="83"/>
  <c r="N64" i="83"/>
  <c r="M64" i="83"/>
  <c r="L64" i="83"/>
  <c r="K64" i="83"/>
  <c r="J64" i="83"/>
  <c r="AH63" i="83"/>
  <c r="AG63" i="83"/>
  <c r="AF63" i="83"/>
  <c r="AE63" i="83"/>
  <c r="AD63" i="83"/>
  <c r="AC63" i="83"/>
  <c r="AB63" i="83"/>
  <c r="AA63" i="83"/>
  <c r="Z63" i="83"/>
  <c r="Y63" i="83"/>
  <c r="X63" i="83"/>
  <c r="U63" i="83"/>
  <c r="T63" i="83"/>
  <c r="S63" i="83"/>
  <c r="R63" i="83"/>
  <c r="Q63" i="83"/>
  <c r="P63" i="83"/>
  <c r="O63" i="83"/>
  <c r="N63" i="83"/>
  <c r="M63" i="83"/>
  <c r="L63" i="83"/>
  <c r="K63" i="83"/>
  <c r="J63" i="83"/>
  <c r="AI62" i="83"/>
  <c r="AH62" i="83"/>
  <c r="AG62" i="83"/>
  <c r="AF62" i="83"/>
  <c r="AE62" i="83"/>
  <c r="AD62" i="83"/>
  <c r="AC62" i="83"/>
  <c r="AB62" i="83"/>
  <c r="AA62" i="83"/>
  <c r="Z62" i="83"/>
  <c r="Y62" i="83"/>
  <c r="X62" i="83"/>
  <c r="U62" i="83"/>
  <c r="T62" i="83"/>
  <c r="S62" i="83"/>
  <c r="R62" i="83"/>
  <c r="Q62" i="83"/>
  <c r="P62" i="83"/>
  <c r="O62" i="83"/>
  <c r="N62" i="83"/>
  <c r="M62" i="83"/>
  <c r="L62" i="83"/>
  <c r="K62" i="83"/>
  <c r="J62" i="83"/>
  <c r="AI61" i="83"/>
  <c r="AH61" i="83"/>
  <c r="AG61" i="83"/>
  <c r="AF61" i="83"/>
  <c r="AE61" i="83"/>
  <c r="AD61" i="83"/>
  <c r="AC61" i="83"/>
  <c r="AB61" i="83"/>
  <c r="AA61" i="83"/>
  <c r="Z61" i="83"/>
  <c r="Y61" i="83"/>
  <c r="X61" i="83"/>
  <c r="R61" i="83"/>
  <c r="Q61" i="83"/>
  <c r="P61" i="83"/>
  <c r="O61" i="83"/>
  <c r="N61" i="83"/>
  <c r="M61" i="83"/>
  <c r="L61" i="83"/>
  <c r="K61" i="83"/>
  <c r="J61" i="83"/>
  <c r="B61" i="83" l="1"/>
  <c r="C62" i="83"/>
  <c r="B62" i="83"/>
  <c r="C63" i="83"/>
  <c r="C30" i="29" s="1"/>
  <c r="B63" i="83"/>
  <c r="C64" i="83"/>
  <c r="B64" i="83"/>
  <c r="C61" i="83"/>
  <c r="G61" i="83"/>
  <c r="AJ61" i="83"/>
  <c r="G62" i="83"/>
  <c r="V63" i="83"/>
  <c r="AJ63" i="83"/>
  <c r="V64" i="83"/>
  <c r="AJ64" i="83"/>
  <c r="G64" i="83"/>
  <c r="F62" i="83"/>
  <c r="G63" i="83"/>
  <c r="V62" i="83"/>
  <c r="AJ62" i="83"/>
  <c r="F61" i="83"/>
  <c r="F63" i="83"/>
  <c r="V61" i="83"/>
  <c r="F64" i="83"/>
  <c r="H63" i="83" l="1"/>
  <c r="H61" i="83"/>
  <c r="D62" i="83"/>
  <c r="D64" i="83"/>
  <c r="H62" i="83"/>
  <c r="H64" i="83"/>
  <c r="D63" i="83"/>
  <c r="D61" i="83"/>
  <c r="AI50" i="83" l="1"/>
  <c r="AH50" i="83"/>
  <c r="AG50" i="83"/>
  <c r="AF50" i="83"/>
  <c r="AE50" i="83"/>
  <c r="AD50" i="83"/>
  <c r="AC50" i="83"/>
  <c r="AB50" i="83"/>
  <c r="AA50" i="83"/>
  <c r="Z50" i="83"/>
  <c r="Y50" i="83"/>
  <c r="X50" i="83"/>
  <c r="AI49" i="83"/>
  <c r="AH49" i="83"/>
  <c r="AG49" i="83"/>
  <c r="AF49" i="83"/>
  <c r="AE49" i="83"/>
  <c r="AD49" i="83"/>
  <c r="AC49" i="83"/>
  <c r="AB49" i="83"/>
  <c r="AA49" i="83"/>
  <c r="Z49" i="83"/>
  <c r="Y49" i="83"/>
  <c r="X49" i="83"/>
  <c r="AI48" i="83"/>
  <c r="AH48" i="83"/>
  <c r="AG48" i="83"/>
  <c r="AF48" i="83"/>
  <c r="AE48" i="83"/>
  <c r="AD48" i="83"/>
  <c r="AC48" i="83"/>
  <c r="AB48" i="83"/>
  <c r="AA48" i="83"/>
  <c r="Z48" i="83"/>
  <c r="Y48" i="83"/>
  <c r="X48" i="83"/>
  <c r="U50" i="83"/>
  <c r="T50" i="83"/>
  <c r="S50" i="83"/>
  <c r="R50" i="83"/>
  <c r="Q50" i="83"/>
  <c r="P50" i="83"/>
  <c r="O50" i="83"/>
  <c r="N50" i="83"/>
  <c r="M50" i="83"/>
  <c r="L50" i="83"/>
  <c r="K50" i="83"/>
  <c r="J50" i="83"/>
  <c r="U49" i="83"/>
  <c r="T49" i="83"/>
  <c r="S49" i="83"/>
  <c r="R49" i="83"/>
  <c r="Q49" i="83"/>
  <c r="P49" i="83"/>
  <c r="O49" i="83"/>
  <c r="N49" i="83"/>
  <c r="M49" i="83"/>
  <c r="L49" i="83"/>
  <c r="K49" i="83"/>
  <c r="J49" i="83"/>
  <c r="U48" i="83"/>
  <c r="T48" i="83"/>
  <c r="S48" i="83"/>
  <c r="R48" i="83"/>
  <c r="Q48" i="83"/>
  <c r="P48" i="83"/>
  <c r="O48" i="83"/>
  <c r="N48" i="83"/>
  <c r="M48" i="83"/>
  <c r="L48" i="83"/>
  <c r="K48" i="83"/>
  <c r="J48" i="83"/>
  <c r="AI58" i="83"/>
  <c r="AH58" i="83"/>
  <c r="AG58" i="83"/>
  <c r="AF58" i="83"/>
  <c r="AE58" i="83"/>
  <c r="AD58" i="83"/>
  <c r="AC58" i="83"/>
  <c r="AB58" i="83"/>
  <c r="AA58" i="83"/>
  <c r="Z58" i="83"/>
  <c r="Y58" i="83"/>
  <c r="X58" i="83"/>
  <c r="AI57" i="83"/>
  <c r="AH57" i="83"/>
  <c r="AG57" i="83"/>
  <c r="AF57" i="83"/>
  <c r="AE57" i="83"/>
  <c r="AD57" i="83"/>
  <c r="AC57" i="83"/>
  <c r="AB57" i="83"/>
  <c r="AA57" i="83"/>
  <c r="Z57" i="83"/>
  <c r="Y57" i="83"/>
  <c r="X57" i="83"/>
  <c r="AI56" i="83"/>
  <c r="AH56" i="83"/>
  <c r="AG56" i="83"/>
  <c r="AF56" i="83"/>
  <c r="AE56" i="83"/>
  <c r="AD56" i="83"/>
  <c r="AC56" i="83"/>
  <c r="AB56" i="83"/>
  <c r="AA56" i="83"/>
  <c r="Z56" i="83"/>
  <c r="Y56" i="83"/>
  <c r="X56" i="83"/>
  <c r="AI55" i="83"/>
  <c r="AH55" i="83"/>
  <c r="AG55" i="83"/>
  <c r="AF55" i="83"/>
  <c r="AE55" i="83"/>
  <c r="AD55" i="83"/>
  <c r="AC55" i="83"/>
  <c r="AB55" i="83"/>
  <c r="AA55" i="83"/>
  <c r="Z55" i="83"/>
  <c r="Y55" i="83"/>
  <c r="X55" i="83"/>
  <c r="AI54" i="83"/>
  <c r="AH54" i="83"/>
  <c r="AG54" i="83"/>
  <c r="AF54" i="83"/>
  <c r="AE54" i="83"/>
  <c r="AD54" i="83"/>
  <c r="AC54" i="83"/>
  <c r="AB54" i="83"/>
  <c r="AA54" i="83"/>
  <c r="Z54" i="83"/>
  <c r="Y54" i="83"/>
  <c r="X54" i="83"/>
  <c r="U58" i="83"/>
  <c r="T58" i="83"/>
  <c r="S58" i="83"/>
  <c r="R58" i="83"/>
  <c r="Q58" i="83"/>
  <c r="P58" i="83"/>
  <c r="O58" i="83"/>
  <c r="N58" i="83"/>
  <c r="M58" i="83"/>
  <c r="L58" i="83"/>
  <c r="K58" i="83"/>
  <c r="U57" i="83"/>
  <c r="T57" i="83"/>
  <c r="S57" i="83"/>
  <c r="R57" i="83"/>
  <c r="Q57" i="83"/>
  <c r="P57" i="83"/>
  <c r="O57" i="83"/>
  <c r="N57" i="83"/>
  <c r="M57" i="83"/>
  <c r="L57" i="83"/>
  <c r="K57" i="83"/>
  <c r="U56" i="83"/>
  <c r="T56" i="83"/>
  <c r="S56" i="83"/>
  <c r="R56" i="83"/>
  <c r="Q56" i="83"/>
  <c r="P56" i="83"/>
  <c r="O56" i="83"/>
  <c r="N56" i="83"/>
  <c r="M56" i="83"/>
  <c r="L56" i="83"/>
  <c r="K56" i="83"/>
  <c r="U55" i="83"/>
  <c r="T55" i="83"/>
  <c r="S55" i="83"/>
  <c r="R55" i="83"/>
  <c r="Q55" i="83"/>
  <c r="P55" i="83"/>
  <c r="O55" i="83"/>
  <c r="N55" i="83"/>
  <c r="M55" i="83"/>
  <c r="L55" i="83"/>
  <c r="K55" i="83"/>
  <c r="U54" i="83"/>
  <c r="T54" i="83"/>
  <c r="S54" i="83"/>
  <c r="R54" i="83"/>
  <c r="Q54" i="83"/>
  <c r="P54" i="83"/>
  <c r="O54" i="83"/>
  <c r="N54" i="83"/>
  <c r="M54" i="83"/>
  <c r="L54" i="83"/>
  <c r="K54" i="83"/>
  <c r="J58" i="83"/>
  <c r="J57" i="83"/>
  <c r="J56" i="83"/>
  <c r="J55" i="83"/>
  <c r="J54" i="83"/>
  <c r="AI46" i="83"/>
  <c r="AH46" i="83"/>
  <c r="AG46" i="83"/>
  <c r="AF46" i="83"/>
  <c r="AE46" i="83"/>
  <c r="AD46" i="83"/>
  <c r="AC46" i="83"/>
  <c r="AB46" i="83"/>
  <c r="AA46" i="83"/>
  <c r="Z46" i="83"/>
  <c r="Y46" i="83"/>
  <c r="AI45" i="83"/>
  <c r="AH45" i="83"/>
  <c r="AG45" i="83"/>
  <c r="AF45" i="83"/>
  <c r="AE45" i="83"/>
  <c r="AD45" i="83"/>
  <c r="AC45" i="83"/>
  <c r="AB45" i="83"/>
  <c r="AA45" i="83"/>
  <c r="Z45" i="83"/>
  <c r="AI44" i="83"/>
  <c r="AH44" i="83"/>
  <c r="AG44" i="83"/>
  <c r="AF44" i="83"/>
  <c r="AE44" i="83"/>
  <c r="AD44" i="83"/>
  <c r="AC44" i="83"/>
  <c r="AB44" i="83"/>
  <c r="AA44" i="83"/>
  <c r="Y44" i="83"/>
  <c r="AI43" i="83"/>
  <c r="AH43" i="83"/>
  <c r="AG43" i="83"/>
  <c r="AF43" i="83"/>
  <c r="AE43" i="83"/>
  <c r="AD43" i="83"/>
  <c r="AC43" i="83"/>
  <c r="AB43" i="83"/>
  <c r="AA43" i="83"/>
  <c r="Z43" i="83"/>
  <c r="Y43" i="83"/>
  <c r="AI42" i="83"/>
  <c r="AH42" i="83"/>
  <c r="AG42" i="83"/>
  <c r="AF42" i="83"/>
  <c r="AE42" i="83"/>
  <c r="AD42" i="83"/>
  <c r="AC42" i="83"/>
  <c r="AB42" i="83"/>
  <c r="AA42" i="83"/>
  <c r="AI41" i="83"/>
  <c r="AH41" i="83"/>
  <c r="AG41" i="83"/>
  <c r="AF41" i="83"/>
  <c r="AE41" i="83"/>
  <c r="AD41" i="83"/>
  <c r="AC41" i="83"/>
  <c r="AB41" i="83"/>
  <c r="AA41" i="83"/>
  <c r="Z41" i="83"/>
  <c r="Y41" i="83"/>
  <c r="AI40" i="83"/>
  <c r="AH40" i="83"/>
  <c r="AG40" i="83"/>
  <c r="AF40" i="83"/>
  <c r="AE40" i="83"/>
  <c r="AD40" i="83"/>
  <c r="AC40" i="83"/>
  <c r="AB40" i="83"/>
  <c r="AA40" i="83"/>
  <c r="Y40" i="83"/>
  <c r="AI39" i="83"/>
  <c r="AH39" i="83"/>
  <c r="AG39" i="83"/>
  <c r="AF39" i="83"/>
  <c r="AE39" i="83"/>
  <c r="AD39" i="83"/>
  <c r="AC39" i="83"/>
  <c r="AB39" i="83"/>
  <c r="AA39" i="83"/>
  <c r="Y39" i="83"/>
  <c r="AI38" i="83"/>
  <c r="AH38" i="83"/>
  <c r="AG38" i="83"/>
  <c r="AF38" i="83"/>
  <c r="AE38" i="83"/>
  <c r="AD38" i="83"/>
  <c r="AC38" i="83"/>
  <c r="AB38" i="83"/>
  <c r="AA38" i="83"/>
  <c r="Z38" i="83"/>
  <c r="Y38" i="83"/>
  <c r="AI37" i="83"/>
  <c r="AH37" i="83"/>
  <c r="AG37" i="83"/>
  <c r="AF37" i="83"/>
  <c r="AE37" i="83"/>
  <c r="AD37" i="83"/>
  <c r="AC37" i="83"/>
  <c r="AB37" i="83"/>
  <c r="AA37" i="83"/>
  <c r="AI36" i="83"/>
  <c r="AH36" i="83"/>
  <c r="AG36" i="83"/>
  <c r="AF36" i="83"/>
  <c r="AE36" i="83"/>
  <c r="AD36" i="83"/>
  <c r="AC36" i="83"/>
  <c r="AB36" i="83"/>
  <c r="Z36" i="83"/>
  <c r="Y36" i="83"/>
  <c r="AI35" i="83"/>
  <c r="AH35" i="83"/>
  <c r="AG35" i="83"/>
  <c r="AF35" i="83"/>
  <c r="AE35" i="83"/>
  <c r="AD35" i="83"/>
  <c r="AC35" i="83"/>
  <c r="AB35" i="83"/>
  <c r="AA35" i="83"/>
  <c r="AI34" i="83"/>
  <c r="AH34" i="83"/>
  <c r="AG34" i="83"/>
  <c r="AF34" i="83"/>
  <c r="AE34" i="83"/>
  <c r="AD34" i="83"/>
  <c r="AC34" i="83"/>
  <c r="AB34" i="83"/>
  <c r="AA34" i="83"/>
  <c r="X46" i="83"/>
  <c r="X45" i="83"/>
  <c r="X44" i="83"/>
  <c r="X43" i="83"/>
  <c r="X42" i="83"/>
  <c r="X41" i="83"/>
  <c r="X40" i="83"/>
  <c r="X39" i="83"/>
  <c r="X38" i="83"/>
  <c r="X37" i="83"/>
  <c r="X36" i="83"/>
  <c r="X35" i="83"/>
  <c r="X34" i="83"/>
  <c r="U46" i="83"/>
  <c r="T46" i="83"/>
  <c r="S46" i="83"/>
  <c r="R46" i="83"/>
  <c r="Q46" i="83"/>
  <c r="P46" i="83"/>
  <c r="O46" i="83"/>
  <c r="N46" i="83"/>
  <c r="M46" i="83"/>
  <c r="L46" i="83"/>
  <c r="K46" i="83"/>
  <c r="U45" i="83"/>
  <c r="T45" i="83"/>
  <c r="S45" i="83"/>
  <c r="R45" i="83"/>
  <c r="Q45" i="83"/>
  <c r="P45" i="83"/>
  <c r="O45" i="83"/>
  <c r="N45" i="83"/>
  <c r="M45" i="83"/>
  <c r="L45" i="83"/>
  <c r="K45" i="83"/>
  <c r="U44" i="83"/>
  <c r="T44" i="83"/>
  <c r="S44" i="83"/>
  <c r="R44" i="83"/>
  <c r="Q44" i="83"/>
  <c r="P44" i="83"/>
  <c r="O44" i="83"/>
  <c r="N44" i="83"/>
  <c r="M44" i="83"/>
  <c r="L44" i="83"/>
  <c r="K44" i="83"/>
  <c r="U43" i="83"/>
  <c r="T43" i="83"/>
  <c r="S43" i="83"/>
  <c r="R43" i="83"/>
  <c r="Q43" i="83"/>
  <c r="P43" i="83"/>
  <c r="O43" i="83"/>
  <c r="N43" i="83"/>
  <c r="M43" i="83"/>
  <c r="L43" i="83"/>
  <c r="K43" i="83"/>
  <c r="S42" i="83"/>
  <c r="R42" i="83"/>
  <c r="Q42" i="83"/>
  <c r="P42" i="83"/>
  <c r="O42" i="83"/>
  <c r="N42" i="83"/>
  <c r="M42" i="83"/>
  <c r="L42" i="83"/>
  <c r="K42" i="83"/>
  <c r="U41" i="83"/>
  <c r="T41" i="83"/>
  <c r="S41" i="83"/>
  <c r="R41" i="83"/>
  <c r="Q41" i="83"/>
  <c r="P41" i="83"/>
  <c r="O41" i="83"/>
  <c r="N41" i="83"/>
  <c r="M41" i="83"/>
  <c r="L41" i="83"/>
  <c r="K41" i="83"/>
  <c r="U40" i="83"/>
  <c r="T40" i="83"/>
  <c r="S40" i="83"/>
  <c r="R40" i="83"/>
  <c r="Q40" i="83"/>
  <c r="P40" i="83"/>
  <c r="O40" i="83"/>
  <c r="N40" i="83"/>
  <c r="M40" i="83"/>
  <c r="L40" i="83"/>
  <c r="K40" i="83"/>
  <c r="U39" i="83"/>
  <c r="T39" i="83"/>
  <c r="S39" i="83"/>
  <c r="R39" i="83"/>
  <c r="Q39" i="83"/>
  <c r="P39" i="83"/>
  <c r="O39" i="83"/>
  <c r="N39" i="83"/>
  <c r="M39" i="83"/>
  <c r="L39" i="83"/>
  <c r="K39" i="83"/>
  <c r="U38" i="83"/>
  <c r="T38" i="83"/>
  <c r="S38" i="83"/>
  <c r="R38" i="83"/>
  <c r="Q38" i="83"/>
  <c r="P38" i="83"/>
  <c r="O38" i="83"/>
  <c r="N38" i="83"/>
  <c r="M38" i="83"/>
  <c r="L38" i="83"/>
  <c r="K38" i="83"/>
  <c r="U37" i="83"/>
  <c r="T37" i="83"/>
  <c r="S37" i="83"/>
  <c r="R37" i="83"/>
  <c r="Q37" i="83"/>
  <c r="P37" i="83"/>
  <c r="O37" i="83"/>
  <c r="N37" i="83"/>
  <c r="M37" i="83"/>
  <c r="L37" i="83"/>
  <c r="K37" i="83"/>
  <c r="U36" i="83"/>
  <c r="T36" i="83"/>
  <c r="S36" i="83"/>
  <c r="R36" i="83"/>
  <c r="Q36" i="83"/>
  <c r="P36" i="83"/>
  <c r="O36" i="83"/>
  <c r="N36" i="83"/>
  <c r="M36" i="83"/>
  <c r="L36" i="83"/>
  <c r="K36" i="83"/>
  <c r="U35" i="83"/>
  <c r="T35" i="83"/>
  <c r="S35" i="83"/>
  <c r="R35" i="83"/>
  <c r="Q35" i="83"/>
  <c r="P35" i="83"/>
  <c r="O35" i="83"/>
  <c r="N35" i="83"/>
  <c r="M35" i="83"/>
  <c r="L35" i="83"/>
  <c r="U34" i="83"/>
  <c r="T34" i="83"/>
  <c r="S34" i="83"/>
  <c r="R34" i="83"/>
  <c r="Q34" i="83"/>
  <c r="P34" i="83"/>
  <c r="O34" i="83"/>
  <c r="N34" i="83"/>
  <c r="M34" i="83"/>
  <c r="L34" i="83"/>
  <c r="K34" i="83"/>
  <c r="J46" i="83"/>
  <c r="J45" i="83"/>
  <c r="J44" i="83"/>
  <c r="J43" i="83"/>
  <c r="J42" i="83"/>
  <c r="J41" i="83"/>
  <c r="J40" i="83"/>
  <c r="J39" i="83"/>
  <c r="J38" i="83"/>
  <c r="J37" i="83"/>
  <c r="J36" i="83"/>
  <c r="J35" i="83"/>
  <c r="J34" i="83"/>
  <c r="AI32" i="83"/>
  <c r="AH32" i="83"/>
  <c r="AG32" i="83"/>
  <c r="AF32" i="83"/>
  <c r="AE32" i="83"/>
  <c r="AD32" i="83"/>
  <c r="AC32" i="83"/>
  <c r="AB32" i="83"/>
  <c r="AA32" i="83"/>
  <c r="Z32" i="83"/>
  <c r="Y32" i="83"/>
  <c r="AI31" i="83"/>
  <c r="AH31" i="83"/>
  <c r="AG31" i="83"/>
  <c r="AF31" i="83"/>
  <c r="AE31" i="83"/>
  <c r="AD31" i="83"/>
  <c r="AC31" i="83"/>
  <c r="AB31" i="83"/>
  <c r="AA31" i="83"/>
  <c r="Z31" i="83"/>
  <c r="Y31" i="83"/>
  <c r="AI30" i="83"/>
  <c r="AH30" i="83"/>
  <c r="AG30" i="83"/>
  <c r="AF30" i="83"/>
  <c r="AE30" i="83"/>
  <c r="AD30" i="83"/>
  <c r="AC30" i="83"/>
  <c r="AB30" i="83"/>
  <c r="AA30" i="83"/>
  <c r="Z30" i="83"/>
  <c r="Y30" i="83"/>
  <c r="AI29" i="83"/>
  <c r="AH29" i="83"/>
  <c r="AG29" i="83"/>
  <c r="AF29" i="83"/>
  <c r="AE29" i="83"/>
  <c r="AD29" i="83"/>
  <c r="AC29" i="83"/>
  <c r="AB29" i="83"/>
  <c r="AA29" i="83"/>
  <c r="Z29" i="83"/>
  <c r="Y29" i="83"/>
  <c r="AI28" i="83"/>
  <c r="AH28" i="83"/>
  <c r="AG28" i="83"/>
  <c r="AF28" i="83"/>
  <c r="AE28" i="83"/>
  <c r="AD28" i="83"/>
  <c r="AC28" i="83"/>
  <c r="AB28" i="83"/>
  <c r="AA28" i="83"/>
  <c r="Z28" i="83"/>
  <c r="Y28" i="83"/>
  <c r="AI27" i="83"/>
  <c r="AH27" i="83"/>
  <c r="AG27" i="83"/>
  <c r="AF27" i="83"/>
  <c r="AE27" i="83"/>
  <c r="AD27" i="83"/>
  <c r="AC27" i="83"/>
  <c r="AB27" i="83"/>
  <c r="AA27" i="83"/>
  <c r="Z27" i="83"/>
  <c r="Y27" i="83"/>
  <c r="AI26" i="83"/>
  <c r="AH26" i="83"/>
  <c r="AG26" i="83"/>
  <c r="AF26" i="83"/>
  <c r="AE26" i="83"/>
  <c r="AD26" i="83"/>
  <c r="AC26" i="83"/>
  <c r="AB26" i="83"/>
  <c r="AA26" i="83"/>
  <c r="Z26" i="83"/>
  <c r="Y26" i="83"/>
  <c r="AI25" i="83"/>
  <c r="AH25" i="83"/>
  <c r="AG25" i="83"/>
  <c r="AF25" i="83"/>
  <c r="AE25" i="83"/>
  <c r="AD25" i="83"/>
  <c r="AC25" i="83"/>
  <c r="AB25" i="83"/>
  <c r="AA25" i="83"/>
  <c r="Z25" i="83"/>
  <c r="Y25" i="83"/>
  <c r="AI24" i="83"/>
  <c r="AH24" i="83"/>
  <c r="AG24" i="83"/>
  <c r="AF24" i="83"/>
  <c r="AE24" i="83"/>
  <c r="AD24" i="83"/>
  <c r="AC24" i="83"/>
  <c r="AB24" i="83"/>
  <c r="AA24" i="83"/>
  <c r="Z24" i="83"/>
  <c r="Y24" i="83"/>
  <c r="X32" i="83"/>
  <c r="X31" i="83"/>
  <c r="X30" i="83"/>
  <c r="X29" i="83"/>
  <c r="X28" i="83"/>
  <c r="X27" i="83"/>
  <c r="X26" i="83"/>
  <c r="X25" i="83"/>
  <c r="X24" i="83"/>
  <c r="U32" i="83"/>
  <c r="T32" i="83"/>
  <c r="S32" i="83"/>
  <c r="R32" i="83"/>
  <c r="Q32" i="83"/>
  <c r="P32" i="83"/>
  <c r="O32" i="83"/>
  <c r="N32" i="83"/>
  <c r="M32" i="83"/>
  <c r="L32" i="83"/>
  <c r="K32" i="83"/>
  <c r="U31" i="83"/>
  <c r="T31" i="83"/>
  <c r="S31" i="83"/>
  <c r="R31" i="83"/>
  <c r="Q31" i="83"/>
  <c r="P31" i="83"/>
  <c r="O31" i="83"/>
  <c r="N31" i="83"/>
  <c r="M31" i="83"/>
  <c r="L31" i="83"/>
  <c r="K31" i="83"/>
  <c r="U30" i="83"/>
  <c r="T30" i="83"/>
  <c r="S30" i="83"/>
  <c r="R30" i="83"/>
  <c r="Q30" i="83"/>
  <c r="P30" i="83"/>
  <c r="O30" i="83"/>
  <c r="N30" i="83"/>
  <c r="M30" i="83"/>
  <c r="L30" i="83"/>
  <c r="K30" i="83"/>
  <c r="U29" i="83"/>
  <c r="T29" i="83"/>
  <c r="S29" i="83"/>
  <c r="R29" i="83"/>
  <c r="Q29" i="83"/>
  <c r="P29" i="83"/>
  <c r="O29" i="83"/>
  <c r="N29" i="83"/>
  <c r="M29" i="83"/>
  <c r="L29" i="83"/>
  <c r="K29" i="83"/>
  <c r="U28" i="83"/>
  <c r="T28" i="83"/>
  <c r="S28" i="83"/>
  <c r="R28" i="83"/>
  <c r="Q28" i="83"/>
  <c r="P28" i="83"/>
  <c r="O28" i="83"/>
  <c r="N28" i="83"/>
  <c r="M28" i="83"/>
  <c r="L28" i="83"/>
  <c r="K28" i="83"/>
  <c r="U27" i="83"/>
  <c r="T27" i="83"/>
  <c r="S27" i="83"/>
  <c r="R27" i="83"/>
  <c r="Q27" i="83"/>
  <c r="P27" i="83"/>
  <c r="O27" i="83"/>
  <c r="N27" i="83"/>
  <c r="M27" i="83"/>
  <c r="L27" i="83"/>
  <c r="K27" i="83"/>
  <c r="U26" i="83"/>
  <c r="T26" i="83"/>
  <c r="S26" i="83"/>
  <c r="R26" i="83"/>
  <c r="Q26" i="83"/>
  <c r="P26" i="83"/>
  <c r="O26" i="83"/>
  <c r="N26" i="83"/>
  <c r="M26" i="83"/>
  <c r="L26" i="83"/>
  <c r="K26" i="83"/>
  <c r="U25" i="83"/>
  <c r="T25" i="83"/>
  <c r="S25" i="83"/>
  <c r="R25" i="83"/>
  <c r="Q25" i="83"/>
  <c r="P25" i="83"/>
  <c r="O25" i="83"/>
  <c r="N25" i="83"/>
  <c r="M25" i="83"/>
  <c r="L25" i="83"/>
  <c r="K25" i="83"/>
  <c r="U24" i="83"/>
  <c r="T24" i="83"/>
  <c r="S24" i="83"/>
  <c r="R24" i="83"/>
  <c r="Q24" i="83"/>
  <c r="P24" i="83"/>
  <c r="O24" i="83"/>
  <c r="N24" i="83"/>
  <c r="M24" i="83"/>
  <c r="L24" i="83"/>
  <c r="K24" i="83"/>
  <c r="J32" i="83"/>
  <c r="J31" i="83"/>
  <c r="J30" i="83"/>
  <c r="J29" i="83"/>
  <c r="J28" i="83"/>
  <c r="J27" i="83"/>
  <c r="J26" i="83"/>
  <c r="J25" i="83"/>
  <c r="J24" i="83"/>
  <c r="AI21" i="83"/>
  <c r="AH21" i="83"/>
  <c r="AG21" i="83"/>
  <c r="AF21" i="83"/>
  <c r="AE21" i="83"/>
  <c r="AD21" i="83"/>
  <c r="AC21" i="83"/>
  <c r="AB21" i="83"/>
  <c r="AA21" i="83"/>
  <c r="Y21" i="83"/>
  <c r="X21" i="83"/>
  <c r="AI20" i="83"/>
  <c r="AH20" i="83"/>
  <c r="AG20" i="83"/>
  <c r="AF20" i="83"/>
  <c r="AE20" i="83"/>
  <c r="AD20" i="83"/>
  <c r="AC20" i="83"/>
  <c r="AB20" i="83"/>
  <c r="AA20" i="83"/>
  <c r="Y20" i="83"/>
  <c r="X20" i="83"/>
  <c r="AI19" i="83"/>
  <c r="AH19" i="83"/>
  <c r="AG19" i="83"/>
  <c r="AF19" i="83"/>
  <c r="AE19" i="83"/>
  <c r="AD19" i="83"/>
  <c r="AC19" i="83"/>
  <c r="AB19" i="83"/>
  <c r="AA19" i="83"/>
  <c r="Z19" i="83"/>
  <c r="Y19" i="83"/>
  <c r="X19" i="83"/>
  <c r="AI18" i="83"/>
  <c r="AH18" i="83"/>
  <c r="AG18" i="83"/>
  <c r="AF18" i="83"/>
  <c r="AE18" i="83"/>
  <c r="AD18" i="83"/>
  <c r="AC18" i="83"/>
  <c r="AB18" i="83"/>
  <c r="AA18" i="83"/>
  <c r="Z18" i="83"/>
  <c r="Y18" i="83"/>
  <c r="X18" i="83"/>
  <c r="AI17" i="83"/>
  <c r="AH17" i="83"/>
  <c r="AG17" i="83"/>
  <c r="AF17" i="83"/>
  <c r="AE17" i="83"/>
  <c r="AD17" i="83"/>
  <c r="AC17" i="83"/>
  <c r="AB17" i="83"/>
  <c r="AA17" i="83"/>
  <c r="Z17" i="83"/>
  <c r="Y17" i="83"/>
  <c r="X17" i="83"/>
  <c r="U21" i="83"/>
  <c r="T21" i="83"/>
  <c r="S21" i="83"/>
  <c r="R21" i="83"/>
  <c r="Q21" i="83"/>
  <c r="P21" i="83"/>
  <c r="O21" i="83"/>
  <c r="N21" i="83"/>
  <c r="M21" i="83"/>
  <c r="L21" i="83"/>
  <c r="K21" i="83"/>
  <c r="J21" i="83"/>
  <c r="U20" i="83"/>
  <c r="T20" i="83"/>
  <c r="S20" i="83"/>
  <c r="R20" i="83"/>
  <c r="Q20" i="83"/>
  <c r="P20" i="83"/>
  <c r="O20" i="83"/>
  <c r="N20" i="83"/>
  <c r="M20" i="83"/>
  <c r="J20" i="83"/>
  <c r="U19" i="83"/>
  <c r="T19" i="83"/>
  <c r="S19" i="83"/>
  <c r="R19" i="83"/>
  <c r="Q19" i="83"/>
  <c r="P19" i="83"/>
  <c r="O19" i="83"/>
  <c r="N19" i="83"/>
  <c r="M19" i="83"/>
  <c r="L19" i="83"/>
  <c r="K19" i="83"/>
  <c r="J19" i="83"/>
  <c r="U18" i="83"/>
  <c r="T18" i="83"/>
  <c r="S18" i="83"/>
  <c r="R18" i="83"/>
  <c r="Q18" i="83"/>
  <c r="P18" i="83"/>
  <c r="O18" i="83"/>
  <c r="N18" i="83"/>
  <c r="M18" i="83"/>
  <c r="L18" i="83"/>
  <c r="K18" i="83"/>
  <c r="J18" i="83"/>
  <c r="U17" i="83"/>
  <c r="T17" i="83"/>
  <c r="S17" i="83"/>
  <c r="R17" i="83"/>
  <c r="Q17" i="83"/>
  <c r="P17" i="83"/>
  <c r="O17" i="83"/>
  <c r="N17" i="83"/>
  <c r="M17" i="83"/>
  <c r="L17" i="83"/>
  <c r="K17" i="83"/>
  <c r="J17" i="83"/>
  <c r="AI15" i="83"/>
  <c r="AH15" i="83"/>
  <c r="AG15" i="83"/>
  <c r="AF15" i="83"/>
  <c r="AE15" i="83"/>
  <c r="AD15" i="83"/>
  <c r="AC15" i="83"/>
  <c r="AB15" i="83"/>
  <c r="AA15" i="83"/>
  <c r="Z15" i="83"/>
  <c r="Y15" i="83"/>
  <c r="AI14" i="83"/>
  <c r="AH14" i="83"/>
  <c r="AG14" i="83"/>
  <c r="AF14" i="83"/>
  <c r="AE14" i="83"/>
  <c r="AD14" i="83"/>
  <c r="AC14" i="83"/>
  <c r="AB14" i="83"/>
  <c r="AA14" i="83"/>
  <c r="Z14" i="83"/>
  <c r="Y14" i="83"/>
  <c r="AI13" i="83"/>
  <c r="AH13" i="83"/>
  <c r="AG13" i="83"/>
  <c r="AF13" i="83"/>
  <c r="AE13" i="83"/>
  <c r="AD13" i="83"/>
  <c r="AC13" i="83"/>
  <c r="AB13" i="83"/>
  <c r="AA13" i="83"/>
  <c r="Z13" i="83"/>
  <c r="Y13" i="83"/>
  <c r="X15" i="83"/>
  <c r="X14" i="83"/>
  <c r="X13" i="83"/>
  <c r="U15" i="83"/>
  <c r="T15" i="83"/>
  <c r="S15" i="83"/>
  <c r="R15" i="83"/>
  <c r="Q15" i="83"/>
  <c r="P15" i="83"/>
  <c r="O15" i="83"/>
  <c r="N15" i="83"/>
  <c r="M15" i="83"/>
  <c r="L15" i="83"/>
  <c r="K15" i="83"/>
  <c r="U14" i="83"/>
  <c r="T14" i="83"/>
  <c r="S14" i="83"/>
  <c r="R14" i="83"/>
  <c r="Q14" i="83"/>
  <c r="P14" i="83"/>
  <c r="O14" i="83"/>
  <c r="N14" i="83"/>
  <c r="M14" i="83"/>
  <c r="L14" i="83"/>
  <c r="K14" i="83"/>
  <c r="U13" i="83"/>
  <c r="T13" i="83"/>
  <c r="S13" i="83"/>
  <c r="R13" i="83"/>
  <c r="Q13" i="83"/>
  <c r="P13" i="83"/>
  <c r="O13" i="83"/>
  <c r="N13" i="83"/>
  <c r="M13" i="83"/>
  <c r="L13" i="83"/>
  <c r="K13" i="83"/>
  <c r="J15" i="83"/>
  <c r="J14" i="83"/>
  <c r="J13" i="83"/>
  <c r="C26" i="83" l="1"/>
  <c r="C30" i="83"/>
  <c r="B26" i="83"/>
  <c r="B30" i="83"/>
  <c r="C36" i="83"/>
  <c r="C40" i="83"/>
  <c r="B34" i="83"/>
  <c r="B38" i="83"/>
  <c r="B46" i="83"/>
  <c r="C54" i="83"/>
  <c r="C26" i="29" s="1"/>
  <c r="C58" i="83"/>
  <c r="B54" i="83"/>
  <c r="B26" i="29" s="1"/>
  <c r="B55" i="83"/>
  <c r="B56" i="83"/>
  <c r="B57" i="83"/>
  <c r="B23" i="29" s="1"/>
  <c r="B58" i="83"/>
  <c r="C48" i="83"/>
  <c r="C49" i="83"/>
  <c r="C50" i="83"/>
  <c r="B48" i="83"/>
  <c r="B49" i="83"/>
  <c r="B50" i="83"/>
  <c r="C45" i="83"/>
  <c r="C44" i="44" s="1"/>
  <c r="B37" i="83"/>
  <c r="B41" i="83"/>
  <c r="B40" i="44" s="1"/>
  <c r="B45" i="83"/>
  <c r="B15" i="83"/>
  <c r="B31" i="41" s="1"/>
  <c r="C44" i="83"/>
  <c r="C15" i="83"/>
  <c r="C17" i="83"/>
  <c r="C18" i="83"/>
  <c r="C34" i="41" s="1"/>
  <c r="C19" i="83"/>
  <c r="C20" i="83"/>
  <c r="C21" i="83"/>
  <c r="B17" i="83"/>
  <c r="B18" i="83"/>
  <c r="B34" i="41" s="1"/>
  <c r="B19" i="83"/>
  <c r="B20" i="83"/>
  <c r="B21" i="83"/>
  <c r="C24" i="83"/>
  <c r="C28" i="83"/>
  <c r="C32" i="83"/>
  <c r="C30" i="44" s="1"/>
  <c r="B24" i="83"/>
  <c r="B28" i="83"/>
  <c r="B32" i="83"/>
  <c r="B30" i="44" s="1"/>
  <c r="C34" i="83"/>
  <c r="C38" i="83"/>
  <c r="C42" i="83"/>
  <c r="B36" i="83"/>
  <c r="B40" i="83"/>
  <c r="B44" i="83"/>
  <c r="C56" i="83"/>
  <c r="C25" i="83"/>
  <c r="C29" i="83"/>
  <c r="B25" i="83"/>
  <c r="B29" i="83"/>
  <c r="C35" i="83"/>
  <c r="C39" i="83"/>
  <c r="C57" i="83"/>
  <c r="C23" i="29" s="1"/>
  <c r="C31" i="83"/>
  <c r="B31" i="83"/>
  <c r="C37" i="83"/>
  <c r="C41" i="83"/>
  <c r="C40" i="44" s="1"/>
  <c r="B43" i="83"/>
  <c r="C55" i="83"/>
  <c r="B13" i="83"/>
  <c r="B29" i="41" s="1"/>
  <c r="C46" i="83"/>
  <c r="C27" i="83"/>
  <c r="B27" i="83"/>
  <c r="B39" i="83"/>
  <c r="C13" i="83"/>
  <c r="C29" i="41" s="1"/>
  <c r="B14" i="83"/>
  <c r="B30" i="41" s="1"/>
  <c r="C43" i="83"/>
  <c r="B42" i="83"/>
  <c r="B41" i="44" s="1"/>
  <c r="C14" i="83"/>
  <c r="B35" i="83"/>
  <c r="B34" i="44" s="1"/>
  <c r="C31" i="41"/>
  <c r="B45" i="44"/>
  <c r="AF33" i="83"/>
  <c r="L47" i="83"/>
  <c r="P47" i="83"/>
  <c r="Z47" i="83"/>
  <c r="AD47" i="83"/>
  <c r="AH47" i="83"/>
  <c r="AA47" i="83"/>
  <c r="AE47" i="83"/>
  <c r="AI47" i="83"/>
  <c r="M33" i="83"/>
  <c r="Q33" i="83"/>
  <c r="G14" i="83"/>
  <c r="H30" i="41" s="1"/>
  <c r="F15" i="83"/>
  <c r="G31" i="41" s="1"/>
  <c r="K33" i="83"/>
  <c r="O33" i="83"/>
  <c r="AB33" i="83"/>
  <c r="N47" i="83"/>
  <c r="R47" i="83"/>
  <c r="G41" i="83"/>
  <c r="I40" i="44" s="1"/>
  <c r="V41" i="83"/>
  <c r="L33" i="83"/>
  <c r="P33" i="83"/>
  <c r="K47" i="83"/>
  <c r="O47" i="83"/>
  <c r="Y47" i="83"/>
  <c r="AC47" i="83"/>
  <c r="AG47" i="83"/>
  <c r="N33" i="83"/>
  <c r="R33" i="83"/>
  <c r="M47" i="83"/>
  <c r="Q47" i="83"/>
  <c r="AB47" i="83"/>
  <c r="AF47" i="83"/>
  <c r="G46" i="83"/>
  <c r="I45" i="44" s="1"/>
  <c r="AJ14" i="83"/>
  <c r="F18" i="83"/>
  <c r="G34" i="41" s="1"/>
  <c r="AJ18" i="83"/>
  <c r="Y33" i="83"/>
  <c r="AC33" i="83"/>
  <c r="V46" i="83"/>
  <c r="V14" i="83"/>
  <c r="F14" i="83"/>
  <c r="G30" i="41" s="1"/>
  <c r="AJ15" i="83"/>
  <c r="J33" i="83"/>
  <c r="Z33" i="83"/>
  <c r="AD33" i="83"/>
  <c r="AH33" i="83"/>
  <c r="AA33" i="83"/>
  <c r="AE33" i="83"/>
  <c r="AI33" i="83"/>
  <c r="F32" i="83"/>
  <c r="H30" i="44" s="1"/>
  <c r="T47" i="83"/>
  <c r="F46" i="83"/>
  <c r="H45" i="44" s="1"/>
  <c r="AJ41" i="83"/>
  <c r="AJ13" i="83"/>
  <c r="J47" i="83"/>
  <c r="V13" i="83"/>
  <c r="V15" i="83"/>
  <c r="U33" i="83"/>
  <c r="T33" i="83"/>
  <c r="V32" i="83"/>
  <c r="AG33" i="83"/>
  <c r="AJ32" i="83"/>
  <c r="S47" i="83"/>
  <c r="X47" i="83"/>
  <c r="F13" i="83"/>
  <c r="S33" i="83"/>
  <c r="F41" i="83"/>
  <c r="H40" i="44" s="1"/>
  <c r="U47" i="83"/>
  <c r="AJ46" i="83"/>
  <c r="G32" i="83"/>
  <c r="I30" i="44" s="1"/>
  <c r="G13" i="83"/>
  <c r="H29" i="41" s="1"/>
  <c r="X33" i="83"/>
  <c r="V18" i="83"/>
  <c r="G18" i="83"/>
  <c r="G15" i="83"/>
  <c r="C33" i="83" l="1"/>
  <c r="B44" i="44"/>
  <c r="A2" i="83"/>
  <c r="D13" i="83"/>
  <c r="D18" i="83"/>
  <c r="H14" i="83"/>
  <c r="I30" i="41"/>
  <c r="J40" i="44"/>
  <c r="E30" i="44"/>
  <c r="J30" i="44"/>
  <c r="E40" i="44"/>
  <c r="D15" i="83"/>
  <c r="H13" i="83"/>
  <c r="H41" i="83"/>
  <c r="D29" i="41"/>
  <c r="G29" i="41"/>
  <c r="I29" i="41" s="1"/>
  <c r="B47" i="83"/>
  <c r="H46" i="83"/>
  <c r="D41" i="83"/>
  <c r="B33" i="83"/>
  <c r="C30" i="41"/>
  <c r="D30" i="41" s="1"/>
  <c r="D14" i="83"/>
  <c r="D31" i="41"/>
  <c r="C45" i="44"/>
  <c r="E45" i="44" s="1"/>
  <c r="D46" i="83"/>
  <c r="D32" i="83"/>
  <c r="D34" i="41"/>
  <c r="J45" i="44"/>
  <c r="H15" i="83"/>
  <c r="H31" i="41"/>
  <c r="I31" i="41" s="1"/>
  <c r="H32" i="83"/>
  <c r="H18" i="83"/>
  <c r="H34" i="41"/>
  <c r="I34" i="41" s="1"/>
  <c r="BG6" i="65" l="1"/>
  <c r="BG9" i="65" s="1"/>
  <c r="BD6" i="65"/>
  <c r="BD9" i="65" s="1"/>
  <c r="BG17" i="65"/>
  <c r="AV19" i="65"/>
  <c r="BH19" i="65" s="1"/>
  <c r="BF17" i="65"/>
  <c r="BE17" i="65"/>
  <c r="BD17" i="65"/>
  <c r="BC17" i="65"/>
  <c r="BB17" i="65"/>
  <c r="AZ17" i="65"/>
  <c r="AY17" i="65"/>
  <c r="AX17" i="65"/>
  <c r="AW17" i="65"/>
  <c r="AV17" i="65"/>
  <c r="BH16" i="65"/>
  <c r="BH15" i="65"/>
  <c r="BH14" i="65"/>
  <c r="BH12" i="65"/>
  <c r="BH11" i="65"/>
  <c r="BH10" i="65"/>
  <c r="BH8" i="65"/>
  <c r="BH7" i="65"/>
  <c r="BF6" i="65"/>
  <c r="BF9" i="65" s="1"/>
  <c r="BE6" i="65"/>
  <c r="BE9" i="65" s="1"/>
  <c r="BA6" i="65"/>
  <c r="BA9" i="65" s="1"/>
  <c r="BH5" i="65"/>
  <c r="BB6" i="65"/>
  <c r="BB9" i="65" s="1"/>
  <c r="BH3" i="65"/>
  <c r="BC6" i="65"/>
  <c r="BC9" i="65" s="1"/>
  <c r="AZ6" i="65"/>
  <c r="AZ9" i="65" s="1"/>
  <c r="AY6" i="65"/>
  <c r="AY9" i="65" s="1"/>
  <c r="AV6" i="65"/>
  <c r="AV9" i="65" s="1"/>
  <c r="AW6" i="65" l="1"/>
  <c r="AW9" i="65" s="1"/>
  <c r="AW18" i="65" s="1"/>
  <c r="BA17" i="65"/>
  <c r="BA18" i="65" s="1"/>
  <c r="BB18" i="65"/>
  <c r="BE18" i="65"/>
  <c r="BD18" i="65"/>
  <c r="BH13" i="65"/>
  <c r="BH17" i="65" s="1"/>
  <c r="AV18" i="65"/>
  <c r="AV20" i="65" s="1"/>
  <c r="AW19" i="65" s="1"/>
  <c r="AZ18" i="65"/>
  <c r="BF18" i="65"/>
  <c r="AY18" i="65"/>
  <c r="BC18" i="65"/>
  <c r="BG18" i="65"/>
  <c r="AX6" i="65"/>
  <c r="AX9" i="65" s="1"/>
  <c r="AX18" i="65" s="1"/>
  <c r="BH2" i="65"/>
  <c r="BH6" i="65" l="1"/>
  <c r="BH9" i="65" s="1"/>
  <c r="BH18" i="65" s="1"/>
  <c r="BH20" i="65" s="1"/>
  <c r="AW20" i="65"/>
  <c r="AX19" i="65" s="1"/>
  <c r="AX20" i="65" s="1"/>
  <c r="AY19" i="65" s="1"/>
  <c r="AY20" i="65" s="1"/>
  <c r="AZ19" i="65" s="1"/>
  <c r="AZ20" i="65" s="1"/>
  <c r="BA19" i="65" s="1"/>
  <c r="BA20" i="65" s="1"/>
  <c r="BB19" i="65" s="1"/>
  <c r="BB20" i="65" s="1"/>
  <c r="BC19" i="65" s="1"/>
  <c r="BC20" i="65" s="1"/>
  <c r="BD19" i="65" s="1"/>
  <c r="BD20" i="65" s="1"/>
  <c r="BE19" i="65" s="1"/>
  <c r="BE20" i="65" s="1"/>
  <c r="BF19" i="65" s="1"/>
  <c r="BF20" i="65" s="1"/>
  <c r="BG19" i="65" s="1"/>
  <c r="BG20" i="65" s="1"/>
  <c r="C31" i="29" l="1"/>
  <c r="H43" i="84" l="1"/>
  <c r="A1" i="35" l="1"/>
  <c r="A1" i="86"/>
  <c r="A1" i="75"/>
  <c r="A1" i="41"/>
  <c r="A1" i="142"/>
  <c r="A1" i="32"/>
  <c r="A1" i="29"/>
  <c r="A1" i="44" l="1"/>
  <c r="P9" i="83" l="1"/>
  <c r="O9" i="83"/>
  <c r="I11" i="86" l="1"/>
  <c r="I16" i="86"/>
  <c r="I15" i="86"/>
  <c r="I14" i="86"/>
  <c r="I13" i="86"/>
  <c r="I12" i="86"/>
  <c r="AA9" i="83" l="1"/>
  <c r="AB9" i="83"/>
  <c r="AC9" i="83"/>
  <c r="AD9" i="83"/>
  <c r="AE9" i="83"/>
  <c r="AF9" i="83"/>
  <c r="AG9" i="83"/>
  <c r="AH9" i="83"/>
  <c r="AI9" i="83"/>
  <c r="AA10" i="83"/>
  <c r="AB10" i="83"/>
  <c r="AC10" i="83"/>
  <c r="AD10" i="83"/>
  <c r="AE10" i="83"/>
  <c r="AF10" i="83"/>
  <c r="AG10" i="83"/>
  <c r="AH10" i="83"/>
  <c r="AI10" i="83"/>
  <c r="AA11" i="83"/>
  <c r="AB11" i="83"/>
  <c r="AC11" i="83"/>
  <c r="AD11" i="83"/>
  <c r="AE11" i="83"/>
  <c r="AF11" i="83"/>
  <c r="AG11" i="83"/>
  <c r="AH11" i="83"/>
  <c r="AI11" i="83"/>
  <c r="AA12" i="83"/>
  <c r="AB12" i="83"/>
  <c r="AC12" i="83"/>
  <c r="AD12" i="83"/>
  <c r="AE12" i="83"/>
  <c r="AF12" i="83"/>
  <c r="AG12" i="83"/>
  <c r="AH12" i="83"/>
  <c r="AI12" i="83"/>
  <c r="AA8" i="83"/>
  <c r="AB8" i="83"/>
  <c r="AC8" i="83"/>
  <c r="AD8" i="83"/>
  <c r="AE8" i="83"/>
  <c r="AF8" i="83"/>
  <c r="AG8" i="83"/>
  <c r="AH8" i="83"/>
  <c r="AI8" i="83"/>
  <c r="AA5" i="83"/>
  <c r="AB5" i="83"/>
  <c r="AC5" i="83"/>
  <c r="AD5" i="83"/>
  <c r="AE5" i="83"/>
  <c r="AF5" i="83"/>
  <c r="AG5" i="83"/>
  <c r="AH5" i="83"/>
  <c r="AI5" i="83"/>
  <c r="AA6" i="83"/>
  <c r="AB6" i="83"/>
  <c r="AC6" i="83"/>
  <c r="AD6" i="83"/>
  <c r="AE6" i="83"/>
  <c r="AF6" i="83"/>
  <c r="AG6" i="83"/>
  <c r="AH6" i="83"/>
  <c r="AI6" i="83"/>
  <c r="AA7" i="83"/>
  <c r="AB7" i="83"/>
  <c r="AC7" i="83"/>
  <c r="AD7" i="83"/>
  <c r="AE7" i="83"/>
  <c r="AF7" i="83"/>
  <c r="AG7" i="83"/>
  <c r="AH7" i="83"/>
  <c r="AI7" i="83"/>
  <c r="M5" i="83"/>
  <c r="N5" i="83"/>
  <c r="O5" i="83"/>
  <c r="P5" i="83"/>
  <c r="Q5" i="83"/>
  <c r="R5" i="83"/>
  <c r="S5" i="83"/>
  <c r="T5" i="83"/>
  <c r="U5" i="83"/>
  <c r="M6" i="83"/>
  <c r="N6" i="83"/>
  <c r="O6" i="83"/>
  <c r="P6" i="83"/>
  <c r="Q6" i="83"/>
  <c r="R6" i="83"/>
  <c r="S6" i="83"/>
  <c r="T6" i="83"/>
  <c r="U6" i="83"/>
  <c r="M7" i="83"/>
  <c r="N7" i="83"/>
  <c r="O7" i="83"/>
  <c r="P7" i="83"/>
  <c r="Q7" i="83"/>
  <c r="R7" i="83"/>
  <c r="S7" i="83"/>
  <c r="T7" i="83"/>
  <c r="U7" i="83"/>
  <c r="M8" i="83"/>
  <c r="N8" i="83"/>
  <c r="O8" i="83"/>
  <c r="P8" i="83"/>
  <c r="Q8" i="83"/>
  <c r="R8" i="83"/>
  <c r="S8" i="83"/>
  <c r="T8" i="83"/>
  <c r="U8" i="83"/>
  <c r="M9" i="83"/>
  <c r="N9" i="83"/>
  <c r="Q9" i="83"/>
  <c r="R9" i="83"/>
  <c r="S9" i="83"/>
  <c r="T9" i="83"/>
  <c r="U9" i="83"/>
  <c r="M10" i="83"/>
  <c r="N10" i="83"/>
  <c r="O10" i="83"/>
  <c r="P10" i="83"/>
  <c r="Q10" i="83"/>
  <c r="R10" i="83"/>
  <c r="S10" i="83"/>
  <c r="T10" i="83"/>
  <c r="U10" i="83"/>
  <c r="M11" i="83"/>
  <c r="N11" i="83"/>
  <c r="O11" i="83"/>
  <c r="P11" i="83"/>
  <c r="Q11" i="83"/>
  <c r="R11" i="83"/>
  <c r="S11" i="83"/>
  <c r="T11" i="83"/>
  <c r="U11" i="83"/>
  <c r="M12" i="83"/>
  <c r="N12" i="83"/>
  <c r="O12" i="83"/>
  <c r="P12" i="83"/>
  <c r="Q12" i="83"/>
  <c r="R12" i="83"/>
  <c r="S12" i="83"/>
  <c r="T12" i="83"/>
  <c r="U12" i="83"/>
  <c r="AG16" i="83" l="1"/>
  <c r="AC16" i="83"/>
  <c r="AF16" i="83"/>
  <c r="R16" i="83"/>
  <c r="N16" i="83"/>
  <c r="AI16" i="83"/>
  <c r="AE16" i="83"/>
  <c r="AA16" i="83"/>
  <c r="P16" i="83"/>
  <c r="O16" i="83"/>
  <c r="AB16" i="83"/>
  <c r="Q16" i="83"/>
  <c r="M16" i="83"/>
  <c r="AH16" i="83"/>
  <c r="AD16" i="83"/>
  <c r="U16" i="83"/>
  <c r="T16" i="83"/>
  <c r="S16" i="83"/>
  <c r="C32" i="29" l="1"/>
  <c r="L12" i="83" l="1"/>
  <c r="K12" i="83"/>
  <c r="J12" i="83"/>
  <c r="L11" i="83"/>
  <c r="K11" i="83"/>
  <c r="J11" i="83"/>
  <c r="L10" i="83"/>
  <c r="K10" i="83"/>
  <c r="J10" i="83"/>
  <c r="L9" i="83"/>
  <c r="K9" i="83"/>
  <c r="J9" i="83"/>
  <c r="L8" i="83"/>
  <c r="K8" i="83"/>
  <c r="J8" i="83"/>
  <c r="L7" i="83"/>
  <c r="K7" i="83"/>
  <c r="J7" i="83"/>
  <c r="L6" i="83"/>
  <c r="K6" i="83"/>
  <c r="J6" i="83"/>
  <c r="L5" i="83"/>
  <c r="K5" i="83"/>
  <c r="C9" i="83" l="1"/>
  <c r="C7" i="83"/>
  <c r="C8" i="83"/>
  <c r="C12" i="83"/>
  <c r="C6" i="83"/>
  <c r="C11" i="83"/>
  <c r="C10" i="83"/>
  <c r="K16" i="83"/>
  <c r="V12" i="83"/>
  <c r="L16" i="83"/>
  <c r="C47" i="83" l="1"/>
  <c r="F21" i="86"/>
  <c r="F20" i="86"/>
  <c r="F19" i="86"/>
  <c r="E11" i="86"/>
  <c r="C11" i="86"/>
  <c r="E16" i="86"/>
  <c r="E15" i="86"/>
  <c r="E14" i="86"/>
  <c r="E13" i="86"/>
  <c r="E12" i="86"/>
  <c r="D16" i="86"/>
  <c r="D15" i="86"/>
  <c r="D14" i="86"/>
  <c r="D13" i="86"/>
  <c r="D12" i="86"/>
  <c r="C16" i="86"/>
  <c r="C15" i="86"/>
  <c r="C14" i="86"/>
  <c r="C13" i="86"/>
  <c r="C12" i="86"/>
  <c r="D11" i="86"/>
  <c r="B16" i="86"/>
  <c r="B15" i="86"/>
  <c r="B14" i="86"/>
  <c r="B13" i="86"/>
  <c r="B12" i="86"/>
  <c r="B11" i="86"/>
  <c r="E36" i="35" l="1"/>
  <c r="J36" i="35" l="1"/>
  <c r="N36" i="35"/>
  <c r="J45" i="35" l="1"/>
  <c r="J44" i="35"/>
  <c r="J43" i="35"/>
  <c r="J42" i="35"/>
  <c r="J41" i="35"/>
  <c r="Z5" i="83" l="1"/>
  <c r="Y5" i="83"/>
  <c r="X5" i="83"/>
  <c r="B5" i="83" l="1"/>
  <c r="Z8" i="83" l="1"/>
  <c r="Y8" i="83"/>
  <c r="X8" i="83"/>
  <c r="B31" i="29"/>
  <c r="X12" i="83"/>
  <c r="X11" i="83"/>
  <c r="X10" i="83"/>
  <c r="X9" i="83"/>
  <c r="Y12" i="83"/>
  <c r="Y11" i="83"/>
  <c r="Y10" i="83"/>
  <c r="Y9" i="83"/>
  <c r="Z12" i="83"/>
  <c r="Z11" i="83"/>
  <c r="Z10" i="83"/>
  <c r="X7" i="83"/>
  <c r="X6" i="83"/>
  <c r="Y7" i="83"/>
  <c r="Y6" i="83"/>
  <c r="Z7" i="83"/>
  <c r="B6" i="83" l="1"/>
  <c r="B9" i="83"/>
  <c r="B11" i="83"/>
  <c r="B7" i="83"/>
  <c r="B22" i="41" s="1"/>
  <c r="B10" i="83"/>
  <c r="B26" i="41" s="1"/>
  <c r="B12" i="83"/>
  <c r="B8" i="83"/>
  <c r="Y16" i="83"/>
  <c r="Z16" i="83"/>
  <c r="X16" i="83"/>
  <c r="F8" i="83"/>
  <c r="F49" i="83"/>
  <c r="F48" i="83"/>
  <c r="F50" i="83"/>
  <c r="J5" i="83"/>
  <c r="C5" i="83" s="1"/>
  <c r="C16" i="83" l="1"/>
  <c r="J16" i="83"/>
  <c r="B16" i="83"/>
  <c r="B51" i="83"/>
  <c r="B59" i="83"/>
  <c r="B22" i="83"/>
  <c r="D58" i="83"/>
  <c r="D55" i="83"/>
  <c r="D56" i="83"/>
  <c r="D57" i="83"/>
  <c r="D48" i="83"/>
  <c r="D44" i="83"/>
  <c r="D10" i="83"/>
  <c r="D36" i="83"/>
  <c r="D50" i="83"/>
  <c r="D54" i="83"/>
  <c r="D35" i="83"/>
  <c r="D39" i="83"/>
  <c r="D49" i="83"/>
  <c r="D37" i="83"/>
  <c r="D42" i="83"/>
  <c r="D40" i="83"/>
  <c r="D45" i="83"/>
  <c r="D34" i="83"/>
  <c r="D38" i="83"/>
  <c r="D43" i="83"/>
  <c r="R51" i="83"/>
  <c r="G8" i="83"/>
  <c r="H23" i="41" s="1"/>
  <c r="D8" i="83"/>
  <c r="D12" i="83"/>
  <c r="G12" i="83"/>
  <c r="H28" i="41" s="1"/>
  <c r="D24" i="83"/>
  <c r="G24" i="83"/>
  <c r="G28" i="83"/>
  <c r="I26" i="44" s="1"/>
  <c r="D28" i="83"/>
  <c r="G34" i="83"/>
  <c r="G38" i="83"/>
  <c r="I37" i="44" s="1"/>
  <c r="G43" i="83"/>
  <c r="I42" i="44" s="1"/>
  <c r="G48" i="83"/>
  <c r="H48" i="83" s="1"/>
  <c r="G9" i="83"/>
  <c r="H24" i="41" s="1"/>
  <c r="D9" i="83"/>
  <c r="G19" i="83"/>
  <c r="H35" i="41" s="1"/>
  <c r="D19" i="83"/>
  <c r="D25" i="83"/>
  <c r="G25" i="83"/>
  <c r="I23" i="44" s="1"/>
  <c r="G29" i="83"/>
  <c r="I27" i="44" s="1"/>
  <c r="D29" i="83"/>
  <c r="G35" i="83"/>
  <c r="I34" i="44" s="1"/>
  <c r="G39" i="83"/>
  <c r="I38" i="44" s="1"/>
  <c r="G44" i="83"/>
  <c r="I43" i="44" s="1"/>
  <c r="G49" i="83"/>
  <c r="H49" i="83" s="1"/>
  <c r="N51" i="83"/>
  <c r="G6" i="83"/>
  <c r="H21" i="41" s="1"/>
  <c r="D6" i="83"/>
  <c r="G10" i="83"/>
  <c r="H26" i="41" s="1"/>
  <c r="G20" i="83"/>
  <c r="H36" i="41" s="1"/>
  <c r="D20" i="83"/>
  <c r="D26" i="83"/>
  <c r="G26" i="83"/>
  <c r="I24" i="44" s="1"/>
  <c r="G30" i="83"/>
  <c r="I28" i="44" s="1"/>
  <c r="D30" i="83"/>
  <c r="G36" i="83"/>
  <c r="I35" i="44" s="1"/>
  <c r="G40" i="83"/>
  <c r="I39" i="44" s="1"/>
  <c r="G45" i="83"/>
  <c r="I44" i="44" s="1"/>
  <c r="G50" i="83"/>
  <c r="H50" i="83" s="1"/>
  <c r="G7" i="83"/>
  <c r="H22" i="41" s="1"/>
  <c r="D7" i="83"/>
  <c r="D11" i="83"/>
  <c r="G11" i="83"/>
  <c r="H27" i="41" s="1"/>
  <c r="G21" i="83"/>
  <c r="H37" i="41" s="1"/>
  <c r="G27" i="83"/>
  <c r="I25" i="44" s="1"/>
  <c r="D27" i="83"/>
  <c r="D31" i="83"/>
  <c r="G31" i="83"/>
  <c r="I29" i="44" s="1"/>
  <c r="G37" i="83"/>
  <c r="I36" i="44" s="1"/>
  <c r="G42" i="83"/>
  <c r="I41" i="44" s="1"/>
  <c r="K51" i="83"/>
  <c r="M51" i="83"/>
  <c r="O51" i="83"/>
  <c r="Q51" i="83"/>
  <c r="S51" i="83"/>
  <c r="U51" i="83"/>
  <c r="J51" i="83"/>
  <c r="L51" i="83"/>
  <c r="P51" i="83"/>
  <c r="T51" i="83"/>
  <c r="D47" i="83" l="1"/>
  <c r="I33" i="44"/>
  <c r="I46" i="44" s="1"/>
  <c r="G47" i="83"/>
  <c r="D33" i="83"/>
  <c r="I22" i="44"/>
  <c r="I31" i="44" s="1"/>
  <c r="G33" i="83"/>
  <c r="B52" i="83"/>
  <c r="H25" i="41"/>
  <c r="C26" i="41"/>
  <c r="H8" i="83"/>
  <c r="D21" i="83"/>
  <c r="C37" i="41"/>
  <c r="D31" i="142" l="1"/>
  <c r="H42" i="84" l="1"/>
  <c r="F25" i="83" l="1"/>
  <c r="H23" i="44" s="1"/>
  <c r="F34" i="83"/>
  <c r="F36" i="83"/>
  <c r="H36" i="83" s="1"/>
  <c r="F38" i="83"/>
  <c r="H38" i="83" s="1"/>
  <c r="F42" i="83"/>
  <c r="H41" i="44" s="1"/>
  <c r="F26" i="83"/>
  <c r="H24" i="44" s="1"/>
  <c r="F35" i="83"/>
  <c r="F37" i="83"/>
  <c r="H37" i="83" s="1"/>
  <c r="F39" i="83"/>
  <c r="H39" i="83" s="1"/>
  <c r="F40" i="83"/>
  <c r="F43" i="83"/>
  <c r="F44" i="83"/>
  <c r="F45" i="83"/>
  <c r="H44" i="44" s="1"/>
  <c r="F54" i="83"/>
  <c r="F55" i="83"/>
  <c r="G24" i="29" s="1"/>
  <c r="F56" i="83"/>
  <c r="F57" i="83"/>
  <c r="G23" i="29" s="1"/>
  <c r="F58" i="83"/>
  <c r="G28" i="29" s="1"/>
  <c r="F31" i="83"/>
  <c r="H29" i="44" s="1"/>
  <c r="F30" i="83"/>
  <c r="H30" i="83" s="1"/>
  <c r="F29" i="83"/>
  <c r="H29" i="83" s="1"/>
  <c r="F28" i="83"/>
  <c r="H26" i="44" s="1"/>
  <c r="F27" i="83"/>
  <c r="H25" i="44" s="1"/>
  <c r="G17" i="83"/>
  <c r="H33" i="41" s="1"/>
  <c r="H38" i="41" s="1"/>
  <c r="G54" i="83"/>
  <c r="G55" i="83"/>
  <c r="H24" i="29" s="1"/>
  <c r="G56" i="83"/>
  <c r="H25" i="29" s="1"/>
  <c r="G57" i="83"/>
  <c r="H23" i="29" s="1"/>
  <c r="G58" i="83"/>
  <c r="H28" i="29" s="1"/>
  <c r="F6" i="83"/>
  <c r="H6" i="83" s="1"/>
  <c r="F7" i="83"/>
  <c r="H7" i="83" s="1"/>
  <c r="F9" i="83"/>
  <c r="H9" i="83" s="1"/>
  <c r="F12" i="83"/>
  <c r="H12" i="83" s="1"/>
  <c r="F11" i="83"/>
  <c r="H11" i="83" s="1"/>
  <c r="F10" i="83"/>
  <c r="F17" i="83"/>
  <c r="F21" i="83"/>
  <c r="G37" i="41" s="1"/>
  <c r="F20" i="83"/>
  <c r="H20" i="83" s="1"/>
  <c r="F19" i="83"/>
  <c r="H19" i="83" s="1"/>
  <c r="F24" i="83"/>
  <c r="H34" i="44" l="1"/>
  <c r="H33" i="44"/>
  <c r="F47" i="83"/>
  <c r="H22" i="44"/>
  <c r="F33" i="83"/>
  <c r="H24" i="83"/>
  <c r="H27" i="83"/>
  <c r="H28" i="83"/>
  <c r="H40" i="83"/>
  <c r="H39" i="44"/>
  <c r="H26" i="83"/>
  <c r="H21" i="83"/>
  <c r="H25" i="83"/>
  <c r="H35" i="83"/>
  <c r="H34" i="83"/>
  <c r="H10" i="83"/>
  <c r="G26" i="41"/>
  <c r="H44" i="83"/>
  <c r="H43" i="44"/>
  <c r="H43" i="83"/>
  <c r="H42" i="44"/>
  <c r="H42" i="83"/>
  <c r="H54" i="83"/>
  <c r="H45" i="83"/>
  <c r="H17" i="83"/>
  <c r="H56" i="83"/>
  <c r="H55" i="83"/>
  <c r="H31" i="83"/>
  <c r="H58" i="83"/>
  <c r="H57" i="83"/>
  <c r="C33" i="41"/>
  <c r="D17" i="83"/>
  <c r="M37" i="143"/>
  <c r="I6" i="143"/>
  <c r="H6" i="143"/>
  <c r="H47" i="83" l="1"/>
  <c r="H33" i="83"/>
  <c r="H37" i="143"/>
  <c r="N37" i="143" l="1"/>
  <c r="L37" i="143"/>
  <c r="K37" i="143"/>
  <c r="J37" i="143"/>
  <c r="I37" i="143"/>
  <c r="L35" i="144"/>
  <c r="V50" i="83"/>
  <c r="V49" i="83"/>
  <c r="V48" i="83"/>
  <c r="Y22" i="83"/>
  <c r="AB22" i="83"/>
  <c r="AC22" i="83"/>
  <c r="AF22" i="83"/>
  <c r="AG22" i="83"/>
  <c r="Z22" i="83"/>
  <c r="AD22" i="83"/>
  <c r="AH22" i="83"/>
  <c r="AA22" i="83"/>
  <c r="AE22" i="83"/>
  <c r="AI22" i="83"/>
  <c r="AF23" i="83" l="1"/>
  <c r="AB23" i="83"/>
  <c r="AI23" i="83"/>
  <c r="AE23" i="83"/>
  <c r="AA23" i="83"/>
  <c r="AH23" i="83"/>
  <c r="AD23" i="83"/>
  <c r="Z23" i="83"/>
  <c r="AG23" i="83"/>
  <c r="AC23" i="83"/>
  <c r="Y23" i="83"/>
  <c r="P109" i="83" l="1"/>
  <c r="P108" i="83"/>
  <c r="P107" i="83"/>
  <c r="G31" i="142" l="1"/>
  <c r="F31" i="142"/>
  <c r="H31" i="142" l="1"/>
  <c r="I34" i="32" l="1"/>
  <c r="L31" i="142"/>
  <c r="K31" i="142"/>
  <c r="J31" i="142"/>
  <c r="I31" i="142" l="1"/>
  <c r="E31" i="142"/>
  <c r="C31" i="142"/>
  <c r="B31" i="142"/>
  <c r="E30" i="35"/>
  <c r="C36" i="44" l="1"/>
  <c r="J59" i="83" l="1"/>
  <c r="K59" i="83"/>
  <c r="L59" i="83"/>
  <c r="M59" i="83"/>
  <c r="N59" i="83"/>
  <c r="O59" i="83"/>
  <c r="P59" i="83"/>
  <c r="Q59" i="83"/>
  <c r="R59" i="83"/>
  <c r="S59" i="83"/>
  <c r="T59" i="83"/>
  <c r="U59" i="83"/>
  <c r="C51" i="35" l="1"/>
  <c r="M51" i="35" l="1"/>
  <c r="L51" i="35"/>
  <c r="L10" i="35" l="1"/>
  <c r="M10" i="35"/>
  <c r="N49" i="35"/>
  <c r="N48" i="35"/>
  <c r="N47" i="35"/>
  <c r="N45" i="35"/>
  <c r="N44" i="35"/>
  <c r="N43" i="35"/>
  <c r="N42" i="35"/>
  <c r="N41" i="35"/>
  <c r="M37" i="35"/>
  <c r="M65" i="35" s="1"/>
  <c r="M67" i="35" s="1"/>
  <c r="L37" i="35"/>
  <c r="L9" i="35" s="1"/>
  <c r="N35" i="35"/>
  <c r="N34" i="35"/>
  <c r="N33" i="35"/>
  <c r="N30" i="35"/>
  <c r="M9" i="35" l="1"/>
  <c r="N9" i="35" s="1"/>
  <c r="M53" i="35"/>
  <c r="N10" i="35"/>
  <c r="L11" i="35"/>
  <c r="L53" i="35"/>
  <c r="N37" i="35"/>
  <c r="N50" i="35"/>
  <c r="N51" i="35" s="1"/>
  <c r="E41" i="35"/>
  <c r="C10" i="35"/>
  <c r="E49" i="35"/>
  <c r="E48" i="35"/>
  <c r="E47" i="35"/>
  <c r="E45" i="35"/>
  <c r="E44" i="35"/>
  <c r="E43" i="35"/>
  <c r="E42" i="35"/>
  <c r="D37" i="35"/>
  <c r="C37" i="35"/>
  <c r="E35" i="35"/>
  <c r="E34" i="35"/>
  <c r="E33" i="35"/>
  <c r="C9" i="35" l="1"/>
  <c r="C65" i="35"/>
  <c r="M11" i="35"/>
  <c r="M32" i="30" s="1"/>
  <c r="M31" i="142"/>
  <c r="C53" i="35"/>
  <c r="D9" i="35"/>
  <c r="D51" i="35"/>
  <c r="D53" i="35" s="1"/>
  <c r="N53" i="35"/>
  <c r="E50" i="35"/>
  <c r="E51" i="35" s="1"/>
  <c r="E37" i="35"/>
  <c r="N11" i="35" l="1"/>
  <c r="E53" i="35"/>
  <c r="E9" i="35"/>
  <c r="D65" i="35"/>
  <c r="D67" i="35" s="1"/>
  <c r="C11" i="35"/>
  <c r="D10" i="35"/>
  <c r="E10" i="35" s="1"/>
  <c r="D11" i="35" l="1"/>
  <c r="E11" i="35" l="1"/>
  <c r="M31" i="30"/>
  <c r="Q9" i="74" l="1"/>
  <c r="P9" i="74"/>
  <c r="G9" i="74" l="1"/>
  <c r="F9" i="74"/>
  <c r="C35" i="74" l="1"/>
  <c r="M19" i="74" l="1"/>
  <c r="D35" i="74" s="1"/>
  <c r="G10" i="74" l="1"/>
  <c r="Q58" i="138" l="1"/>
  <c r="R58" i="138" s="1"/>
  <c r="Q57" i="138"/>
  <c r="R57" i="138" s="1"/>
  <c r="Q56" i="138"/>
  <c r="R56" i="138" s="1"/>
  <c r="Q55" i="138"/>
  <c r="R55" i="138" s="1"/>
  <c r="Q54" i="138"/>
  <c r="R54" i="138" s="1"/>
  <c r="Q53" i="138"/>
  <c r="R53" i="138" s="1"/>
  <c r="Q52" i="138"/>
  <c r="R52" i="138" s="1"/>
  <c r="Q51" i="138"/>
  <c r="R51" i="138" s="1"/>
  <c r="Q50" i="138"/>
  <c r="R50" i="138" s="1"/>
  <c r="Q49" i="138"/>
  <c r="R49" i="138" s="1"/>
  <c r="Q48" i="138"/>
  <c r="R48" i="138" s="1"/>
  <c r="Q47" i="138"/>
  <c r="R47" i="138" s="1"/>
  <c r="Q46" i="138"/>
  <c r="R46" i="138" s="1"/>
  <c r="Q45" i="138"/>
  <c r="R45" i="138" s="1"/>
  <c r="Q44" i="138"/>
  <c r="R44" i="138" s="1"/>
  <c r="Q43" i="138"/>
  <c r="R43" i="138" s="1"/>
  <c r="Q42" i="138"/>
  <c r="R42" i="138" s="1"/>
  <c r="Q41" i="138"/>
  <c r="R41" i="138" s="1"/>
  <c r="Q40" i="138"/>
  <c r="R40" i="138" s="1"/>
  <c r="Q39" i="138"/>
  <c r="R39" i="138" s="1"/>
  <c r="Q38" i="138"/>
  <c r="R38" i="138" s="1"/>
  <c r="M44" i="138"/>
  <c r="M43" i="138"/>
  <c r="L55" i="138"/>
  <c r="M55" i="138" s="1"/>
  <c r="L54" i="138"/>
  <c r="M54" i="138" s="1"/>
  <c r="L53" i="138"/>
  <c r="M53" i="138" s="1"/>
  <c r="L52" i="138"/>
  <c r="M52" i="138" s="1"/>
  <c r="L51" i="138"/>
  <c r="M51" i="138" s="1"/>
  <c r="L50" i="138"/>
  <c r="M50" i="138" s="1"/>
  <c r="L49" i="138"/>
  <c r="M49" i="138" s="1"/>
  <c r="L48" i="138"/>
  <c r="M48" i="138" s="1"/>
  <c r="L47" i="138"/>
  <c r="M47" i="138" s="1"/>
  <c r="L46" i="138"/>
  <c r="M46" i="138" s="1"/>
  <c r="L45" i="138"/>
  <c r="M45" i="138" s="1"/>
  <c r="L42" i="138"/>
  <c r="M42" i="138" s="1"/>
  <c r="L41" i="138"/>
  <c r="M41" i="138" s="1"/>
  <c r="L40" i="138"/>
  <c r="M40" i="138" s="1"/>
  <c r="L39" i="138"/>
  <c r="M39" i="138" s="1"/>
  <c r="L38" i="138"/>
  <c r="M38" i="138" s="1"/>
  <c r="D50" i="138"/>
  <c r="D49" i="138"/>
  <c r="D47" i="138"/>
  <c r="D46" i="138"/>
  <c r="D45" i="138"/>
  <c r="D44" i="138"/>
  <c r="D43" i="138"/>
  <c r="D42" i="138"/>
  <c r="D41" i="138"/>
  <c r="D40" i="138"/>
  <c r="E19" i="74" l="1"/>
  <c r="B32" i="29" l="1"/>
  <c r="H32" i="29"/>
  <c r="G32" i="29"/>
  <c r="C27" i="29" l="1"/>
  <c r="B27" i="29"/>
  <c r="G71" i="138" l="1"/>
  <c r="G78" i="138" s="1"/>
  <c r="R61" i="138"/>
  <c r="Q61" i="138"/>
  <c r="P61" i="138"/>
  <c r="S58" i="138"/>
  <c r="S57" i="138"/>
  <c r="S56" i="138"/>
  <c r="S55" i="138"/>
  <c r="S54" i="138"/>
  <c r="S53" i="138"/>
  <c r="S52" i="138"/>
  <c r="S51" i="138"/>
  <c r="S50" i="138"/>
  <c r="E50" i="138"/>
  <c r="F50" i="138" s="1"/>
  <c r="S49" i="138"/>
  <c r="E49" i="138"/>
  <c r="F49" i="138" s="1"/>
  <c r="S48" i="138"/>
  <c r="C48" i="138"/>
  <c r="C51" i="138" s="1"/>
  <c r="S47" i="138"/>
  <c r="E47" i="138"/>
  <c r="F47" i="138" s="1"/>
  <c r="S46" i="138"/>
  <c r="E46" i="138"/>
  <c r="F46" i="138" s="1"/>
  <c r="S45" i="138"/>
  <c r="E45" i="138"/>
  <c r="F45" i="138" s="1"/>
  <c r="S44" i="138"/>
  <c r="E44" i="138"/>
  <c r="F44" i="138" s="1"/>
  <c r="S43" i="138"/>
  <c r="E43" i="138"/>
  <c r="F43" i="138" s="1"/>
  <c r="S42" i="138"/>
  <c r="E42" i="138"/>
  <c r="F42" i="138" s="1"/>
  <c r="S41" i="138"/>
  <c r="S40" i="138"/>
  <c r="L67" i="138"/>
  <c r="S39" i="138"/>
  <c r="S38" i="138"/>
  <c r="N70" i="138" l="1"/>
  <c r="D48" i="138"/>
  <c r="D51" i="138" s="1"/>
  <c r="N71" i="138"/>
  <c r="L75" i="138"/>
  <c r="E41" i="138"/>
  <c r="F41" i="138" s="1"/>
  <c r="E40" i="138"/>
  <c r="M67" i="138" s="1"/>
  <c r="M75" i="138" s="1"/>
  <c r="N68" i="138"/>
  <c r="N73" i="138"/>
  <c r="S61" i="138"/>
  <c r="N69" i="138"/>
  <c r="N72" i="138"/>
  <c r="N74" i="138"/>
  <c r="N67" i="138" l="1"/>
  <c r="N75" i="138" s="1"/>
  <c r="F40" i="138"/>
  <c r="F48" i="138" s="1"/>
  <c r="F51" i="138" s="1"/>
  <c r="E48" i="138"/>
  <c r="E51" i="138" s="1"/>
  <c r="K18" i="74"/>
  <c r="K17" i="74"/>
  <c r="K15" i="74"/>
  <c r="K9" i="74" l="1"/>
  <c r="C8" i="74" l="1"/>
  <c r="D10" i="74"/>
  <c r="C10" i="74"/>
  <c r="B30" i="29" l="1"/>
  <c r="D30" i="29" l="1"/>
  <c r="H38" i="84"/>
  <c r="AJ5" i="83" l="1"/>
  <c r="AJ6" i="83"/>
  <c r="AJ7" i="83"/>
  <c r="AJ9" i="83"/>
  <c r="AJ10" i="83"/>
  <c r="AJ11" i="83"/>
  <c r="AJ12" i="83"/>
  <c r="AJ16" i="83" l="1"/>
  <c r="C23" i="129"/>
  <c r="C22" i="129"/>
  <c r="C21" i="129"/>
  <c r="B21" i="129"/>
  <c r="C20" i="129"/>
  <c r="C19" i="129"/>
  <c r="B19" i="129"/>
  <c r="C18" i="129"/>
  <c r="B18" i="129"/>
  <c r="C17" i="129"/>
  <c r="D42" i="137" l="1"/>
  <c r="C42" i="137"/>
  <c r="D41" i="137"/>
  <c r="C41" i="137"/>
  <c r="C47" i="137"/>
  <c r="D47" i="137"/>
  <c r="M94" i="83" l="1"/>
  <c r="M87" i="83"/>
  <c r="M91" i="83" s="1"/>
  <c r="N91" i="83"/>
  <c r="N97" i="83" s="1"/>
  <c r="J91" i="83"/>
  <c r="J97" i="83" s="1"/>
  <c r="K91" i="83"/>
  <c r="K97" i="83" s="1"/>
  <c r="L91" i="83"/>
  <c r="L94" i="83"/>
  <c r="L97" i="83" l="1"/>
  <c r="M97" i="83"/>
  <c r="T14" i="84"/>
  <c r="T15" i="84"/>
  <c r="T16" i="84"/>
  <c r="T17" i="84"/>
  <c r="T18" i="84"/>
  <c r="E111" i="132" l="1"/>
  <c r="F15" i="132" s="1"/>
  <c r="E110" i="132"/>
  <c r="F16" i="132" s="1"/>
  <c r="E109" i="132"/>
  <c r="F13" i="132" s="1"/>
  <c r="E108" i="132"/>
  <c r="F12" i="132" s="1"/>
  <c r="E107" i="132"/>
  <c r="E106" i="132"/>
  <c r="F9" i="132" s="1"/>
  <c r="E105" i="132"/>
  <c r="F7" i="132" s="1"/>
  <c r="E104" i="132"/>
  <c r="F6" i="132" s="1"/>
  <c r="E103" i="132"/>
  <c r="F5" i="132" s="1"/>
  <c r="Q20" i="132"/>
  <c r="K19" i="132"/>
  <c r="J19" i="132"/>
  <c r="K18" i="132"/>
  <c r="J18" i="132"/>
  <c r="K17" i="132"/>
  <c r="J17" i="132"/>
  <c r="I16" i="132"/>
  <c r="H16" i="132"/>
  <c r="D16" i="132"/>
  <c r="C16" i="132"/>
  <c r="I15" i="132"/>
  <c r="H15" i="132"/>
  <c r="D15" i="132"/>
  <c r="C15" i="132"/>
  <c r="K14" i="132"/>
  <c r="J14" i="132"/>
  <c r="D13" i="132"/>
  <c r="C13" i="132"/>
  <c r="D12" i="132"/>
  <c r="C12" i="132"/>
  <c r="K11" i="132"/>
  <c r="J11" i="132"/>
  <c r="K10" i="132"/>
  <c r="J10" i="132"/>
  <c r="D9" i="132"/>
  <c r="C9" i="132"/>
  <c r="K8" i="132"/>
  <c r="J8" i="132"/>
  <c r="D7" i="132"/>
  <c r="C7" i="132"/>
  <c r="D6" i="132"/>
  <c r="C6" i="132"/>
  <c r="D5" i="132"/>
  <c r="C5" i="132"/>
  <c r="G62" i="130"/>
  <c r="G64" i="130" s="1"/>
  <c r="G55" i="130"/>
  <c r="G57" i="130" s="1"/>
  <c r="G59" i="130" s="1"/>
  <c r="D20" i="132" l="1"/>
  <c r="C20" i="132"/>
  <c r="K15" i="132"/>
  <c r="K16" i="132"/>
  <c r="F20" i="132"/>
  <c r="G66" i="130"/>
  <c r="C18" i="137" l="1"/>
  <c r="C32" i="137" s="1"/>
  <c r="B18" i="112" l="1"/>
  <c r="D111" i="132"/>
  <c r="E15" i="132" s="1"/>
  <c r="J15" i="132" s="1"/>
  <c r="D110" i="132"/>
  <c r="E16" i="132" s="1"/>
  <c r="J16" i="132" s="1"/>
  <c r="D109" i="132"/>
  <c r="E13" i="132" s="1"/>
  <c r="D108" i="132"/>
  <c r="E12" i="132" s="1"/>
  <c r="D107" i="132"/>
  <c r="D106" i="132"/>
  <c r="E9" i="132" s="1"/>
  <c r="D105" i="132"/>
  <c r="E7" i="132" s="1"/>
  <c r="D104" i="132"/>
  <c r="E6" i="132" s="1"/>
  <c r="D103" i="132"/>
  <c r="E5" i="132" s="1"/>
  <c r="E20" i="132" l="1"/>
  <c r="C24" i="29" l="1"/>
  <c r="H24" i="131" s="1"/>
  <c r="C25" i="44"/>
  <c r="B23" i="41"/>
  <c r="T22" i="83"/>
  <c r="L21" i="88"/>
  <c r="L20" i="88"/>
  <c r="L25" i="88"/>
  <c r="C13" i="75"/>
  <c r="Q42" i="74"/>
  <c r="Q40" i="74"/>
  <c r="Q39" i="74"/>
  <c r="G46" i="74"/>
  <c r="G47" i="74" s="1"/>
  <c r="H10" i="74"/>
  <c r="H83" i="132"/>
  <c r="M59" i="130" s="1"/>
  <c r="H84" i="132"/>
  <c r="M60" i="130" s="1"/>
  <c r="H85" i="132"/>
  <c r="M61" i="130" s="1"/>
  <c r="H86" i="132"/>
  <c r="H87" i="132"/>
  <c r="M63" i="130" s="1"/>
  <c r="H88" i="132"/>
  <c r="M64" i="130" s="1"/>
  <c r="H89" i="132"/>
  <c r="M65" i="130" s="1"/>
  <c r="H90" i="132"/>
  <c r="H91" i="132"/>
  <c r="M66" i="130" s="1"/>
  <c r="G91" i="132"/>
  <c r="L66" i="130" s="1"/>
  <c r="G90" i="132"/>
  <c r="G89" i="132"/>
  <c r="G88" i="132"/>
  <c r="L64" i="130" s="1"/>
  <c r="G87" i="132"/>
  <c r="L63" i="130" s="1"/>
  <c r="G86" i="132"/>
  <c r="L62" i="130" s="1"/>
  <c r="G85" i="132"/>
  <c r="G84" i="132"/>
  <c r="L60" i="130" s="1"/>
  <c r="G83" i="132"/>
  <c r="L59" i="130" s="1"/>
  <c r="P45" i="130"/>
  <c r="P42" i="130"/>
  <c r="K42" i="130"/>
  <c r="G109" i="132"/>
  <c r="I13" i="132" s="1"/>
  <c r="K13" i="132" s="1"/>
  <c r="G108" i="132"/>
  <c r="I12" i="132" s="1"/>
  <c r="K12" i="132" s="1"/>
  <c r="G107" i="132"/>
  <c r="G106" i="132"/>
  <c r="I9" i="132" s="1"/>
  <c r="K9" i="132" s="1"/>
  <c r="G105" i="132"/>
  <c r="G104" i="132"/>
  <c r="I6" i="132" s="1"/>
  <c r="K6" i="132" s="1"/>
  <c r="G103" i="132"/>
  <c r="I5" i="132" s="1"/>
  <c r="R38" i="130" s="1"/>
  <c r="G102" i="132"/>
  <c r="F109" i="132"/>
  <c r="H13" i="132" s="1"/>
  <c r="J13" i="132" s="1"/>
  <c r="F108" i="132"/>
  <c r="F107" i="132"/>
  <c r="F106" i="132"/>
  <c r="H9" i="132" s="1"/>
  <c r="J9" i="132" s="1"/>
  <c r="F105" i="132"/>
  <c r="H7" i="132" s="1"/>
  <c r="J7" i="132" s="1"/>
  <c r="F104" i="132"/>
  <c r="H6" i="132" s="1"/>
  <c r="J6" i="132" s="1"/>
  <c r="F102" i="132"/>
  <c r="F103" i="132"/>
  <c r="H5" i="132" s="1"/>
  <c r="M38" i="130" s="1"/>
  <c r="Q49" i="130"/>
  <c r="Q45" i="130"/>
  <c r="Q40" i="130"/>
  <c r="L49" i="130"/>
  <c r="L45" i="130"/>
  <c r="L42" i="130"/>
  <c r="L40" i="130"/>
  <c r="G218" i="88"/>
  <c r="G216" i="88"/>
  <c r="D216" i="88" s="1"/>
  <c r="D35" i="112"/>
  <c r="AX20" i="101"/>
  <c r="AZ20" i="101" s="1"/>
  <c r="AQ64" i="101" s="1"/>
  <c r="B27" i="41"/>
  <c r="C42" i="44"/>
  <c r="C37" i="44"/>
  <c r="R28" i="74"/>
  <c r="M41" i="130"/>
  <c r="P48" i="130"/>
  <c r="P49" i="130"/>
  <c r="P38" i="130"/>
  <c r="K49" i="130"/>
  <c r="K46" i="130"/>
  <c r="K45" i="130"/>
  <c r="K39" i="130"/>
  <c r="R44" i="130"/>
  <c r="Q44" i="130"/>
  <c r="L39" i="130"/>
  <c r="L46" i="130"/>
  <c r="Q46" i="130"/>
  <c r="R49" i="130"/>
  <c r="Q48" i="130"/>
  <c r="C112" i="132"/>
  <c r="B112" i="132"/>
  <c r="V5" i="83"/>
  <c r="B24" i="41"/>
  <c r="G21" i="41"/>
  <c r="G22" i="41"/>
  <c r="G23" i="41"/>
  <c r="G27" i="41"/>
  <c r="G28" i="41"/>
  <c r="G33" i="41"/>
  <c r="G35" i="41"/>
  <c r="G36" i="41"/>
  <c r="H28" i="44"/>
  <c r="H35" i="44"/>
  <c r="H36" i="44"/>
  <c r="G213" i="88"/>
  <c r="J26" i="88"/>
  <c r="J21" i="88"/>
  <c r="Q22" i="83"/>
  <c r="I26" i="88"/>
  <c r="I21" i="88"/>
  <c r="P22" i="83"/>
  <c r="H21" i="88"/>
  <c r="I20" i="88"/>
  <c r="I25" i="88"/>
  <c r="H20" i="88"/>
  <c r="H25" i="88"/>
  <c r="D32" i="75"/>
  <c r="E32" i="75" s="1"/>
  <c r="D21" i="75"/>
  <c r="E21" i="75" s="1"/>
  <c r="H9" i="74"/>
  <c r="C39" i="44"/>
  <c r="C35" i="44"/>
  <c r="C33" i="44"/>
  <c r="C29" i="44"/>
  <c r="C24" i="44"/>
  <c r="C22" i="44"/>
  <c r="B24" i="29"/>
  <c r="B25" i="29"/>
  <c r="B33" i="41"/>
  <c r="D33" i="41" s="1"/>
  <c r="AJ17" i="83"/>
  <c r="AJ19" i="83"/>
  <c r="AJ20" i="83"/>
  <c r="A1" i="130"/>
  <c r="N14" i="75"/>
  <c r="J9" i="131" s="1"/>
  <c r="N15" i="75"/>
  <c r="N16" i="75"/>
  <c r="N17" i="75"/>
  <c r="J10" i="131" s="1"/>
  <c r="N20" i="75"/>
  <c r="N25" i="75"/>
  <c r="N21" i="75"/>
  <c r="N22" i="75"/>
  <c r="N23" i="75"/>
  <c r="BB17" i="83"/>
  <c r="BB22" i="83" s="1"/>
  <c r="D14" i="75"/>
  <c r="AY11" i="101" s="1"/>
  <c r="D94" i="101" s="1"/>
  <c r="D16" i="75"/>
  <c r="E16" i="75" s="1"/>
  <c r="D17" i="75"/>
  <c r="H10" i="131" s="1"/>
  <c r="D19" i="75"/>
  <c r="E19" i="75" s="1"/>
  <c r="D20" i="75"/>
  <c r="D22" i="75"/>
  <c r="E22" i="75" s="1"/>
  <c r="D23" i="75"/>
  <c r="E23" i="75" s="1"/>
  <c r="I76" i="136"/>
  <c r="C79" i="136"/>
  <c r="M44" i="130"/>
  <c r="P40" i="130"/>
  <c r="K38" i="130"/>
  <c r="K40" i="130"/>
  <c r="AS21" i="83"/>
  <c r="AS22" i="83" s="1"/>
  <c r="AR21" i="83"/>
  <c r="AR22" i="83" s="1"/>
  <c r="AQ21" i="83"/>
  <c r="AQ22" i="83" s="1"/>
  <c r="AP21" i="83"/>
  <c r="AP22" i="83" s="1"/>
  <c r="AO21" i="83"/>
  <c r="AO22" i="83" s="1"/>
  <c r="BB5" i="83"/>
  <c r="BB16" i="83" s="1"/>
  <c r="BC5" i="83"/>
  <c r="BC16" i="83" s="1"/>
  <c r="BD5" i="83"/>
  <c r="BD16" i="83" s="1"/>
  <c r="BE5" i="83"/>
  <c r="BE16" i="83" s="1"/>
  <c r="BF5" i="83"/>
  <c r="BF16" i="83" s="1"/>
  <c r="BG5" i="83"/>
  <c r="BG16" i="83" s="1"/>
  <c r="BI5" i="83"/>
  <c r="BI16" i="83" s="1"/>
  <c r="BJ5" i="83"/>
  <c r="BJ16" i="83" s="1"/>
  <c r="BK5" i="83"/>
  <c r="BK16" i="83" s="1"/>
  <c r="BL5" i="83"/>
  <c r="BL16" i="83" s="1"/>
  <c r="BM5" i="83"/>
  <c r="BM16" i="83" s="1"/>
  <c r="BN5" i="83"/>
  <c r="BN16" i="83" s="1"/>
  <c r="BC22" i="83"/>
  <c r="BD22" i="83"/>
  <c r="BE22" i="83"/>
  <c r="BF22" i="83"/>
  <c r="BG22" i="83"/>
  <c r="BI22" i="83"/>
  <c r="BJ22" i="83"/>
  <c r="BK22" i="83"/>
  <c r="BL22" i="83"/>
  <c r="BM22" i="83"/>
  <c r="BN22" i="83"/>
  <c r="BB33" i="83"/>
  <c r="BC33" i="83"/>
  <c r="BD33" i="83"/>
  <c r="BE33" i="83"/>
  <c r="BF33" i="83"/>
  <c r="BG33" i="83"/>
  <c r="BI33" i="83"/>
  <c r="BJ33" i="83"/>
  <c r="BK33" i="83"/>
  <c r="BL33" i="83"/>
  <c r="BM33" i="83"/>
  <c r="BN33" i="83"/>
  <c r="BB45" i="83"/>
  <c r="BB47" i="83" s="1"/>
  <c r="BC45" i="83"/>
  <c r="BC47" i="83" s="1"/>
  <c r="BD45" i="83"/>
  <c r="BD47" i="83" s="1"/>
  <c r="BE45" i="83"/>
  <c r="BE47" i="83" s="1"/>
  <c r="BF45" i="83"/>
  <c r="BF47" i="83" s="1"/>
  <c r="BG45" i="83"/>
  <c r="BG47" i="83" s="1"/>
  <c r="BI45" i="83"/>
  <c r="BI47" i="83" s="1"/>
  <c r="BJ45" i="83"/>
  <c r="BJ47" i="83" s="1"/>
  <c r="BK45" i="83"/>
  <c r="BK47" i="83" s="1"/>
  <c r="BL45" i="83"/>
  <c r="BL47" i="83" s="1"/>
  <c r="BM45" i="83"/>
  <c r="BM47" i="83" s="1"/>
  <c r="BN45" i="83"/>
  <c r="BN47" i="83" s="1"/>
  <c r="BB48" i="83"/>
  <c r="BC48" i="83" s="1"/>
  <c r="BC49" i="83"/>
  <c r="BD49" i="83" s="1"/>
  <c r="BE49" i="83" s="1"/>
  <c r="BF49" i="83" s="1"/>
  <c r="BG49" i="83" s="1"/>
  <c r="BB50" i="83"/>
  <c r="BC50" i="83" s="1"/>
  <c r="BD50" i="83" s="1"/>
  <c r="BE50" i="83" s="1"/>
  <c r="BF50" i="83" s="1"/>
  <c r="BG50" i="83" s="1"/>
  <c r="BI51" i="83"/>
  <c r="BJ51" i="83"/>
  <c r="BK51" i="83"/>
  <c r="BL51" i="83"/>
  <c r="BM51" i="83"/>
  <c r="BN51" i="83"/>
  <c r="BB59" i="83"/>
  <c r="BC59" i="83"/>
  <c r="BD59" i="83"/>
  <c r="BE59" i="83"/>
  <c r="BF59" i="83"/>
  <c r="BG59" i="83"/>
  <c r="BI59" i="83"/>
  <c r="BJ59" i="83"/>
  <c r="BK59" i="83"/>
  <c r="BL59" i="83"/>
  <c r="BM59" i="83"/>
  <c r="BN59" i="83"/>
  <c r="AO33" i="83"/>
  <c r="AP33" i="83"/>
  <c r="AQ33" i="83"/>
  <c r="AR33" i="83"/>
  <c r="AS33" i="83"/>
  <c r="AO45" i="83"/>
  <c r="AO47" i="83" s="1"/>
  <c r="I12" i="112"/>
  <c r="E18" i="74"/>
  <c r="D17" i="112"/>
  <c r="C11" i="112"/>
  <c r="C12" i="112"/>
  <c r="C13" i="112"/>
  <c r="C14" i="112"/>
  <c r="C15" i="112"/>
  <c r="C17" i="112"/>
  <c r="F32" i="124"/>
  <c r="F30" i="124" s="1"/>
  <c r="M21" i="88"/>
  <c r="AN45" i="83"/>
  <c r="AN47" i="83" s="1"/>
  <c r="AN33" i="83"/>
  <c r="AN22" i="83"/>
  <c r="AS16" i="83"/>
  <c r="AR16" i="83"/>
  <c r="AQ16" i="83"/>
  <c r="AP16" i="83"/>
  <c r="AO16" i="83"/>
  <c r="AN16" i="83"/>
  <c r="AZ33" i="83"/>
  <c r="AY33" i="83"/>
  <c r="AX33" i="83"/>
  <c r="AW33" i="83"/>
  <c r="AV33" i="83"/>
  <c r="AU33" i="83"/>
  <c r="AZ22" i="83"/>
  <c r="AY22" i="83"/>
  <c r="AX22" i="83"/>
  <c r="AW22" i="83"/>
  <c r="AV22" i="83"/>
  <c r="AU22" i="83"/>
  <c r="AZ16" i="83"/>
  <c r="AY16" i="83"/>
  <c r="AX16" i="83"/>
  <c r="AW16" i="83"/>
  <c r="AV16" i="83"/>
  <c r="AU16" i="83"/>
  <c r="G30" i="29"/>
  <c r="M19" i="75"/>
  <c r="J22" i="83"/>
  <c r="B21" i="88"/>
  <c r="B26" i="88"/>
  <c r="K22" i="83"/>
  <c r="L22" i="83"/>
  <c r="D26" i="88"/>
  <c r="M22" i="83"/>
  <c r="E21" i="88"/>
  <c r="N22" i="83"/>
  <c r="F21" i="88"/>
  <c r="F26" i="88"/>
  <c r="O22" i="83"/>
  <c r="G21" i="88"/>
  <c r="G26" i="88"/>
  <c r="X22" i="83"/>
  <c r="B20" i="88"/>
  <c r="B25" i="88"/>
  <c r="C20" i="88"/>
  <c r="C25" i="88"/>
  <c r="D20" i="88"/>
  <c r="D25" i="88"/>
  <c r="E20" i="88"/>
  <c r="E25" i="88"/>
  <c r="F20" i="88"/>
  <c r="F25" i="88"/>
  <c r="G25" i="29"/>
  <c r="BB20" i="101"/>
  <c r="G43" i="88"/>
  <c r="F43" i="88" s="1"/>
  <c r="G44" i="88"/>
  <c r="D44" i="88" s="1"/>
  <c r="G45" i="88"/>
  <c r="G47" i="88"/>
  <c r="D47" i="88" s="1"/>
  <c r="G48" i="88"/>
  <c r="E48" i="88" s="1"/>
  <c r="G58" i="88"/>
  <c r="F58" i="88" s="1"/>
  <c r="G59" i="88"/>
  <c r="D59" i="88" s="1"/>
  <c r="G62" i="88"/>
  <c r="E62" i="88" s="1"/>
  <c r="G61" i="88"/>
  <c r="D61" i="88" s="1"/>
  <c r="G63" i="88"/>
  <c r="D63" i="88" s="1"/>
  <c r="D138" i="88"/>
  <c r="E138" i="88"/>
  <c r="G103" i="88"/>
  <c r="F103" i="88" s="1"/>
  <c r="G104" i="88"/>
  <c r="D104" i="88" s="1"/>
  <c r="G105" i="88"/>
  <c r="D105" i="88" s="1"/>
  <c r="G107" i="88"/>
  <c r="E107" i="88" s="1"/>
  <c r="G108" i="88"/>
  <c r="G88" i="88"/>
  <c r="F88" i="88" s="1"/>
  <c r="G89" i="88"/>
  <c r="D89" i="88" s="1"/>
  <c r="G90" i="88"/>
  <c r="E90" i="88" s="1"/>
  <c r="G92" i="88"/>
  <c r="E92" i="88" s="1"/>
  <c r="G93" i="88"/>
  <c r="D93" i="88" s="1"/>
  <c r="G73" i="88"/>
  <c r="F73" i="88" s="1"/>
  <c r="G74" i="88"/>
  <c r="E74" i="88" s="1"/>
  <c r="G75" i="88"/>
  <c r="E75" i="88" s="1"/>
  <c r="G77" i="88"/>
  <c r="E77" i="88" s="1"/>
  <c r="G78" i="88"/>
  <c r="D78" i="88" s="1"/>
  <c r="L41" i="130"/>
  <c r="L44" i="130"/>
  <c r="P44" i="130"/>
  <c r="P41" i="130"/>
  <c r="K44" i="130"/>
  <c r="K41" i="130"/>
  <c r="E10" i="124"/>
  <c r="F10" i="124" s="1"/>
  <c r="G13" i="124"/>
  <c r="G12" i="124"/>
  <c r="G11" i="124"/>
  <c r="G10" i="124"/>
  <c r="G9" i="124"/>
  <c r="G8" i="124"/>
  <c r="G7" i="124"/>
  <c r="E12" i="124"/>
  <c r="F12" i="124" s="1"/>
  <c r="E11" i="124"/>
  <c r="F11" i="124" s="1"/>
  <c r="E9" i="124"/>
  <c r="F9" i="124" s="1"/>
  <c r="E8" i="124"/>
  <c r="F8" i="124" s="1"/>
  <c r="E7" i="124"/>
  <c r="F7" i="124" s="1"/>
  <c r="E6" i="124"/>
  <c r="F6" i="124" s="1"/>
  <c r="G6" i="124"/>
  <c r="F13" i="124"/>
  <c r="R52" i="130"/>
  <c r="Q52" i="130"/>
  <c r="P52" i="130"/>
  <c r="M52" i="130"/>
  <c r="L52" i="130"/>
  <c r="K52" i="130"/>
  <c r="R51" i="130"/>
  <c r="Q51" i="130"/>
  <c r="P51" i="130"/>
  <c r="M51" i="130"/>
  <c r="L51" i="130"/>
  <c r="K51" i="130"/>
  <c r="R50" i="130"/>
  <c r="Q50" i="130"/>
  <c r="P50" i="130"/>
  <c r="M50" i="130"/>
  <c r="L50" i="130"/>
  <c r="K50" i="130"/>
  <c r="R48" i="130"/>
  <c r="M48" i="130"/>
  <c r="L48" i="130"/>
  <c r="K48" i="130"/>
  <c r="R47" i="130"/>
  <c r="Q47" i="130"/>
  <c r="P47" i="130"/>
  <c r="M47" i="130"/>
  <c r="L47" i="130"/>
  <c r="K47" i="130"/>
  <c r="P46" i="130"/>
  <c r="R41" i="130"/>
  <c r="R43" i="130"/>
  <c r="Q43" i="130"/>
  <c r="P43" i="130"/>
  <c r="M43" i="130"/>
  <c r="L43" i="130"/>
  <c r="K43" i="130"/>
  <c r="Q41" i="130"/>
  <c r="O5" i="65"/>
  <c r="G21" i="32" s="1"/>
  <c r="C28" i="65"/>
  <c r="AB51" i="83"/>
  <c r="AA51" i="83"/>
  <c r="Z51" i="83"/>
  <c r="Y51" i="83"/>
  <c r="X51" i="83"/>
  <c r="J19" i="84"/>
  <c r="R40" i="65"/>
  <c r="R39" i="65"/>
  <c r="R38" i="65"/>
  <c r="R37" i="65"/>
  <c r="R36" i="65"/>
  <c r="R35" i="65"/>
  <c r="R34" i="65"/>
  <c r="R32" i="65"/>
  <c r="R31" i="65"/>
  <c r="R29" i="65"/>
  <c r="R28" i="65"/>
  <c r="R27" i="65"/>
  <c r="C40" i="65"/>
  <c r="C39" i="65"/>
  <c r="C38" i="65"/>
  <c r="C37" i="65"/>
  <c r="C36" i="65"/>
  <c r="C35" i="65"/>
  <c r="C34" i="65"/>
  <c r="C32" i="65"/>
  <c r="C31" i="65"/>
  <c r="C29" i="65"/>
  <c r="C27" i="65"/>
  <c r="AD16" i="65"/>
  <c r="H32" i="32" s="1"/>
  <c r="J25" i="131" s="1"/>
  <c r="H25" i="131" s="1"/>
  <c r="J9" i="129"/>
  <c r="C9" i="129"/>
  <c r="Q11" i="74"/>
  <c r="K11" i="74"/>
  <c r="D21" i="74"/>
  <c r="D26" i="74" s="1"/>
  <c r="E8" i="74"/>
  <c r="H26" i="29"/>
  <c r="A1" i="129"/>
  <c r="J26" i="128"/>
  <c r="J27" i="128" s="1"/>
  <c r="R26" i="128"/>
  <c r="R27" i="128" s="1"/>
  <c r="Q26" i="128"/>
  <c r="Q27" i="128" s="1"/>
  <c r="P26" i="128"/>
  <c r="P27" i="128" s="1"/>
  <c r="O26" i="128"/>
  <c r="O27" i="128" s="1"/>
  <c r="N26" i="128"/>
  <c r="N27" i="128" s="1"/>
  <c r="M26" i="128"/>
  <c r="M27" i="128" s="1"/>
  <c r="L26" i="128"/>
  <c r="L27" i="128" s="1"/>
  <c r="L22" i="128"/>
  <c r="K26" i="128"/>
  <c r="K27" i="128" s="1"/>
  <c r="I26" i="128"/>
  <c r="I27" i="128" s="1"/>
  <c r="R22" i="128"/>
  <c r="Q22" i="128"/>
  <c r="P22" i="128"/>
  <c r="O22" i="128"/>
  <c r="N22" i="128"/>
  <c r="M22" i="128"/>
  <c r="K22" i="128"/>
  <c r="K33" i="128" s="1"/>
  <c r="K34" i="128" s="1"/>
  <c r="K42" i="128" s="1"/>
  <c r="J22" i="128"/>
  <c r="I22" i="128"/>
  <c r="R11" i="128"/>
  <c r="R30" i="128" s="1"/>
  <c r="R31" i="128" s="1"/>
  <c r="R46" i="128" s="1"/>
  <c r="Q11" i="128"/>
  <c r="Q30" i="128" s="1"/>
  <c r="Q31" i="128" s="1"/>
  <c r="Q46" i="128" s="1"/>
  <c r="P11" i="128"/>
  <c r="P30" i="128" s="1"/>
  <c r="P31" i="128" s="1"/>
  <c r="P40" i="128" s="1"/>
  <c r="O11" i="128"/>
  <c r="O30" i="128" s="1"/>
  <c r="O31" i="128" s="1"/>
  <c r="O39" i="128" s="1"/>
  <c r="N11" i="128"/>
  <c r="N30" i="128" s="1"/>
  <c r="N31" i="128" s="1"/>
  <c r="N46" i="128" s="1"/>
  <c r="M11" i="128"/>
  <c r="M30" i="128" s="1"/>
  <c r="M31" i="128" s="1"/>
  <c r="M39" i="128" s="1"/>
  <c r="L11" i="128"/>
  <c r="L30" i="128" s="1"/>
  <c r="L31" i="128" s="1"/>
  <c r="L39" i="128" s="1"/>
  <c r="K11" i="128"/>
  <c r="K30" i="128" s="1"/>
  <c r="K31" i="128" s="1"/>
  <c r="K45" i="128" s="1"/>
  <c r="J11" i="128"/>
  <c r="J30" i="128" s="1"/>
  <c r="J31" i="128" s="1"/>
  <c r="I11" i="128"/>
  <c r="I30" i="128" s="1"/>
  <c r="I31" i="128" s="1"/>
  <c r="I45" i="128" s="1"/>
  <c r="AG59" i="83"/>
  <c r="AH59" i="83"/>
  <c r="AZ59" i="83"/>
  <c r="AY59" i="83"/>
  <c r="AX59" i="83"/>
  <c r="AW59" i="83"/>
  <c r="AV59" i="83"/>
  <c r="AU59" i="83"/>
  <c r="AZ51" i="83"/>
  <c r="AY51" i="83"/>
  <c r="AX51" i="83"/>
  <c r="AW51" i="83"/>
  <c r="AV51" i="83"/>
  <c r="AU51" i="83"/>
  <c r="AY47" i="83"/>
  <c r="AX47" i="83"/>
  <c r="AU47" i="83"/>
  <c r="AS59" i="83"/>
  <c r="AR59" i="83"/>
  <c r="AQ59" i="83"/>
  <c r="AP59" i="83"/>
  <c r="AO59" i="83"/>
  <c r="AN59" i="83"/>
  <c r="AS51" i="83"/>
  <c r="AR51" i="83"/>
  <c r="AQ51" i="83"/>
  <c r="AP51" i="83"/>
  <c r="AO51" i="83"/>
  <c r="AN51" i="83"/>
  <c r="AP47" i="83"/>
  <c r="AC51" i="83"/>
  <c r="D43" i="101"/>
  <c r="D61" i="101" s="1"/>
  <c r="D27" i="29"/>
  <c r="M66" i="123"/>
  <c r="L66" i="123"/>
  <c r="L59" i="123"/>
  <c r="L60" i="123"/>
  <c r="L61" i="123"/>
  <c r="L62" i="123"/>
  <c r="L63" i="123"/>
  <c r="L64" i="123"/>
  <c r="L65" i="123"/>
  <c r="M64" i="123"/>
  <c r="M65" i="123"/>
  <c r="K66" i="123"/>
  <c r="K65" i="123"/>
  <c r="M59" i="123"/>
  <c r="M60" i="123"/>
  <c r="M61" i="123"/>
  <c r="M62" i="123"/>
  <c r="M63" i="123"/>
  <c r="K64" i="123"/>
  <c r="G64" i="123"/>
  <c r="K63" i="123"/>
  <c r="K62" i="123"/>
  <c r="K61" i="123"/>
  <c r="K59" i="123"/>
  <c r="K60" i="123"/>
  <c r="G58" i="123"/>
  <c r="G59" i="123" s="1"/>
  <c r="E58" i="123"/>
  <c r="E59" i="123" s="1"/>
  <c r="R52" i="123"/>
  <c r="Q52" i="123"/>
  <c r="P52" i="123"/>
  <c r="M52" i="123"/>
  <c r="L52" i="123"/>
  <c r="K52" i="123"/>
  <c r="R51" i="123"/>
  <c r="Q51" i="123"/>
  <c r="P51" i="123"/>
  <c r="M51" i="123"/>
  <c r="L51" i="123"/>
  <c r="K51" i="123"/>
  <c r="R50" i="123"/>
  <c r="Q50" i="123"/>
  <c r="P50" i="123"/>
  <c r="M50" i="123"/>
  <c r="L50" i="123"/>
  <c r="K50" i="123"/>
  <c r="R49" i="123"/>
  <c r="Q49" i="123"/>
  <c r="P49" i="123"/>
  <c r="M49" i="123"/>
  <c r="L49" i="123"/>
  <c r="K49" i="123"/>
  <c r="R48" i="123"/>
  <c r="Q48" i="123"/>
  <c r="P48" i="123"/>
  <c r="M48" i="123"/>
  <c r="L48" i="123"/>
  <c r="K48" i="123"/>
  <c r="R47" i="123"/>
  <c r="Q47" i="123"/>
  <c r="P47" i="123"/>
  <c r="P38" i="123"/>
  <c r="P39" i="123"/>
  <c r="P40" i="123"/>
  <c r="P41" i="123"/>
  <c r="P42" i="123"/>
  <c r="P43" i="123"/>
  <c r="P44" i="123"/>
  <c r="P45" i="123"/>
  <c r="P46" i="123"/>
  <c r="M47" i="123"/>
  <c r="L47" i="123"/>
  <c r="K47" i="123"/>
  <c r="R46" i="123"/>
  <c r="Q46" i="123"/>
  <c r="M46" i="123"/>
  <c r="L46" i="123"/>
  <c r="K46" i="123"/>
  <c r="R45" i="123"/>
  <c r="Q45" i="123"/>
  <c r="M45" i="123"/>
  <c r="L45" i="123"/>
  <c r="K45" i="123"/>
  <c r="R44" i="123"/>
  <c r="Q44" i="123"/>
  <c r="M44" i="123"/>
  <c r="L44" i="123"/>
  <c r="K44" i="123"/>
  <c r="R43" i="123"/>
  <c r="Q43" i="123"/>
  <c r="M43" i="123"/>
  <c r="L43" i="123"/>
  <c r="K43" i="123"/>
  <c r="R42" i="123"/>
  <c r="Q42" i="123"/>
  <c r="Q38" i="123"/>
  <c r="Q39" i="123"/>
  <c r="Q40" i="123"/>
  <c r="Q41" i="123"/>
  <c r="R40" i="123"/>
  <c r="M42" i="123"/>
  <c r="L42" i="123"/>
  <c r="K42" i="123"/>
  <c r="R41" i="123"/>
  <c r="M41" i="123"/>
  <c r="L41" i="123"/>
  <c r="K41" i="123"/>
  <c r="M40" i="123"/>
  <c r="L40" i="123"/>
  <c r="K40" i="123"/>
  <c r="R39" i="123"/>
  <c r="M39" i="123"/>
  <c r="L39" i="123"/>
  <c r="K39" i="123"/>
  <c r="R38" i="123"/>
  <c r="M38" i="123"/>
  <c r="L38" i="123"/>
  <c r="K38" i="123"/>
  <c r="A210" i="88"/>
  <c r="AI59" i="83"/>
  <c r="AC59" i="83"/>
  <c r="AB59" i="83"/>
  <c r="AA59" i="83"/>
  <c r="Z59" i="83"/>
  <c r="Y59" i="83"/>
  <c r="X59" i="83"/>
  <c r="F13" i="17"/>
  <c r="F14" i="17"/>
  <c r="F8" i="17"/>
  <c r="F9" i="17"/>
  <c r="F10" i="17"/>
  <c r="F11" i="17"/>
  <c r="F12" i="17"/>
  <c r="F16" i="17"/>
  <c r="F17" i="17"/>
  <c r="D26" i="75"/>
  <c r="E26" i="75" s="1"/>
  <c r="G21" i="74"/>
  <c r="G26" i="74" s="1"/>
  <c r="Q41" i="74" s="1"/>
  <c r="E56" i="117"/>
  <c r="G56" i="117" s="1"/>
  <c r="G57" i="117"/>
  <c r="G59" i="117"/>
  <c r="G65" i="117"/>
  <c r="C9" i="122"/>
  <c r="L23" i="122"/>
  <c r="M23" i="122" s="1"/>
  <c r="L9" i="122" s="1"/>
  <c r="L22" i="122"/>
  <c r="M22" i="122" s="1"/>
  <c r="L21" i="122"/>
  <c r="M21" i="122" s="1"/>
  <c r="L20" i="122"/>
  <c r="M20" i="122" s="1"/>
  <c r="L19" i="122"/>
  <c r="M19" i="122" s="1"/>
  <c r="L18" i="122"/>
  <c r="M18" i="122" s="1"/>
  <c r="L17" i="122"/>
  <c r="M17" i="122" s="1"/>
  <c r="K21" i="122"/>
  <c r="K20" i="122"/>
  <c r="K19" i="122"/>
  <c r="K18" i="122"/>
  <c r="K17" i="122"/>
  <c r="J9" i="122"/>
  <c r="F20" i="122"/>
  <c r="F17" i="122"/>
  <c r="F18" i="122"/>
  <c r="F19" i="122"/>
  <c r="F22" i="122"/>
  <c r="F21" i="122"/>
  <c r="F23" i="122"/>
  <c r="E9" i="122" s="1"/>
  <c r="L9" i="120"/>
  <c r="D9" i="120"/>
  <c r="K9" i="120"/>
  <c r="J9" i="120"/>
  <c r="E9" i="120"/>
  <c r="C9" i="120"/>
  <c r="A1" i="120"/>
  <c r="E58" i="117"/>
  <c r="T21" i="84"/>
  <c r="M26" i="75" s="1"/>
  <c r="N26" i="75"/>
  <c r="D30" i="75"/>
  <c r="E30" i="75" s="1"/>
  <c r="G19" i="84"/>
  <c r="V71" i="83"/>
  <c r="J17" i="112"/>
  <c r="J14" i="112"/>
  <c r="D15" i="112"/>
  <c r="D11" i="112"/>
  <c r="D12" i="112"/>
  <c r="D13" i="112"/>
  <c r="D14" i="112"/>
  <c r="H11" i="112"/>
  <c r="I17" i="112"/>
  <c r="H17" i="112"/>
  <c r="I11" i="112"/>
  <c r="I13" i="112"/>
  <c r="I14" i="112"/>
  <c r="I15" i="112"/>
  <c r="J12" i="112"/>
  <c r="J11" i="112"/>
  <c r="J13" i="112"/>
  <c r="J15" i="112"/>
  <c r="H12" i="112"/>
  <c r="H13" i="112"/>
  <c r="H14" i="112"/>
  <c r="H15" i="112"/>
  <c r="E34" i="112"/>
  <c r="C34" i="112"/>
  <c r="D34" i="112"/>
  <c r="C35" i="112"/>
  <c r="B35" i="112"/>
  <c r="B34" i="112"/>
  <c r="E29" i="112"/>
  <c r="E30" i="112"/>
  <c r="E28" i="112"/>
  <c r="E31" i="112"/>
  <c r="E32" i="112"/>
  <c r="C28" i="112"/>
  <c r="C29" i="112"/>
  <c r="C30" i="112"/>
  <c r="C31" i="112"/>
  <c r="C32" i="112"/>
  <c r="D29" i="112"/>
  <c r="D28" i="112"/>
  <c r="D30" i="112"/>
  <c r="D31" i="112"/>
  <c r="D32" i="112"/>
  <c r="B29" i="112"/>
  <c r="B28" i="112"/>
  <c r="B30" i="112"/>
  <c r="B31" i="112"/>
  <c r="B32" i="112"/>
  <c r="B17" i="112"/>
  <c r="B12" i="112"/>
  <c r="B11" i="112"/>
  <c r="B13" i="112"/>
  <c r="B14" i="112"/>
  <c r="B15" i="112"/>
  <c r="A1" i="112"/>
  <c r="A1" i="107"/>
  <c r="M19" i="84"/>
  <c r="M8" i="84"/>
  <c r="M13" i="84"/>
  <c r="M29" i="84"/>
  <c r="L19" i="84"/>
  <c r="K19" i="84"/>
  <c r="K8" i="84"/>
  <c r="K13" i="84"/>
  <c r="K29" i="84"/>
  <c r="I19" i="84"/>
  <c r="H19" i="84"/>
  <c r="F19" i="84"/>
  <c r="AJ71" i="83"/>
  <c r="D37" i="74"/>
  <c r="BC7" i="101"/>
  <c r="BE7" i="101" s="1"/>
  <c r="BB7" i="101"/>
  <c r="AE42" i="101" s="1"/>
  <c r="AE60" i="101" s="1"/>
  <c r="AE101" i="101" s="1"/>
  <c r="AB42" i="101"/>
  <c r="AZ17" i="101"/>
  <c r="A220" i="88"/>
  <c r="A219" i="88"/>
  <c r="A218" i="88"/>
  <c r="A217" i="88"/>
  <c r="A216" i="88"/>
  <c r="A215" i="88"/>
  <c r="A214" i="88"/>
  <c r="A213" i="88"/>
  <c r="A212" i="88"/>
  <c r="A211" i="88"/>
  <c r="G20" i="88"/>
  <c r="G43" i="101"/>
  <c r="G61" i="101" s="1"/>
  <c r="N30" i="75"/>
  <c r="N32" i="75"/>
  <c r="N31" i="75"/>
  <c r="N33" i="75"/>
  <c r="T28" i="84"/>
  <c r="M33" i="75" s="1"/>
  <c r="BC21" i="101"/>
  <c r="BE21" i="101" s="1"/>
  <c r="V67" i="101" s="1"/>
  <c r="T20" i="84"/>
  <c r="M25" i="75" s="1"/>
  <c r="M20" i="75"/>
  <c r="AY24" i="101"/>
  <c r="D72" i="101" s="1"/>
  <c r="B21" i="75"/>
  <c r="B23" i="75"/>
  <c r="B30" i="75"/>
  <c r="B32" i="75"/>
  <c r="B16" i="75"/>
  <c r="G102" i="101"/>
  <c r="D42" i="101"/>
  <c r="D84" i="101" s="1"/>
  <c r="AY15" i="101"/>
  <c r="D102" i="101" s="1"/>
  <c r="D67" i="101"/>
  <c r="D25" i="75"/>
  <c r="E25" i="75" s="1"/>
  <c r="D31" i="75"/>
  <c r="E31" i="75" s="1"/>
  <c r="D33" i="75"/>
  <c r="E33" i="75" s="1"/>
  <c r="T25" i="84"/>
  <c r="M30" i="75" s="1"/>
  <c r="T27" i="84"/>
  <c r="M32" i="75" s="1"/>
  <c r="T26" i="84"/>
  <c r="H39" i="84"/>
  <c r="H40" i="84"/>
  <c r="H41" i="84"/>
  <c r="V51" i="83"/>
  <c r="V42" i="83"/>
  <c r="AA17" i="65"/>
  <c r="AJ54" i="83"/>
  <c r="AJ55" i="83"/>
  <c r="AJ56" i="83"/>
  <c r="AJ57" i="83"/>
  <c r="AJ58" i="83"/>
  <c r="G26" i="32"/>
  <c r="O11" i="65"/>
  <c r="G27" i="32" s="1"/>
  <c r="O12" i="65"/>
  <c r="AD12" i="65"/>
  <c r="H28" i="32" s="1"/>
  <c r="O13" i="65"/>
  <c r="G29" i="32" s="1"/>
  <c r="O14" i="65"/>
  <c r="G30" i="32" s="1"/>
  <c r="O15" i="65"/>
  <c r="G31" i="32" s="1"/>
  <c r="O16" i="65"/>
  <c r="G32" i="32" s="1"/>
  <c r="O3" i="65"/>
  <c r="G19" i="32" s="1"/>
  <c r="G23" i="32"/>
  <c r="O8" i="65"/>
  <c r="G24" i="32" s="1"/>
  <c r="AD3" i="65"/>
  <c r="H19" i="32" s="1"/>
  <c r="AD5" i="65"/>
  <c r="H21" i="32" s="1"/>
  <c r="AD8" i="65"/>
  <c r="H24" i="32" s="1"/>
  <c r="O19" i="65"/>
  <c r="G35" i="32" s="1"/>
  <c r="R43" i="65"/>
  <c r="C35" i="32" s="1"/>
  <c r="C43" i="65"/>
  <c r="B35" i="32" s="1"/>
  <c r="C37" i="74"/>
  <c r="C21" i="74"/>
  <c r="C26" i="74" s="1"/>
  <c r="C33" i="74" s="1"/>
  <c r="R13" i="74"/>
  <c r="N13" i="74"/>
  <c r="F35" i="74"/>
  <c r="F21" i="74"/>
  <c r="F26" i="74" s="1"/>
  <c r="F33" i="74" s="1"/>
  <c r="D13" i="22"/>
  <c r="F16" i="97"/>
  <c r="F19" i="97"/>
  <c r="F38" i="97"/>
  <c r="BD15" i="101"/>
  <c r="AT102" i="101" s="1"/>
  <c r="AX15" i="101"/>
  <c r="AZ15" i="101" s="1"/>
  <c r="AQ102" i="101" s="1"/>
  <c r="BA15" i="101"/>
  <c r="S102" i="101" s="1"/>
  <c r="AE43" i="101"/>
  <c r="AE61" i="101" s="1"/>
  <c r="BE17" i="101"/>
  <c r="AZ21" i="101"/>
  <c r="AQ67" i="101" s="1"/>
  <c r="AQ35" i="101"/>
  <c r="S60" i="101"/>
  <c r="S101" i="101" s="1"/>
  <c r="V60" i="101"/>
  <c r="V101" i="101" s="1"/>
  <c r="AQ60" i="101"/>
  <c r="AQ101" i="101" s="1"/>
  <c r="AT60" i="101"/>
  <c r="AT101" i="101" s="1"/>
  <c r="S61" i="101"/>
  <c r="V61" i="101"/>
  <c r="AQ61" i="101"/>
  <c r="AT61" i="101"/>
  <c r="AB67" i="101"/>
  <c r="AB72" i="101"/>
  <c r="S84" i="101"/>
  <c r="V84" i="101"/>
  <c r="AQ84" i="101"/>
  <c r="AT84" i="101"/>
  <c r="V102" i="101"/>
  <c r="AE102" i="101"/>
  <c r="N6" i="74"/>
  <c r="R6" i="74"/>
  <c r="N7" i="74"/>
  <c r="R7" i="74"/>
  <c r="H8" i="74"/>
  <c r="H12" i="74"/>
  <c r="H13" i="74"/>
  <c r="H14" i="74"/>
  <c r="N8" i="74"/>
  <c r="R8" i="74"/>
  <c r="R9" i="74"/>
  <c r="R10" i="74"/>
  <c r="N9" i="74"/>
  <c r="N10" i="74"/>
  <c r="L11" i="74"/>
  <c r="M11" i="74"/>
  <c r="P11" i="74"/>
  <c r="E12" i="74"/>
  <c r="E13" i="74"/>
  <c r="E14" i="74"/>
  <c r="N14" i="74"/>
  <c r="R14" i="74"/>
  <c r="N15" i="74"/>
  <c r="R15" i="74"/>
  <c r="R16" i="74"/>
  <c r="N17" i="74"/>
  <c r="E24" i="74"/>
  <c r="E22" i="74"/>
  <c r="E23" i="74"/>
  <c r="E20" i="74"/>
  <c r="E25" i="74"/>
  <c r="H18" i="74"/>
  <c r="H19" i="74"/>
  <c r="H20" i="74"/>
  <c r="H23" i="74"/>
  <c r="H24" i="74"/>
  <c r="H25" i="74"/>
  <c r="N19" i="74"/>
  <c r="R22" i="74"/>
  <c r="S22" i="74"/>
  <c r="N28" i="74"/>
  <c r="S28" i="74"/>
  <c r="G37" i="74"/>
  <c r="C17" i="65"/>
  <c r="D17" i="65"/>
  <c r="E17" i="65"/>
  <c r="F17" i="65"/>
  <c r="G17" i="65"/>
  <c r="H17" i="65"/>
  <c r="I17" i="65"/>
  <c r="J17" i="65"/>
  <c r="L17" i="65"/>
  <c r="M17" i="65"/>
  <c r="N17" i="65"/>
  <c r="AD7" i="65"/>
  <c r="H23" i="32" s="1"/>
  <c r="AD10" i="65"/>
  <c r="H26" i="32" s="1"/>
  <c r="AD11" i="65"/>
  <c r="H27" i="32" s="1"/>
  <c r="AD13" i="65"/>
  <c r="H29" i="32" s="1"/>
  <c r="AD14" i="65"/>
  <c r="H30" i="32" s="1"/>
  <c r="AD15" i="65"/>
  <c r="H31" i="32" s="1"/>
  <c r="K17" i="65"/>
  <c r="R17" i="65"/>
  <c r="S17" i="65"/>
  <c r="T17" i="65"/>
  <c r="U17" i="65"/>
  <c r="V17" i="65"/>
  <c r="W17" i="65"/>
  <c r="X17" i="65"/>
  <c r="Y17" i="65"/>
  <c r="Z17" i="65"/>
  <c r="AB17" i="65"/>
  <c r="AC17" i="65"/>
  <c r="AD19" i="65"/>
  <c r="H35" i="32" s="1"/>
  <c r="C45" i="65"/>
  <c r="D45" i="65"/>
  <c r="E45" i="65"/>
  <c r="F45" i="65"/>
  <c r="G45" i="65"/>
  <c r="H45" i="65"/>
  <c r="I45" i="65"/>
  <c r="J45" i="65"/>
  <c r="K45" i="65"/>
  <c r="L45" i="65"/>
  <c r="M45" i="65"/>
  <c r="N45" i="65"/>
  <c r="R45" i="65"/>
  <c r="S45" i="65"/>
  <c r="T45" i="65"/>
  <c r="U45" i="65"/>
  <c r="V45" i="65"/>
  <c r="W45" i="65"/>
  <c r="X45" i="65"/>
  <c r="Y45" i="65"/>
  <c r="Z45" i="65"/>
  <c r="AA45" i="65"/>
  <c r="AB45" i="65"/>
  <c r="AC45" i="65"/>
  <c r="F65" i="65"/>
  <c r="T5" i="84"/>
  <c r="M10" i="75" s="1"/>
  <c r="N10" i="75"/>
  <c r="T6" i="84"/>
  <c r="M11" i="75" s="1"/>
  <c r="N11" i="75"/>
  <c r="T7" i="84"/>
  <c r="M12" i="75" s="1"/>
  <c r="N12" i="75"/>
  <c r="N27" i="75"/>
  <c r="D8" i="84"/>
  <c r="D13" i="84"/>
  <c r="D19" i="84"/>
  <c r="D29" i="84"/>
  <c r="E8" i="84"/>
  <c r="E13" i="84"/>
  <c r="E19" i="84"/>
  <c r="E29" i="84"/>
  <c r="F8" i="84"/>
  <c r="F13" i="84"/>
  <c r="F29" i="84"/>
  <c r="G8" i="84"/>
  <c r="G13" i="84"/>
  <c r="H8" i="84"/>
  <c r="I8" i="84"/>
  <c r="I13" i="84"/>
  <c r="J8" i="84"/>
  <c r="J13" i="84"/>
  <c r="J29" i="84"/>
  <c r="L8" i="84"/>
  <c r="L13" i="84"/>
  <c r="N8" i="84"/>
  <c r="O8" i="84"/>
  <c r="O13" i="84"/>
  <c r="P8" i="84"/>
  <c r="P13" i="84"/>
  <c r="P19" i="84"/>
  <c r="P29" i="84"/>
  <c r="R8" i="84"/>
  <c r="U8" i="84"/>
  <c r="U13" i="84"/>
  <c r="T9" i="84"/>
  <c r="T10" i="84"/>
  <c r="M15" i="75" s="1"/>
  <c r="T11" i="84"/>
  <c r="M16" i="75" s="1"/>
  <c r="T12" i="84"/>
  <c r="M17" i="75" s="1"/>
  <c r="BB12" i="101" s="1"/>
  <c r="BD12" i="101" s="1"/>
  <c r="AT95" i="101" s="1"/>
  <c r="H13" i="84"/>
  <c r="N13" i="84"/>
  <c r="N29" i="84"/>
  <c r="O29" i="84"/>
  <c r="R19" i="84"/>
  <c r="M21" i="75"/>
  <c r="M22" i="75"/>
  <c r="M23" i="75"/>
  <c r="T22" i="84"/>
  <c r="M27" i="75" s="1"/>
  <c r="H29" i="84"/>
  <c r="G29" i="84"/>
  <c r="I29" i="84"/>
  <c r="L29" i="84"/>
  <c r="R29" i="84"/>
  <c r="U29" i="84"/>
  <c r="U32" i="84"/>
  <c r="I39" i="84"/>
  <c r="I40" i="84"/>
  <c r="I41" i="84"/>
  <c r="I42" i="84"/>
  <c r="I43" i="84"/>
  <c r="D44" i="84"/>
  <c r="D72" i="84" s="1"/>
  <c r="E44" i="84"/>
  <c r="D73" i="84" s="1"/>
  <c r="F44" i="84"/>
  <c r="D74" i="84" s="1"/>
  <c r="J44" i="84"/>
  <c r="D52" i="84"/>
  <c r="D53" i="84"/>
  <c r="D54" i="84"/>
  <c r="B72" i="84"/>
  <c r="B73" i="84"/>
  <c r="B74" i="84"/>
  <c r="B75" i="84"/>
  <c r="A1" i="17"/>
  <c r="C8" i="17"/>
  <c r="C9" i="17"/>
  <c r="C16" i="17"/>
  <c r="C10" i="17"/>
  <c r="C11" i="17"/>
  <c r="C12" i="17"/>
  <c r="C13" i="17"/>
  <c r="C14" i="17"/>
  <c r="C15" i="17"/>
  <c r="C17" i="17"/>
  <c r="C20" i="17"/>
  <c r="C21" i="17"/>
  <c r="C22" i="17"/>
  <c r="C23" i="17"/>
  <c r="C24" i="17"/>
  <c r="P14" i="86"/>
  <c r="Q14" i="86"/>
  <c r="P20" i="86"/>
  <c r="Q20" i="86"/>
  <c r="D10" i="75"/>
  <c r="E10" i="75" s="1"/>
  <c r="D12" i="75"/>
  <c r="E12" i="75" s="1"/>
  <c r="D27" i="75"/>
  <c r="E27" i="75" s="1"/>
  <c r="D11" i="75"/>
  <c r="A1" i="138"/>
  <c r="D32" i="29"/>
  <c r="I32" i="29"/>
  <c r="A1" i="20"/>
  <c r="BD21" i="101"/>
  <c r="AT67" i="101" s="1"/>
  <c r="AE67" i="101"/>
  <c r="G35" i="74"/>
  <c r="BA21" i="101"/>
  <c r="S67" i="101" s="1"/>
  <c r="AH12" i="101"/>
  <c r="AH13" i="101"/>
  <c r="AH16" i="101"/>
  <c r="AH14" i="101"/>
  <c r="AE21" i="101"/>
  <c r="AE22" i="101"/>
  <c r="AE18" i="101"/>
  <c r="J9" i="20"/>
  <c r="N18" i="74"/>
  <c r="V54" i="83"/>
  <c r="V58" i="83"/>
  <c r="V55" i="83"/>
  <c r="V56" i="83"/>
  <c r="V57" i="83"/>
  <c r="N16" i="74"/>
  <c r="P23" i="74"/>
  <c r="K9" i="20"/>
  <c r="L9" i="20"/>
  <c r="G25" i="88"/>
  <c r="AQ47" i="83"/>
  <c r="AJ40" i="83"/>
  <c r="AS47" i="83"/>
  <c r="C9" i="20"/>
  <c r="E9" i="20"/>
  <c r="V30" i="83"/>
  <c r="V24" i="83"/>
  <c r="V25" i="83"/>
  <c r="V26" i="83"/>
  <c r="V27" i="83"/>
  <c r="V29" i="83"/>
  <c r="V31" i="83"/>
  <c r="V28" i="83"/>
  <c r="AR47" i="83"/>
  <c r="AE59" i="83"/>
  <c r="AD59" i="83"/>
  <c r="AV47" i="83"/>
  <c r="AZ47" i="83"/>
  <c r="AW47" i="83"/>
  <c r="AF59" i="83"/>
  <c r="AJ43" i="83"/>
  <c r="U22" i="83"/>
  <c r="C51" i="83"/>
  <c r="AJ29" i="83"/>
  <c r="B28" i="44"/>
  <c r="AJ35" i="83"/>
  <c r="V37" i="83"/>
  <c r="V40" i="83"/>
  <c r="AJ27" i="83"/>
  <c r="B43" i="44"/>
  <c r="AJ44" i="83"/>
  <c r="AJ34" i="83"/>
  <c r="AJ28" i="83"/>
  <c r="V34" i="83"/>
  <c r="AJ36" i="83"/>
  <c r="M20" i="88"/>
  <c r="K20" i="88"/>
  <c r="C36" i="41"/>
  <c r="V36" i="83"/>
  <c r="V38" i="83"/>
  <c r="V43" i="83"/>
  <c r="AJ37" i="83"/>
  <c r="S22" i="83"/>
  <c r="V10" i="83"/>
  <c r="V8" i="83"/>
  <c r="V35" i="83"/>
  <c r="V39" i="83"/>
  <c r="AJ30" i="83"/>
  <c r="M25" i="88"/>
  <c r="V9" i="83"/>
  <c r="B28" i="41"/>
  <c r="C35" i="41"/>
  <c r="B26" i="44"/>
  <c r="H22" i="74"/>
  <c r="V20" i="83"/>
  <c r="K21" i="88"/>
  <c r="V21" i="83"/>
  <c r="AY19" i="101"/>
  <c r="BA19" i="101" s="1"/>
  <c r="S63" i="101" s="1"/>
  <c r="V44" i="83"/>
  <c r="V19" i="83"/>
  <c r="B39" i="44"/>
  <c r="C25" i="29"/>
  <c r="V7" i="83"/>
  <c r="AX22" i="101"/>
  <c r="AZ22" i="101" s="1"/>
  <c r="AQ68" i="101" s="1"/>
  <c r="AX11" i="101"/>
  <c r="AZ11" i="101" s="1"/>
  <c r="AQ94" i="101" s="1"/>
  <c r="B28" i="29"/>
  <c r="J20" i="88"/>
  <c r="G24" i="41"/>
  <c r="Q38" i="130"/>
  <c r="B35" i="41"/>
  <c r="AX19" i="101"/>
  <c r="AB63" i="101" s="1"/>
  <c r="C22" i="41"/>
  <c r="P39" i="130"/>
  <c r="C21" i="41"/>
  <c r="I17" i="86"/>
  <c r="C18" i="112"/>
  <c r="C34" i="75"/>
  <c r="AX23" i="101" s="1"/>
  <c r="C23" i="41"/>
  <c r="C28" i="44"/>
  <c r="AJ39" i="83"/>
  <c r="Q42" i="130"/>
  <c r="E112" i="132"/>
  <c r="D15" i="75"/>
  <c r="E15" i="75" s="1"/>
  <c r="R13" i="84"/>
  <c r="N19" i="75"/>
  <c r="U19" i="84"/>
  <c r="K23" i="74"/>
  <c r="R18" i="74"/>
  <c r="C26" i="44"/>
  <c r="G210" i="88"/>
  <c r="V6" i="83"/>
  <c r="H38" i="44"/>
  <c r="B25" i="44"/>
  <c r="B33" i="44"/>
  <c r="B38" i="44"/>
  <c r="G217" i="88"/>
  <c r="D217" i="88" s="1"/>
  <c r="G219" i="88"/>
  <c r="R19" i="74"/>
  <c r="T19" i="84"/>
  <c r="AJ24" i="83"/>
  <c r="AJ21" i="83"/>
  <c r="AJ38" i="83"/>
  <c r="J25" i="88"/>
  <c r="H37" i="44"/>
  <c r="AJ45" i="83"/>
  <c r="C28" i="41"/>
  <c r="C23" i="44"/>
  <c r="C27" i="44"/>
  <c r="C34" i="44"/>
  <c r="C59" i="83"/>
  <c r="AY20" i="101"/>
  <c r="D64" i="101" s="1"/>
  <c r="C28" i="29"/>
  <c r="C20" i="137" s="1"/>
  <c r="B21" i="41"/>
  <c r="B36" i="41"/>
  <c r="B35" i="44"/>
  <c r="V45" i="83"/>
  <c r="G215" i="88"/>
  <c r="G220" i="88"/>
  <c r="D220" i="88" s="1"/>
  <c r="N19" i="84"/>
  <c r="D26" i="29"/>
  <c r="F15" i="74"/>
  <c r="M30" i="74"/>
  <c r="N20" i="74"/>
  <c r="R20" i="74"/>
  <c r="V11" i="83"/>
  <c r="AX12" i="101"/>
  <c r="AB95" i="101" s="1"/>
  <c r="C18" i="75"/>
  <c r="C24" i="75"/>
  <c r="AJ26" i="83"/>
  <c r="AJ42" i="83"/>
  <c r="Q30" i="74"/>
  <c r="AY9" i="101"/>
  <c r="BA9" i="101" s="1"/>
  <c r="S85" i="101" s="1"/>
  <c r="AX9" i="101"/>
  <c r="AB85" i="101" s="1"/>
  <c r="G211" i="88"/>
  <c r="C43" i="44"/>
  <c r="B22" i="44"/>
  <c r="B37" i="44"/>
  <c r="B24" i="44"/>
  <c r="C27" i="41"/>
  <c r="B42" i="44"/>
  <c r="C24" i="41"/>
  <c r="B37" i="41"/>
  <c r="D32" i="65" l="1"/>
  <c r="B24" i="32" s="1"/>
  <c r="D35" i="65"/>
  <c r="B27" i="32" s="1"/>
  <c r="S27" i="65"/>
  <c r="C19" i="32" s="1"/>
  <c r="S29" i="65"/>
  <c r="C21" i="32" s="1"/>
  <c r="S32" i="65"/>
  <c r="C24" i="32" s="1"/>
  <c r="S35" i="65"/>
  <c r="C27" i="32" s="1"/>
  <c r="S37" i="65"/>
  <c r="C29" i="32" s="1"/>
  <c r="S39" i="65"/>
  <c r="C31" i="32" s="1"/>
  <c r="D27" i="65"/>
  <c r="B19" i="32" s="1"/>
  <c r="D36" i="65"/>
  <c r="B28" i="32" s="1"/>
  <c r="S28" i="65"/>
  <c r="C20" i="32" s="1"/>
  <c r="S31" i="65"/>
  <c r="C23" i="32" s="1"/>
  <c r="S34" i="65"/>
  <c r="C26" i="32" s="1"/>
  <c r="S36" i="65"/>
  <c r="C28" i="32" s="1"/>
  <c r="S38" i="65"/>
  <c r="C30" i="32" s="1"/>
  <c r="S40" i="65"/>
  <c r="C32" i="32" s="1"/>
  <c r="D40" i="65"/>
  <c r="B32" i="32" s="1"/>
  <c r="D39" i="65"/>
  <c r="B31" i="32" s="1"/>
  <c r="D38" i="65"/>
  <c r="B30" i="32" s="1"/>
  <c r="D37" i="65"/>
  <c r="B29" i="32" s="1"/>
  <c r="D34" i="65"/>
  <c r="D31" i="65"/>
  <c r="B23" i="32" s="1"/>
  <c r="D29" i="65"/>
  <c r="G27" i="29"/>
  <c r="G26" i="29"/>
  <c r="H46" i="44"/>
  <c r="AJ47" i="83"/>
  <c r="V33" i="83"/>
  <c r="V47" i="83"/>
  <c r="V16" i="83"/>
  <c r="C31" i="44"/>
  <c r="C10" i="44" s="1"/>
  <c r="C18" i="29" s="1"/>
  <c r="G25" i="41"/>
  <c r="H31" i="29"/>
  <c r="H27" i="29"/>
  <c r="H30" i="29"/>
  <c r="D18" i="137" s="1"/>
  <c r="D32" i="137" s="1"/>
  <c r="N40" i="128"/>
  <c r="I35" i="32"/>
  <c r="G31" i="29"/>
  <c r="R42" i="130"/>
  <c r="S42" i="130" s="1"/>
  <c r="O45" i="128"/>
  <c r="E63" i="88"/>
  <c r="K46" i="128"/>
  <c r="T27" i="65"/>
  <c r="U27" i="65" s="1"/>
  <c r="T32" i="65"/>
  <c r="U32" i="65" s="1"/>
  <c r="N40" i="123"/>
  <c r="N50" i="130"/>
  <c r="B25" i="41"/>
  <c r="AZ24" i="101"/>
  <c r="BA24" i="101" s="1"/>
  <c r="BB24" i="101" s="1"/>
  <c r="C25" i="41"/>
  <c r="E32" i="124"/>
  <c r="K41" i="128"/>
  <c r="C21" i="88"/>
  <c r="K52" i="83"/>
  <c r="E61" i="88"/>
  <c r="D60" i="101"/>
  <c r="D101" i="101" s="1"/>
  <c r="E39" i="44"/>
  <c r="N45" i="128"/>
  <c r="T8" i="84"/>
  <c r="AZ52" i="83"/>
  <c r="K4" i="17"/>
  <c r="S39" i="123"/>
  <c r="P33" i="128"/>
  <c r="P34" i="128" s="1"/>
  <c r="P41" i="128" s="1"/>
  <c r="BJ23" i="83"/>
  <c r="K47" i="128"/>
  <c r="I46" i="128"/>
  <c r="Q39" i="128"/>
  <c r="I39" i="128"/>
  <c r="K48" i="128"/>
  <c r="K9" i="122"/>
  <c r="N65" i="123"/>
  <c r="J33" i="128"/>
  <c r="J34" i="128" s="1"/>
  <c r="J42" i="128" s="1"/>
  <c r="O33" i="128"/>
  <c r="O34" i="128" s="1"/>
  <c r="O41" i="128" s="1"/>
  <c r="N48" i="123"/>
  <c r="N50" i="123"/>
  <c r="N52" i="123"/>
  <c r="P45" i="128"/>
  <c r="K40" i="128"/>
  <c r="S43" i="123"/>
  <c r="S48" i="123"/>
  <c r="S50" i="123"/>
  <c r="S52" i="123"/>
  <c r="N61" i="123"/>
  <c r="S50" i="130"/>
  <c r="N60" i="123"/>
  <c r="O25" i="75"/>
  <c r="AC43" i="65"/>
  <c r="R45" i="130"/>
  <c r="S45" i="130" s="1"/>
  <c r="K39" i="128"/>
  <c r="G91" i="88"/>
  <c r="D91" i="88" s="1"/>
  <c r="D75" i="88"/>
  <c r="G42" i="101"/>
  <c r="G84" i="101" s="1"/>
  <c r="G66" i="123"/>
  <c r="N64" i="123"/>
  <c r="O11" i="75"/>
  <c r="BD7" i="101"/>
  <c r="N41" i="130"/>
  <c r="D48" i="88"/>
  <c r="E78" i="88"/>
  <c r="E105" i="88"/>
  <c r="E89" i="88"/>
  <c r="AV52" i="83"/>
  <c r="AW23" i="83"/>
  <c r="I16" i="112"/>
  <c r="AU23" i="83"/>
  <c r="AY23" i="83"/>
  <c r="AN52" i="83"/>
  <c r="AQ23" i="83"/>
  <c r="M42" i="130"/>
  <c r="N42" i="130" s="1"/>
  <c r="I33" i="128"/>
  <c r="I34" i="128" s="1"/>
  <c r="I42" i="128" s="1"/>
  <c r="BB18" i="101"/>
  <c r="AE62" i="101" s="1"/>
  <c r="E217" i="88"/>
  <c r="J24" i="131"/>
  <c r="I25" i="29"/>
  <c r="G175" i="88" s="1"/>
  <c r="G32" i="124"/>
  <c r="G30" i="124" s="1"/>
  <c r="Q40" i="128"/>
  <c r="I40" i="128"/>
  <c r="AB102" i="101"/>
  <c r="V43" i="65"/>
  <c r="H23" i="84"/>
  <c r="H30" i="84" s="1"/>
  <c r="AG51" i="83"/>
  <c r="AG52" i="83" s="1"/>
  <c r="AI51" i="83"/>
  <c r="AI52" i="83" s="1"/>
  <c r="AN23" i="83"/>
  <c r="BI23" i="83"/>
  <c r="AZ19" i="101"/>
  <c r="AQ63" i="101" s="1"/>
  <c r="D107" i="88"/>
  <c r="Q45" i="128"/>
  <c r="G46" i="88"/>
  <c r="E46" i="88" s="1"/>
  <c r="BB22" i="101"/>
  <c r="BD22" i="101" s="1"/>
  <c r="AT68" i="101" s="1"/>
  <c r="AX52" i="83"/>
  <c r="AE51" i="83"/>
  <c r="AE52" i="83" s="1"/>
  <c r="I15" i="88" s="1"/>
  <c r="AH51" i="83"/>
  <c r="AH52" i="83" s="1"/>
  <c r="L15" i="88" s="1"/>
  <c r="G14" i="124"/>
  <c r="AR23" i="83"/>
  <c r="BN52" i="83"/>
  <c r="BE23" i="83"/>
  <c r="I32" i="32"/>
  <c r="G199" i="88" s="1"/>
  <c r="E199" i="88" s="1"/>
  <c r="D16" i="112"/>
  <c r="M52" i="83"/>
  <c r="E16" i="88" s="1"/>
  <c r="C41" i="65"/>
  <c r="BC11" i="101"/>
  <c r="G94" i="101" s="1"/>
  <c r="Y43" i="65"/>
  <c r="S43" i="65"/>
  <c r="N39" i="128"/>
  <c r="O19" i="75"/>
  <c r="P46" i="128"/>
  <c r="X43" i="65"/>
  <c r="AF51" i="83"/>
  <c r="AF52" i="83" s="1"/>
  <c r="J15" i="88" s="1"/>
  <c r="AD51" i="83"/>
  <c r="AD52" i="83" s="1"/>
  <c r="H15" i="88" s="1"/>
  <c r="B44" i="88"/>
  <c r="BL23" i="83"/>
  <c r="BC23" i="83"/>
  <c r="O15" i="75"/>
  <c r="O20" i="75"/>
  <c r="E43" i="44"/>
  <c r="AB64" i="101"/>
  <c r="P39" i="128"/>
  <c r="E28" i="44"/>
  <c r="AB43" i="65"/>
  <c r="E59" i="88"/>
  <c r="G67" i="101"/>
  <c r="B13" i="75"/>
  <c r="O27" i="75"/>
  <c r="F45" i="97"/>
  <c r="S48" i="130"/>
  <c r="AX23" i="83"/>
  <c r="AV23" i="83"/>
  <c r="BM52" i="83"/>
  <c r="M46" i="130"/>
  <c r="N46" i="130" s="1"/>
  <c r="X52" i="83"/>
  <c r="B15" i="88" s="1"/>
  <c r="F9" i="88"/>
  <c r="D9" i="88"/>
  <c r="J23" i="83"/>
  <c r="J74" i="83" s="1"/>
  <c r="D26" i="41"/>
  <c r="AX18" i="101"/>
  <c r="AB62" i="101" s="1"/>
  <c r="BV47" i="83"/>
  <c r="J24" i="44"/>
  <c r="G121" i="88" s="1"/>
  <c r="E121" i="88" s="1"/>
  <c r="BF23" i="83"/>
  <c r="BI52" i="83"/>
  <c r="AJ49" i="83"/>
  <c r="BB51" i="83"/>
  <c r="BB52" i="83" s="1"/>
  <c r="H18" i="112"/>
  <c r="I27" i="41"/>
  <c r="G155" i="88" s="1"/>
  <c r="D155" i="88" s="1"/>
  <c r="BL52" i="83"/>
  <c r="BB9" i="101"/>
  <c r="BD9" i="101" s="1"/>
  <c r="AT85" i="101" s="1"/>
  <c r="AQ52" i="83"/>
  <c r="D23" i="41"/>
  <c r="P52" i="83"/>
  <c r="H16" i="88" s="1"/>
  <c r="BV33" i="83"/>
  <c r="N52" i="83"/>
  <c r="F16" i="88" s="1"/>
  <c r="I35" i="41"/>
  <c r="G158" i="88" s="1"/>
  <c r="D158" i="88" s="1"/>
  <c r="D85" i="101"/>
  <c r="E22" i="44"/>
  <c r="O52" i="83"/>
  <c r="G16" i="88" s="1"/>
  <c r="L26" i="88"/>
  <c r="BT33" i="83"/>
  <c r="F16" i="86"/>
  <c r="AZ12" i="101"/>
  <c r="AQ95" i="101" s="1"/>
  <c r="BA11" i="101"/>
  <c r="S94" i="101" s="1"/>
  <c r="I24" i="29"/>
  <c r="G174" i="88" s="1"/>
  <c r="R52" i="83"/>
  <c r="J16" i="88" s="1"/>
  <c r="BT47" i="83"/>
  <c r="BS47" i="83"/>
  <c r="J37" i="44"/>
  <c r="G131" i="88" s="1"/>
  <c r="E131" i="88" s="1"/>
  <c r="K23" i="83"/>
  <c r="C10" i="88" s="1"/>
  <c r="D74" i="88"/>
  <c r="B74" i="88" s="1"/>
  <c r="E44" i="88"/>
  <c r="D90" i="88"/>
  <c r="B104" i="88"/>
  <c r="G76" i="88"/>
  <c r="E47" i="88"/>
  <c r="D77" i="88"/>
  <c r="E104" i="88"/>
  <c r="D62" i="88"/>
  <c r="E93" i="88"/>
  <c r="G106" i="88"/>
  <c r="D106" i="88" s="1"/>
  <c r="G60" i="88"/>
  <c r="D60" i="88" s="1"/>
  <c r="D92" i="88"/>
  <c r="BC18" i="101"/>
  <c r="G62" i="101" s="1"/>
  <c r="H26" i="131"/>
  <c r="H27" i="131" s="1"/>
  <c r="E37" i="44"/>
  <c r="C26" i="88"/>
  <c r="BU33" i="83"/>
  <c r="I36" i="41"/>
  <c r="G159" i="88" s="1"/>
  <c r="D159" i="88" s="1"/>
  <c r="D63" i="101"/>
  <c r="E33" i="44"/>
  <c r="D22" i="41"/>
  <c r="BD20" i="101"/>
  <c r="AT64" i="101" s="1"/>
  <c r="AE64" i="101"/>
  <c r="F59" i="83"/>
  <c r="AA52" i="83"/>
  <c r="E15" i="88" s="1"/>
  <c r="J39" i="44"/>
  <c r="G133" i="88" s="1"/>
  <c r="E133" i="88" s="1"/>
  <c r="Z52" i="83"/>
  <c r="D15" i="88" s="1"/>
  <c r="AB52" i="83"/>
  <c r="F15" i="88" s="1"/>
  <c r="BS33" i="83"/>
  <c r="AJ22" i="83"/>
  <c r="G38" i="41"/>
  <c r="F22" i="83"/>
  <c r="BR47" i="83"/>
  <c r="E26" i="88"/>
  <c r="J34" i="44"/>
  <c r="G128" i="88" s="1"/>
  <c r="E128" i="88" s="1"/>
  <c r="P23" i="83"/>
  <c r="H10" i="88" s="1"/>
  <c r="Q23" i="83"/>
  <c r="I10" i="88" s="1"/>
  <c r="I24" i="41"/>
  <c r="G153" i="88" s="1"/>
  <c r="L23" i="83"/>
  <c r="D10" i="88" s="1"/>
  <c r="Q32" i="74"/>
  <c r="H14" i="86"/>
  <c r="D211" i="88"/>
  <c r="E211" i="88"/>
  <c r="E220" i="88"/>
  <c r="E216" i="88"/>
  <c r="D28" i="65"/>
  <c r="B20" i="32" s="1"/>
  <c r="W43" i="65"/>
  <c r="T43" i="65"/>
  <c r="AA43" i="65"/>
  <c r="Z43" i="65"/>
  <c r="U43" i="65"/>
  <c r="R41" i="65"/>
  <c r="I26" i="32"/>
  <c r="G193" i="88" s="1"/>
  <c r="D193" i="88" s="1"/>
  <c r="O12" i="75"/>
  <c r="P24" i="74"/>
  <c r="K24" i="74"/>
  <c r="Q21" i="74"/>
  <c r="Q38" i="74" s="1"/>
  <c r="J23" i="84"/>
  <c r="J30" i="84" s="1"/>
  <c r="B24" i="75"/>
  <c r="P23" i="84"/>
  <c r="P30" i="84" s="1"/>
  <c r="AE95" i="101"/>
  <c r="X23" i="83"/>
  <c r="B9" i="88" s="1"/>
  <c r="D23" i="84"/>
  <c r="D30" i="84" s="1"/>
  <c r="O10" i="75"/>
  <c r="AJ59" i="83"/>
  <c r="H16" i="112"/>
  <c r="AP52" i="83"/>
  <c r="AU52" i="83"/>
  <c r="K36" i="128"/>
  <c r="AJ50" i="83"/>
  <c r="H6" i="124"/>
  <c r="H14" i="124" s="1"/>
  <c r="E9" i="88"/>
  <c r="O23" i="83"/>
  <c r="N23" i="83"/>
  <c r="M23" i="83"/>
  <c r="AZ23" i="83"/>
  <c r="BM23" i="83"/>
  <c r="BB23" i="83"/>
  <c r="AP23" i="83"/>
  <c r="Q52" i="83"/>
  <c r="D24" i="41"/>
  <c r="N20" i="88"/>
  <c r="I27" i="32"/>
  <c r="G194" i="88" s="1"/>
  <c r="E194" i="88" s="1"/>
  <c r="G51" i="83"/>
  <c r="O26" i="75"/>
  <c r="S38" i="123"/>
  <c r="S42" i="123"/>
  <c r="N43" i="123"/>
  <c r="N44" i="123"/>
  <c r="S46" i="123"/>
  <c r="N47" i="123"/>
  <c r="M67" i="123"/>
  <c r="N62" i="123"/>
  <c r="AO52" i="83"/>
  <c r="M33" i="128"/>
  <c r="M34" i="128" s="1"/>
  <c r="M42" i="128" s="1"/>
  <c r="Q33" i="128"/>
  <c r="Q34" i="128" s="1"/>
  <c r="AJ48" i="83"/>
  <c r="F14" i="124"/>
  <c r="F23" i="124" s="1"/>
  <c r="E23" i="124" s="1"/>
  <c r="C43" i="123" s="1"/>
  <c r="AR52" i="83"/>
  <c r="BC51" i="83"/>
  <c r="BC52" i="83" s="1"/>
  <c r="AD17" i="65"/>
  <c r="H33" i="32" s="1"/>
  <c r="E14" i="124"/>
  <c r="M39" i="130"/>
  <c r="N39" i="130" s="1"/>
  <c r="H26" i="88"/>
  <c r="D45" i="88"/>
  <c r="E45" i="88"/>
  <c r="BB19" i="101"/>
  <c r="BD19" i="101" s="1"/>
  <c r="AT63" i="101" s="1"/>
  <c r="BD23" i="83"/>
  <c r="R22" i="83"/>
  <c r="R23" i="83" s="1"/>
  <c r="V17" i="83"/>
  <c r="V22" i="83" s="1"/>
  <c r="J28" i="44"/>
  <c r="G125" i="88" s="1"/>
  <c r="B23" i="44"/>
  <c r="E23" i="44" s="1"/>
  <c r="AJ25" i="83"/>
  <c r="AJ31" i="83"/>
  <c r="BD48" i="83"/>
  <c r="BA20" i="101"/>
  <c r="S64" i="101" s="1"/>
  <c r="H11" i="74"/>
  <c r="H15" i="74" s="1"/>
  <c r="AE84" i="101"/>
  <c r="J25" i="44"/>
  <c r="G122" i="88" s="1"/>
  <c r="N11" i="74"/>
  <c r="R17" i="74"/>
  <c r="O4" i="65"/>
  <c r="G20" i="32" s="1"/>
  <c r="E108" i="88"/>
  <c r="D108" i="88"/>
  <c r="D21" i="88"/>
  <c r="L52" i="83"/>
  <c r="B59" i="88"/>
  <c r="M9" i="88"/>
  <c r="AW52" i="83"/>
  <c r="I23" i="32"/>
  <c r="G191" i="88" s="1"/>
  <c r="D191" i="88" s="1"/>
  <c r="G9" i="88"/>
  <c r="S45" i="123"/>
  <c r="J52" i="83"/>
  <c r="B16" i="88" s="1"/>
  <c r="H9" i="88"/>
  <c r="D25" i="29"/>
  <c r="J43" i="44"/>
  <c r="G136" i="88" s="1"/>
  <c r="D136" i="88" s="1"/>
  <c r="F13" i="86"/>
  <c r="O21" i="75"/>
  <c r="I21" i="32"/>
  <c r="G190" i="88" s="1"/>
  <c r="E190" i="88" s="1"/>
  <c r="K23" i="84"/>
  <c r="K30" i="84" s="1"/>
  <c r="N49" i="123"/>
  <c r="N51" i="123"/>
  <c r="AY52" i="83"/>
  <c r="D24" i="29"/>
  <c r="N23" i="84"/>
  <c r="N30" i="84" s="1"/>
  <c r="S38" i="130"/>
  <c r="U52" i="83"/>
  <c r="M16" i="88" s="1"/>
  <c r="L23" i="84"/>
  <c r="L30" i="84" s="1"/>
  <c r="I23" i="84"/>
  <c r="I30" i="84" s="1"/>
  <c r="G23" i="84"/>
  <c r="G30" i="84" s="1"/>
  <c r="I30" i="32"/>
  <c r="G197" i="88" s="1"/>
  <c r="E197" i="88" s="1"/>
  <c r="B34" i="75"/>
  <c r="AX26" i="101" s="1"/>
  <c r="N41" i="123"/>
  <c r="N46" i="123"/>
  <c r="BK23" i="83"/>
  <c r="BN23" i="83"/>
  <c r="B38" i="41"/>
  <c r="AB68" i="101"/>
  <c r="D35" i="41"/>
  <c r="S23" i="83"/>
  <c r="K10" i="88" s="1"/>
  <c r="AE19" i="101"/>
  <c r="H16" i="86"/>
  <c r="F15" i="86"/>
  <c r="C24" i="137"/>
  <c r="D24" i="137"/>
  <c r="E23" i="84"/>
  <c r="E30" i="84" s="1"/>
  <c r="C23" i="137"/>
  <c r="D23" i="137" s="1"/>
  <c r="M13" i="75"/>
  <c r="E21" i="74"/>
  <c r="E26" i="74" s="1"/>
  <c r="B18" i="75"/>
  <c r="AX25" i="101"/>
  <c r="AB73" i="101" s="1"/>
  <c r="O33" i="75"/>
  <c r="M23" i="84"/>
  <c r="M30" i="84" s="1"/>
  <c r="BG23" i="83"/>
  <c r="D23" i="29"/>
  <c r="C19" i="137"/>
  <c r="C33" i="137" s="1"/>
  <c r="E30" i="124"/>
  <c r="D36" i="41"/>
  <c r="F14" i="86"/>
  <c r="D40" i="137"/>
  <c r="D43" i="137" s="1"/>
  <c r="C40" i="137"/>
  <c r="C43" i="137" s="1"/>
  <c r="R11" i="74"/>
  <c r="I24" i="32"/>
  <c r="G198" i="88" s="1"/>
  <c r="D198" i="88" s="1"/>
  <c r="O32" i="75"/>
  <c r="C33" i="112"/>
  <c r="C36" i="112" s="1"/>
  <c r="R53" i="123"/>
  <c r="N33" i="128"/>
  <c r="N34" i="128" s="1"/>
  <c r="AO23" i="83"/>
  <c r="J35" i="44"/>
  <c r="D27" i="41"/>
  <c r="H12" i="132"/>
  <c r="J12" i="132" s="1"/>
  <c r="G112" i="132"/>
  <c r="T52" i="83"/>
  <c r="L16" i="88" s="1"/>
  <c r="N38" i="123"/>
  <c r="N39" i="123"/>
  <c r="S41" i="123"/>
  <c r="S44" i="123"/>
  <c r="N45" i="123"/>
  <c r="S47" i="123"/>
  <c r="S49" i="123"/>
  <c r="S51" i="123"/>
  <c r="N63" i="123"/>
  <c r="N59" i="123"/>
  <c r="N66" i="123"/>
  <c r="S41" i="130"/>
  <c r="N47" i="130"/>
  <c r="N48" i="130"/>
  <c r="N44" i="130"/>
  <c r="BJ52" i="83"/>
  <c r="AS23" i="83"/>
  <c r="N18" i="75"/>
  <c r="J6" i="131" s="1"/>
  <c r="BR33" i="83"/>
  <c r="I23" i="29"/>
  <c r="G173" i="88" s="1"/>
  <c r="D19" i="137"/>
  <c r="D33" i="137" s="1"/>
  <c r="I26" i="41"/>
  <c r="G154" i="88" s="1"/>
  <c r="D154" i="88" s="1"/>
  <c r="G5" i="83"/>
  <c r="S44" i="130"/>
  <c r="J5" i="132"/>
  <c r="K5" i="132"/>
  <c r="I7" i="132"/>
  <c r="K7" i="132" s="1"/>
  <c r="N63" i="130"/>
  <c r="N66" i="130"/>
  <c r="B33" i="112"/>
  <c r="B36" i="112" s="1"/>
  <c r="D33" i="112"/>
  <c r="D36" i="112" s="1"/>
  <c r="O23" i="75"/>
  <c r="O17" i="75"/>
  <c r="BC12" i="101"/>
  <c r="O16" i="75"/>
  <c r="D34" i="75"/>
  <c r="AY23" i="101" s="1"/>
  <c r="D69" i="101" s="1"/>
  <c r="E14" i="75"/>
  <c r="C28" i="75"/>
  <c r="AX10" i="101"/>
  <c r="AB93" i="101" s="1"/>
  <c r="N52" i="130"/>
  <c r="S52" i="130"/>
  <c r="N43" i="130"/>
  <c r="S43" i="130"/>
  <c r="S47" i="130"/>
  <c r="N51" i="130"/>
  <c r="S51" i="130"/>
  <c r="R39" i="130"/>
  <c r="R46" i="130"/>
  <c r="S46" i="130" s="1"/>
  <c r="M40" i="130"/>
  <c r="N40" i="130" s="1"/>
  <c r="H21" i="74"/>
  <c r="H26" i="74" s="1"/>
  <c r="G15" i="74"/>
  <c r="D33" i="74"/>
  <c r="G33" i="74"/>
  <c r="E9" i="74"/>
  <c r="B89" i="88"/>
  <c r="U23" i="83"/>
  <c r="M10" i="88" s="1"/>
  <c r="BC19" i="101"/>
  <c r="BE19" i="101" s="1"/>
  <c r="V63" i="101" s="1"/>
  <c r="D31" i="29"/>
  <c r="I18" i="112"/>
  <c r="D59" i="83"/>
  <c r="AY18" i="101"/>
  <c r="E42" i="44"/>
  <c r="E35" i="44"/>
  <c r="E24" i="44"/>
  <c r="D21" i="41"/>
  <c r="E25" i="44"/>
  <c r="AZ9" i="101"/>
  <c r="AQ85" i="101" s="1"/>
  <c r="D28" i="29"/>
  <c r="D18" i="112"/>
  <c r="E26" i="44"/>
  <c r="D28" i="41"/>
  <c r="BC20" i="101"/>
  <c r="G59" i="83"/>
  <c r="BC9" i="101"/>
  <c r="G85" i="101" s="1"/>
  <c r="J41" i="44"/>
  <c r="J36" i="44"/>
  <c r="BW47" i="83"/>
  <c r="M26" i="88"/>
  <c r="J29" i="44"/>
  <c r="G126" i="88" s="1"/>
  <c r="BW33" i="83"/>
  <c r="H9" i="131"/>
  <c r="E17" i="75"/>
  <c r="AY12" i="101"/>
  <c r="D18" i="75"/>
  <c r="H6" i="131" s="1"/>
  <c r="D13" i="75"/>
  <c r="R23" i="84"/>
  <c r="R30" i="84" s="1"/>
  <c r="H15" i="86"/>
  <c r="H13" i="86"/>
  <c r="D17" i="86"/>
  <c r="C17" i="86"/>
  <c r="N60" i="130"/>
  <c r="N59" i="130"/>
  <c r="I84" i="132"/>
  <c r="I88" i="132"/>
  <c r="I91" i="132"/>
  <c r="N64" i="130"/>
  <c r="I87" i="132"/>
  <c r="I83" i="132"/>
  <c r="I90" i="132"/>
  <c r="S49" i="130"/>
  <c r="P53" i="130"/>
  <c r="F112" i="132"/>
  <c r="J16" i="112"/>
  <c r="E33" i="112"/>
  <c r="C16" i="112"/>
  <c r="C19" i="112" s="1"/>
  <c r="B16" i="112"/>
  <c r="B19" i="112" s="1"/>
  <c r="E213" i="88"/>
  <c r="D213" i="88"/>
  <c r="N24" i="75"/>
  <c r="J8" i="131" s="1"/>
  <c r="I31" i="32"/>
  <c r="I29" i="32"/>
  <c r="G196" i="88" s="1"/>
  <c r="E196" i="88" s="1"/>
  <c r="AB43" i="101"/>
  <c r="AB61" i="101" s="1"/>
  <c r="BA17" i="101"/>
  <c r="BD17" i="101"/>
  <c r="U23" i="84"/>
  <c r="U30" i="84" s="1"/>
  <c r="N13" i="75"/>
  <c r="I21" i="41"/>
  <c r="G150" i="88" s="1"/>
  <c r="H12" i="86"/>
  <c r="F12" i="86"/>
  <c r="B17" i="86"/>
  <c r="S40" i="123"/>
  <c r="Q53" i="123"/>
  <c r="P53" i="123"/>
  <c r="K26" i="88"/>
  <c r="S52" i="83"/>
  <c r="D219" i="88"/>
  <c r="E219" i="88"/>
  <c r="AZ23" i="101"/>
  <c r="AQ69" i="101" s="1"/>
  <c r="AQ70" i="101" s="1"/>
  <c r="AB69" i="101"/>
  <c r="O22" i="75"/>
  <c r="M24" i="75"/>
  <c r="M14" i="75"/>
  <c r="T13" i="84"/>
  <c r="N34" i="75"/>
  <c r="BC23" i="101" s="1"/>
  <c r="O30" i="75"/>
  <c r="AC52" i="83"/>
  <c r="J46" i="128"/>
  <c r="J40" i="128"/>
  <c r="J45" i="128"/>
  <c r="J39" i="128"/>
  <c r="M40" i="128"/>
  <c r="M45" i="128"/>
  <c r="M46" i="128"/>
  <c r="AY22" i="101"/>
  <c r="D24" i="75"/>
  <c r="E20" i="75"/>
  <c r="E24" i="75" s="1"/>
  <c r="G214" i="88"/>
  <c r="D218" i="88"/>
  <c r="E218" i="88"/>
  <c r="Q39" i="130"/>
  <c r="M49" i="130"/>
  <c r="N49" i="130" s="1"/>
  <c r="I85" i="132"/>
  <c r="G92" i="132"/>
  <c r="L61" i="130"/>
  <c r="N61" i="130" s="1"/>
  <c r="L65" i="130"/>
  <c r="N65" i="130" s="1"/>
  <c r="I89" i="132"/>
  <c r="I86" i="132"/>
  <c r="M62" i="130"/>
  <c r="H92" i="132"/>
  <c r="I38" i="84"/>
  <c r="I44" i="84" s="1"/>
  <c r="E17" i="86"/>
  <c r="G44" i="84"/>
  <c r="D75" i="84" s="1"/>
  <c r="D76" i="84" s="1"/>
  <c r="H44" i="84"/>
  <c r="E215" i="88"/>
  <c r="D215" i="88"/>
  <c r="J22" i="44"/>
  <c r="J38" i="44"/>
  <c r="G132" i="88" s="1"/>
  <c r="D35" i="32"/>
  <c r="D43" i="65"/>
  <c r="E43" i="65" s="1"/>
  <c r="F43" i="65" s="1"/>
  <c r="G43" i="65" s="1"/>
  <c r="H43" i="65" s="1"/>
  <c r="I43" i="65" s="1"/>
  <c r="J43" i="65" s="1"/>
  <c r="K43" i="65" s="1"/>
  <c r="L43" i="65" s="1"/>
  <c r="M43" i="65" s="1"/>
  <c r="N43" i="65" s="1"/>
  <c r="K25" i="88"/>
  <c r="N25" i="88" s="1"/>
  <c r="BU47" i="83"/>
  <c r="J44" i="44"/>
  <c r="G137" i="88" s="1"/>
  <c r="I23" i="41"/>
  <c r="G152" i="88" s="1"/>
  <c r="I28" i="41"/>
  <c r="G156" i="88" s="1"/>
  <c r="G28" i="32"/>
  <c r="I28" i="32" s="1"/>
  <c r="G195" i="88" s="1"/>
  <c r="O17" i="65"/>
  <c r="N31" i="88"/>
  <c r="B36" i="44"/>
  <c r="E36" i="44" s="1"/>
  <c r="C38" i="44"/>
  <c r="C41" i="44"/>
  <c r="M31" i="75"/>
  <c r="O31" i="75" s="1"/>
  <c r="T29" i="84"/>
  <c r="E34" i="75"/>
  <c r="E210" i="88"/>
  <c r="D210" i="88"/>
  <c r="AB94" i="101"/>
  <c r="F23" i="84"/>
  <c r="F30" i="84" s="1"/>
  <c r="I19" i="32"/>
  <c r="G188" i="88" s="1"/>
  <c r="R39" i="128"/>
  <c r="R40" i="128"/>
  <c r="R45" i="128"/>
  <c r="E13" i="75"/>
  <c r="N30" i="88"/>
  <c r="G67" i="117"/>
  <c r="L4" i="17"/>
  <c r="K67" i="123"/>
  <c r="L67" i="123"/>
  <c r="E10" i="74"/>
  <c r="C15" i="74"/>
  <c r="AS52" i="83"/>
  <c r="L46" i="128"/>
  <c r="L45" i="128"/>
  <c r="L40" i="128"/>
  <c r="O40" i="128"/>
  <c r="O46" i="128"/>
  <c r="AB84" i="101"/>
  <c r="AB60" i="101"/>
  <c r="AB101" i="101" s="1"/>
  <c r="V59" i="83"/>
  <c r="N42" i="123"/>
  <c r="Y52" i="83"/>
  <c r="R33" i="128"/>
  <c r="R34" i="128" s="1"/>
  <c r="R36" i="128" s="1"/>
  <c r="L33" i="128"/>
  <c r="L34" i="128" s="1"/>
  <c r="O19" i="84"/>
  <c r="O23" i="84" s="1"/>
  <c r="O30" i="84" s="1"/>
  <c r="BK52" i="83"/>
  <c r="BC22" i="101"/>
  <c r="D112" i="132"/>
  <c r="F5" i="83"/>
  <c r="F16" i="83" s="1"/>
  <c r="G212" i="88"/>
  <c r="T23" i="83"/>
  <c r="E32" i="65" l="1"/>
  <c r="F32" i="65" s="1"/>
  <c r="T34" i="65"/>
  <c r="U34" i="65" s="1"/>
  <c r="V34" i="65" s="1"/>
  <c r="W34" i="65" s="1"/>
  <c r="T35" i="65"/>
  <c r="U35" i="65" s="1"/>
  <c r="E35" i="65"/>
  <c r="F35" i="65" s="1"/>
  <c r="G35" i="65" s="1"/>
  <c r="H35" i="65" s="1"/>
  <c r="E36" i="65"/>
  <c r="F36" i="65" s="1"/>
  <c r="E38" i="65"/>
  <c r="F38" i="65" s="1"/>
  <c r="G38" i="65" s="1"/>
  <c r="H38" i="65" s="1"/>
  <c r="T39" i="65"/>
  <c r="U39" i="65" s="1"/>
  <c r="D41" i="65"/>
  <c r="E31" i="65"/>
  <c r="F31" i="65" s="1"/>
  <c r="G31" i="65" s="1"/>
  <c r="H31" i="65" s="1"/>
  <c r="T36" i="65"/>
  <c r="U36" i="65" s="1"/>
  <c r="V36" i="65" s="1"/>
  <c r="W36" i="65" s="1"/>
  <c r="E39" i="65"/>
  <c r="F39" i="65" s="1"/>
  <c r="G39" i="65" s="1"/>
  <c r="H39" i="65" s="1"/>
  <c r="T40" i="65"/>
  <c r="U40" i="65" s="1"/>
  <c r="V40" i="65" s="1"/>
  <c r="W40" i="65" s="1"/>
  <c r="T31" i="65"/>
  <c r="U31" i="65" s="1"/>
  <c r="V31" i="65" s="1"/>
  <c r="W31" i="65" s="1"/>
  <c r="E29" i="65"/>
  <c r="F29" i="65" s="1"/>
  <c r="G29" i="65" s="1"/>
  <c r="H29" i="65" s="1"/>
  <c r="B21" i="32"/>
  <c r="T28" i="65"/>
  <c r="U28" i="65" s="1"/>
  <c r="T38" i="65"/>
  <c r="U38" i="65" s="1"/>
  <c r="E27" i="65"/>
  <c r="F27" i="65" s="1"/>
  <c r="G27" i="65" s="1"/>
  <c r="H27" i="65" s="1"/>
  <c r="E37" i="65"/>
  <c r="F37" i="65" s="1"/>
  <c r="G37" i="65" s="1"/>
  <c r="H37" i="65" s="1"/>
  <c r="E40" i="65"/>
  <c r="F40" i="65" s="1"/>
  <c r="G40" i="65" s="1"/>
  <c r="H40" i="65" s="1"/>
  <c r="T29" i="65"/>
  <c r="U29" i="65" s="1"/>
  <c r="V29" i="65" s="1"/>
  <c r="W29" i="65" s="1"/>
  <c r="S41" i="65"/>
  <c r="T37" i="65"/>
  <c r="U37" i="65" s="1"/>
  <c r="V37" i="65" s="1"/>
  <c r="W37" i="65" s="1"/>
  <c r="E34" i="65"/>
  <c r="B26" i="32"/>
  <c r="AJ33" i="83"/>
  <c r="I27" i="29"/>
  <c r="C46" i="44"/>
  <c r="H20" i="41"/>
  <c r="H32" i="41" s="1"/>
  <c r="H39" i="41" s="1"/>
  <c r="G16" i="83"/>
  <c r="B46" i="44"/>
  <c r="B11" i="44" s="1"/>
  <c r="B19" i="29" s="1"/>
  <c r="G119" i="88"/>
  <c r="D119" i="88" s="1"/>
  <c r="G187" i="88"/>
  <c r="E175" i="88"/>
  <c r="D174" i="88"/>
  <c r="D173" i="88"/>
  <c r="P36" i="128"/>
  <c r="I30" i="29"/>
  <c r="V35" i="65"/>
  <c r="W35" i="65" s="1"/>
  <c r="N21" i="88"/>
  <c r="S72" i="101"/>
  <c r="J48" i="128"/>
  <c r="AQ72" i="101"/>
  <c r="D194" i="88"/>
  <c r="BJ53" i="83"/>
  <c r="BJ60" i="83" s="1"/>
  <c r="I36" i="128"/>
  <c r="E106" i="88"/>
  <c r="AQ53" i="83"/>
  <c r="AQ60" i="83" s="1"/>
  <c r="AV53" i="83"/>
  <c r="AV60" i="83" s="1"/>
  <c r="D42" i="30"/>
  <c r="E28" i="65"/>
  <c r="F28" i="65" s="1"/>
  <c r="P42" i="128"/>
  <c r="B105" i="88"/>
  <c r="B106" i="88" s="1"/>
  <c r="O48" i="128"/>
  <c r="P47" i="128"/>
  <c r="O36" i="128"/>
  <c r="D25" i="41"/>
  <c r="I28" i="29"/>
  <c r="G177" i="88" s="1"/>
  <c r="J42" i="44"/>
  <c r="G135" i="88" s="1"/>
  <c r="J23" i="44"/>
  <c r="G120" i="88" s="1"/>
  <c r="D120" i="88" s="1"/>
  <c r="K53" i="83"/>
  <c r="S2" i="65" s="1"/>
  <c r="B16" i="142" s="1"/>
  <c r="O47" i="128"/>
  <c r="O42" i="128"/>
  <c r="E60" i="88"/>
  <c r="D46" i="88"/>
  <c r="C16" i="88"/>
  <c r="AN53" i="83"/>
  <c r="AN60" i="83" s="1"/>
  <c r="F25" i="124"/>
  <c r="E25" i="124" s="1"/>
  <c r="C45" i="123" s="1"/>
  <c r="T23" i="84"/>
  <c r="T30" i="84" s="1"/>
  <c r="J36" i="128"/>
  <c r="AX53" i="83"/>
  <c r="AX60" i="83" s="1"/>
  <c r="J41" i="128"/>
  <c r="P48" i="128"/>
  <c r="AP53" i="83"/>
  <c r="AP60" i="83" s="1"/>
  <c r="B75" i="88"/>
  <c r="J47" i="128"/>
  <c r="AZ53" i="83"/>
  <c r="AZ60" i="83" s="1"/>
  <c r="AU53" i="83"/>
  <c r="AU60" i="83" s="1"/>
  <c r="BL53" i="83"/>
  <c r="BL60" i="83" s="1"/>
  <c r="F21" i="124"/>
  <c r="E21" i="124" s="1"/>
  <c r="C41" i="130" s="1"/>
  <c r="G60" i="101"/>
  <c r="G101" i="101" s="1"/>
  <c r="E91" i="88"/>
  <c r="BI53" i="83"/>
  <c r="BI60" i="83" s="1"/>
  <c r="I19" i="112"/>
  <c r="D19" i="112"/>
  <c r="G129" i="88"/>
  <c r="E129" i="88" s="1"/>
  <c r="E41" i="44"/>
  <c r="G130" i="88"/>
  <c r="E130" i="88" s="1"/>
  <c r="D153" i="88"/>
  <c r="E153" i="88"/>
  <c r="B60" i="88"/>
  <c r="D199" i="88"/>
  <c r="G134" i="88"/>
  <c r="E134" i="88" s="1"/>
  <c r="M99" i="83"/>
  <c r="E35" i="112" s="1"/>
  <c r="E36" i="112" s="1"/>
  <c r="BN53" i="83"/>
  <c r="BN60" i="83" s="1"/>
  <c r="AW53" i="83"/>
  <c r="AW60" i="83" s="1"/>
  <c r="AR53" i="83"/>
  <c r="AR60" i="83" s="1"/>
  <c r="AY53" i="83"/>
  <c r="AY60" i="83" s="1"/>
  <c r="AE68" i="101"/>
  <c r="BM53" i="83"/>
  <c r="BM60" i="83" s="1"/>
  <c r="G24" i="124"/>
  <c r="E44" i="130" s="1"/>
  <c r="I41" i="128"/>
  <c r="I47" i="128"/>
  <c r="I48" i="128"/>
  <c r="G23" i="124"/>
  <c r="E43" i="130" s="1"/>
  <c r="G27" i="124"/>
  <c r="E47" i="123" s="1"/>
  <c r="G26" i="124"/>
  <c r="E46" i="123" s="1"/>
  <c r="G21" i="124"/>
  <c r="E41" i="130" s="1"/>
  <c r="G25" i="124"/>
  <c r="E45" i="123" s="1"/>
  <c r="G20" i="124"/>
  <c r="E40" i="123" s="1"/>
  <c r="G22" i="124"/>
  <c r="E42" i="123" s="1"/>
  <c r="AZ18" i="101"/>
  <c r="AQ62" i="101" s="1"/>
  <c r="BD18" i="101"/>
  <c r="AT62" i="101" s="1"/>
  <c r="D175" i="88"/>
  <c r="B10" i="88"/>
  <c r="I26" i="29"/>
  <c r="G176" i="88" s="1"/>
  <c r="E155" i="88"/>
  <c r="I37" i="41"/>
  <c r="G160" i="88" s="1"/>
  <c r="G32" i="65"/>
  <c r="H32" i="65" s="1"/>
  <c r="M41" i="128"/>
  <c r="H19" i="112"/>
  <c r="BB53" i="83"/>
  <c r="BB60" i="83" s="1"/>
  <c r="V32" i="65"/>
  <c r="W32" i="65" s="1"/>
  <c r="G36" i="65"/>
  <c r="H36" i="65" s="1"/>
  <c r="AY25" i="101"/>
  <c r="AZ25" i="101" s="1"/>
  <c r="M36" i="128"/>
  <c r="D133" i="88"/>
  <c r="B45" i="88"/>
  <c r="AJ51" i="83"/>
  <c r="V27" i="65"/>
  <c r="W27" i="65" s="1"/>
  <c r="AE63" i="101"/>
  <c r="H20" i="132"/>
  <c r="F26" i="124"/>
  <c r="D46" i="123" s="1"/>
  <c r="F20" i="124"/>
  <c r="E20" i="124" s="1"/>
  <c r="C40" i="130" s="1"/>
  <c r="BE11" i="101"/>
  <c r="V94" i="101" s="1"/>
  <c r="AS53" i="83"/>
  <c r="AS60" i="83" s="1"/>
  <c r="F24" i="124"/>
  <c r="E24" i="124" s="1"/>
  <c r="C44" i="123" s="1"/>
  <c r="S53" i="123"/>
  <c r="B90" i="88"/>
  <c r="B91" i="88" s="1"/>
  <c r="X53" i="83"/>
  <c r="X60" i="83" s="1"/>
  <c r="BC53" i="83"/>
  <c r="BC60" i="83" s="1"/>
  <c r="AE85" i="101"/>
  <c r="AO53" i="83"/>
  <c r="AO60" i="83" s="1"/>
  <c r="F27" i="124"/>
  <c r="E27" i="124" s="1"/>
  <c r="C47" i="123" s="1"/>
  <c r="F22" i="124"/>
  <c r="E22" i="124" s="1"/>
  <c r="C42" i="130" s="1"/>
  <c r="D121" i="88"/>
  <c r="AB53" i="83"/>
  <c r="G2" i="65" s="1"/>
  <c r="G6" i="65" s="1"/>
  <c r="G9" i="65" s="1"/>
  <c r="G18" i="65" s="1"/>
  <c r="E158" i="88"/>
  <c r="J53" i="83"/>
  <c r="R2" i="65" s="1"/>
  <c r="D152" i="88"/>
  <c r="E152" i="88"/>
  <c r="K74" i="83"/>
  <c r="L74" i="83" s="1"/>
  <c r="M74" i="83" s="1"/>
  <c r="N74" i="83" s="1"/>
  <c r="O74" i="83" s="1"/>
  <c r="P74" i="83" s="1"/>
  <c r="Q74" i="83" s="1"/>
  <c r="R74" i="83" s="1"/>
  <c r="S74" i="83" s="1"/>
  <c r="T74" i="83" s="1"/>
  <c r="U74" i="83" s="1"/>
  <c r="O53" i="83"/>
  <c r="O60" i="83" s="1"/>
  <c r="E18" i="75"/>
  <c r="E28" i="75" s="1"/>
  <c r="AJ23" i="83"/>
  <c r="AH53" i="83"/>
  <c r="M2" i="65" s="1"/>
  <c r="M6" i="65" s="1"/>
  <c r="M9" i="65" s="1"/>
  <c r="M18" i="65" s="1"/>
  <c r="AE53" i="83"/>
  <c r="J2" i="65" s="1"/>
  <c r="J6" i="65" s="1"/>
  <c r="J9" i="65" s="1"/>
  <c r="J18" i="65" s="1"/>
  <c r="I31" i="29"/>
  <c r="G178" i="88" s="1"/>
  <c r="N53" i="83"/>
  <c r="V2" i="65" s="1"/>
  <c r="E16" i="142" s="1"/>
  <c r="D131" i="88"/>
  <c r="E193" i="88"/>
  <c r="B28" i="75"/>
  <c r="O13" i="75"/>
  <c r="C52" i="83"/>
  <c r="V52" i="83"/>
  <c r="C45" i="137" s="1"/>
  <c r="E136" i="88"/>
  <c r="D76" i="88"/>
  <c r="E76" i="88"/>
  <c r="BE18" i="101"/>
  <c r="V62" i="101" s="1"/>
  <c r="D128" i="88"/>
  <c r="G22" i="83"/>
  <c r="E159" i="88"/>
  <c r="H5" i="83"/>
  <c r="H16" i="83" s="1"/>
  <c r="Z53" i="83"/>
  <c r="E2" i="65" s="1"/>
  <c r="E6" i="65" s="1"/>
  <c r="E9" i="65" s="1"/>
  <c r="E18" i="65" s="1"/>
  <c r="AA53" i="83"/>
  <c r="F2" i="65" s="1"/>
  <c r="F6" i="65" s="1"/>
  <c r="F9" i="65" s="1"/>
  <c r="F18" i="65" s="1"/>
  <c r="AI53" i="83"/>
  <c r="N2" i="65" s="1"/>
  <c r="I9" i="88"/>
  <c r="G52" i="83"/>
  <c r="P53" i="83"/>
  <c r="X2" i="65" s="1"/>
  <c r="G16" i="142" s="1"/>
  <c r="G10" i="88"/>
  <c r="F10" i="88"/>
  <c r="H22" i="83"/>
  <c r="V23" i="83"/>
  <c r="D43" i="130"/>
  <c r="C43" i="130"/>
  <c r="D43" i="123"/>
  <c r="M15" i="88"/>
  <c r="D197" i="88"/>
  <c r="D190" i="88"/>
  <c r="O24" i="75"/>
  <c r="P26" i="74"/>
  <c r="K26" i="74"/>
  <c r="F34" i="74" s="1"/>
  <c r="F39" i="74" s="1"/>
  <c r="R21" i="74"/>
  <c r="R23" i="74" s="1"/>
  <c r="G36" i="74"/>
  <c r="S21" i="74"/>
  <c r="Q23" i="74"/>
  <c r="E191" i="88"/>
  <c r="AB70" i="101"/>
  <c r="D51" i="83"/>
  <c r="G63" i="101"/>
  <c r="J18" i="112"/>
  <c r="J19" i="112" s="1"/>
  <c r="E154" i="88"/>
  <c r="Q36" i="128"/>
  <c r="Q48" i="128"/>
  <c r="Q47" i="128"/>
  <c r="Q41" i="128"/>
  <c r="Q42" i="128"/>
  <c r="C9" i="88"/>
  <c r="M48" i="128"/>
  <c r="M47" i="128"/>
  <c r="I16" i="88"/>
  <c r="Q53" i="83"/>
  <c r="E10" i="88"/>
  <c r="M53" i="83"/>
  <c r="D196" i="88"/>
  <c r="J10" i="88"/>
  <c r="R53" i="83"/>
  <c r="Z2" i="65" s="1"/>
  <c r="I16" i="142" s="1"/>
  <c r="J9" i="88"/>
  <c r="AF53" i="83"/>
  <c r="AY26" i="101"/>
  <c r="AB74" i="101"/>
  <c r="AB75" i="101" s="1"/>
  <c r="B29" i="44"/>
  <c r="E29" i="44" s="1"/>
  <c r="BK53" i="83"/>
  <c r="BK60" i="83" s="1"/>
  <c r="H11" i="86"/>
  <c r="H17" i="86" s="1"/>
  <c r="BA23" i="101"/>
  <c r="S69" i="101" s="1"/>
  <c r="E198" i="88"/>
  <c r="H59" i="83"/>
  <c r="E122" i="88"/>
  <c r="D122" i="88"/>
  <c r="D16" i="88"/>
  <c r="L53" i="83"/>
  <c r="N28" i="75"/>
  <c r="N67" i="123"/>
  <c r="L9" i="88"/>
  <c r="BE48" i="83"/>
  <c r="BD51" i="83"/>
  <c r="BD52" i="83" s="1"/>
  <c r="BD53" i="83" s="1"/>
  <c r="BD60" i="83" s="1"/>
  <c r="J11" i="131"/>
  <c r="T53" i="83"/>
  <c r="AB2" i="65" s="1"/>
  <c r="K16" i="142" s="1"/>
  <c r="BC10" i="101"/>
  <c r="G93" i="101" s="1"/>
  <c r="E125" i="88"/>
  <c r="D125" i="88"/>
  <c r="AD53" i="83"/>
  <c r="N26" i="88"/>
  <c r="R40" i="130"/>
  <c r="S40" i="130" s="1"/>
  <c r="I20" i="132"/>
  <c r="M45" i="130"/>
  <c r="N45" i="130" s="1"/>
  <c r="N41" i="128"/>
  <c r="N47" i="128"/>
  <c r="N48" i="128"/>
  <c r="N36" i="128"/>
  <c r="N42" i="128"/>
  <c r="E44" i="44"/>
  <c r="K9" i="88"/>
  <c r="O34" i="75"/>
  <c r="G95" i="101"/>
  <c r="BE12" i="101"/>
  <c r="V95" i="101" s="1"/>
  <c r="AZ10" i="101"/>
  <c r="AQ93" i="101" s="1"/>
  <c r="AQ96" i="101" s="1"/>
  <c r="L67" i="130"/>
  <c r="Q33" i="74"/>
  <c r="Q36" i="74" s="1"/>
  <c r="G29" i="74"/>
  <c r="U53" i="83"/>
  <c r="AC2" i="65" s="1"/>
  <c r="D62" i="101"/>
  <c r="BA18" i="101"/>
  <c r="S62" i="101" s="1"/>
  <c r="BE20" i="101"/>
  <c r="V64" i="101" s="1"/>
  <c r="G64" i="101"/>
  <c r="BE9" i="101"/>
  <c r="V85" i="101" s="1"/>
  <c r="D126" i="88"/>
  <c r="E126" i="88"/>
  <c r="BA12" i="101"/>
  <c r="S95" i="101" s="1"/>
  <c r="D95" i="101"/>
  <c r="F11" i="86"/>
  <c r="F17" i="86" s="1"/>
  <c r="F22" i="86" s="1"/>
  <c r="E76" i="84"/>
  <c r="I92" i="132"/>
  <c r="B27" i="44"/>
  <c r="Y53" i="83"/>
  <c r="C15" i="88"/>
  <c r="E156" i="88"/>
  <c r="D156" i="88"/>
  <c r="D51" i="84"/>
  <c r="D55" i="84" s="1"/>
  <c r="E55" i="84" s="1"/>
  <c r="H49" i="84"/>
  <c r="H50" i="84" s="1"/>
  <c r="C20" i="41"/>
  <c r="C32" i="41" s="1"/>
  <c r="D5" i="83"/>
  <c r="D16" i="83" s="1"/>
  <c r="C22" i="83"/>
  <c r="H27" i="44"/>
  <c r="H31" i="44" s="1"/>
  <c r="E38" i="44"/>
  <c r="E150" i="88"/>
  <c r="D150" i="88"/>
  <c r="E212" i="88"/>
  <c r="D212" i="88"/>
  <c r="F23" i="83"/>
  <c r="G20" i="41"/>
  <c r="G32" i="41" s="1"/>
  <c r="BE22" i="101"/>
  <c r="V68" i="101" s="1"/>
  <c r="G68" i="101"/>
  <c r="R47" i="128"/>
  <c r="R48" i="128"/>
  <c r="R42" i="128"/>
  <c r="R41" i="128"/>
  <c r="M34" i="75"/>
  <c r="BB23" i="101" s="1"/>
  <c r="D137" i="88"/>
  <c r="E137" i="88"/>
  <c r="E132" i="88"/>
  <c r="D132" i="88"/>
  <c r="I22" i="41"/>
  <c r="I25" i="41" s="1"/>
  <c r="AY10" i="101"/>
  <c r="D93" i="101" s="1"/>
  <c r="D28" i="75"/>
  <c r="H8" i="131"/>
  <c r="H11" i="131" s="1"/>
  <c r="BE23" i="101"/>
  <c r="V69" i="101" s="1"/>
  <c r="G69" i="101"/>
  <c r="J33" i="44"/>
  <c r="G127" i="88" s="1"/>
  <c r="H11" i="44"/>
  <c r="G19" i="29" s="1"/>
  <c r="D195" i="88"/>
  <c r="E195" i="88"/>
  <c r="L10" i="88"/>
  <c r="B20" i="41"/>
  <c r="L42" i="128"/>
  <c r="L47" i="128"/>
  <c r="L48" i="128"/>
  <c r="L41" i="128"/>
  <c r="K15" i="88"/>
  <c r="AG53" i="83"/>
  <c r="E34" i="44"/>
  <c r="Q53" i="130"/>
  <c r="S39" i="130"/>
  <c r="G15" i="88"/>
  <c r="AC53" i="83"/>
  <c r="S53" i="83"/>
  <c r="K16" i="88"/>
  <c r="L38" i="130"/>
  <c r="N38" i="130" s="1"/>
  <c r="F51" i="83"/>
  <c r="H51" i="83"/>
  <c r="L36" i="128"/>
  <c r="D188" i="88"/>
  <c r="E188" i="88"/>
  <c r="BC24" i="101"/>
  <c r="AE72" i="101"/>
  <c r="I33" i="41"/>
  <c r="G157" i="88" s="1"/>
  <c r="G33" i="32"/>
  <c r="I33" i="32" s="1"/>
  <c r="AB96" i="101"/>
  <c r="N62" i="130"/>
  <c r="N67" i="130" s="1"/>
  <c r="M67" i="130"/>
  <c r="D214" i="88"/>
  <c r="E214" i="88"/>
  <c r="D68" i="101"/>
  <c r="D70" i="101" s="1"/>
  <c r="BA22" i="101"/>
  <c r="S68" i="101" s="1"/>
  <c r="O14" i="75"/>
  <c r="O18" i="75" s="1"/>
  <c r="BB11" i="101"/>
  <c r="M18" i="75"/>
  <c r="M20" i="142" l="1"/>
  <c r="M23" i="142" s="1"/>
  <c r="M32" i="142" s="1"/>
  <c r="L16" i="142"/>
  <c r="L20" i="142" s="1"/>
  <c r="L23" i="142" s="1"/>
  <c r="L32" i="142" s="1"/>
  <c r="T41" i="65"/>
  <c r="E41" i="65"/>
  <c r="F34" i="65"/>
  <c r="F41" i="65" s="1"/>
  <c r="E119" i="88"/>
  <c r="B31" i="44"/>
  <c r="B32" i="41"/>
  <c r="B39" i="41" s="1"/>
  <c r="B10" i="41" s="1"/>
  <c r="E173" i="88"/>
  <c r="X27" i="65"/>
  <c r="Y27" i="65" s="1"/>
  <c r="X37" i="65"/>
  <c r="Y37" i="65" s="1"/>
  <c r="X31" i="65"/>
  <c r="Y31" i="65" s="1"/>
  <c r="X40" i="65"/>
  <c r="Y40" i="65" s="1"/>
  <c r="I31" i="65"/>
  <c r="J31" i="65" s="1"/>
  <c r="I29" i="65"/>
  <c r="J29" i="65" s="1"/>
  <c r="I36" i="65"/>
  <c r="J36" i="65" s="1"/>
  <c r="X32" i="65"/>
  <c r="Y32" i="65" s="1"/>
  <c r="I35" i="65"/>
  <c r="J35" i="65" s="1"/>
  <c r="I39" i="65"/>
  <c r="J39" i="65" s="1"/>
  <c r="X29" i="65"/>
  <c r="Y29" i="65" s="1"/>
  <c r="X35" i="65"/>
  <c r="Y35" i="65" s="1"/>
  <c r="X36" i="65"/>
  <c r="Y36" i="65" s="1"/>
  <c r="I37" i="65"/>
  <c r="J37" i="65" s="1"/>
  <c r="I40" i="65"/>
  <c r="J40" i="65" s="1"/>
  <c r="I27" i="65"/>
  <c r="J27" i="65" s="1"/>
  <c r="I38" i="65"/>
  <c r="J38" i="65" s="1"/>
  <c r="I32" i="65"/>
  <c r="J32" i="65" s="1"/>
  <c r="D178" i="88"/>
  <c r="E174" i="88"/>
  <c r="D176" i="88"/>
  <c r="B61" i="88"/>
  <c r="B62" i="88" s="1"/>
  <c r="B63" i="88" s="1"/>
  <c r="C64" i="88" s="1"/>
  <c r="C66" i="88" s="1"/>
  <c r="J38" i="88" s="1"/>
  <c r="G34" i="65"/>
  <c r="H34" i="65" s="1"/>
  <c r="B107" i="88"/>
  <c r="B108" i="88" s="1"/>
  <c r="C109" i="88" s="1"/>
  <c r="C111" i="88" s="1"/>
  <c r="D111" i="88" s="1"/>
  <c r="S6" i="65"/>
  <c r="S9" i="65" s="1"/>
  <c r="S18" i="65" s="1"/>
  <c r="C45" i="130"/>
  <c r="E177" i="88"/>
  <c r="D177" i="88"/>
  <c r="E120" i="88"/>
  <c r="I10" i="44"/>
  <c r="H18" i="29" s="1"/>
  <c r="D135" i="88"/>
  <c r="E135" i="88"/>
  <c r="J26" i="44"/>
  <c r="J26" i="131"/>
  <c r="J27" i="131" s="1"/>
  <c r="D20" i="137"/>
  <c r="D45" i="130"/>
  <c r="D45" i="123"/>
  <c r="B46" i="88"/>
  <c r="B47" i="88" s="1"/>
  <c r="B48" i="88" s="1"/>
  <c r="C49" i="88" s="1"/>
  <c r="C51" i="88" s="1"/>
  <c r="J37" i="88" s="1"/>
  <c r="C41" i="123"/>
  <c r="B76" i="88"/>
  <c r="B77" i="88" s="1"/>
  <c r="B78" i="88" s="1"/>
  <c r="C79" i="88" s="1"/>
  <c r="C81" i="88" s="1"/>
  <c r="J39" i="88" s="1"/>
  <c r="S53" i="130"/>
  <c r="D41" i="123"/>
  <c r="D41" i="130"/>
  <c r="D129" i="88"/>
  <c r="D73" i="101"/>
  <c r="B92" i="88"/>
  <c r="B93" i="88" s="1"/>
  <c r="C94" i="88" s="1"/>
  <c r="C96" i="88" s="1"/>
  <c r="D96" i="88" s="1"/>
  <c r="D130" i="88"/>
  <c r="E44" i="123"/>
  <c r="D134" i="88"/>
  <c r="E46" i="130"/>
  <c r="AJ52" i="83"/>
  <c r="AJ53" i="83" s="1"/>
  <c r="AJ60" i="83" s="1"/>
  <c r="C44" i="130"/>
  <c r="H25" i="124"/>
  <c r="F45" i="130" s="1"/>
  <c r="E43" i="123"/>
  <c r="Z6" i="65"/>
  <c r="Z9" i="65" s="1"/>
  <c r="Z18" i="65" s="1"/>
  <c r="X6" i="65"/>
  <c r="X9" i="65" s="1"/>
  <c r="X18" i="65" s="1"/>
  <c r="V6" i="65"/>
  <c r="V9" i="65" s="1"/>
  <c r="V18" i="65" s="1"/>
  <c r="H23" i="124"/>
  <c r="F43" i="130" s="1"/>
  <c r="E41" i="123"/>
  <c r="E47" i="130"/>
  <c r="H26" i="124"/>
  <c r="F46" i="123" s="1"/>
  <c r="E40" i="130"/>
  <c r="E42" i="130"/>
  <c r="G28" i="124"/>
  <c r="H21" i="124"/>
  <c r="F41" i="130" s="1"/>
  <c r="E45" i="130"/>
  <c r="H20" i="124"/>
  <c r="F40" i="123" s="1"/>
  <c r="C47" i="130"/>
  <c r="C2" i="65"/>
  <c r="C26" i="65" s="1"/>
  <c r="AB60" i="83"/>
  <c r="H27" i="124"/>
  <c r="F47" i="123" s="1"/>
  <c r="C42" i="123"/>
  <c r="F28" i="124"/>
  <c r="D47" i="130"/>
  <c r="D47" i="123"/>
  <c r="D160" i="88"/>
  <c r="E160" i="88"/>
  <c r="G28" i="65"/>
  <c r="H28" i="65" s="1"/>
  <c r="H24" i="124"/>
  <c r="F44" i="123" s="1"/>
  <c r="V39" i="65"/>
  <c r="W39" i="65" s="1"/>
  <c r="D44" i="130"/>
  <c r="V38" i="65"/>
  <c r="W38" i="65" s="1"/>
  <c r="D44" i="123"/>
  <c r="V28" i="65"/>
  <c r="W28" i="65" s="1"/>
  <c r="U41" i="65"/>
  <c r="D40" i="130"/>
  <c r="D40" i="123"/>
  <c r="C40" i="123"/>
  <c r="E26" i="124"/>
  <c r="C46" i="123" s="1"/>
  <c r="D46" i="130"/>
  <c r="D42" i="123"/>
  <c r="D42" i="130"/>
  <c r="H22" i="124"/>
  <c r="F42" i="130" s="1"/>
  <c r="J75" i="83"/>
  <c r="K75" i="83" s="1"/>
  <c r="J60" i="83"/>
  <c r="J69" i="83" s="1"/>
  <c r="G23" i="83"/>
  <c r="BC6" i="101" s="1"/>
  <c r="D52" i="83"/>
  <c r="K60" i="83"/>
  <c r="K69" i="83" s="1"/>
  <c r="C5" i="88" s="1"/>
  <c r="N60" i="83"/>
  <c r="N69" i="83" s="1"/>
  <c r="F5" i="88" s="1"/>
  <c r="AH60" i="83"/>
  <c r="W2" i="65"/>
  <c r="BE10" i="101"/>
  <c r="V93" i="101" s="1"/>
  <c r="V96" i="101" s="1"/>
  <c r="AE60" i="83"/>
  <c r="V53" i="83"/>
  <c r="V60" i="83" s="1"/>
  <c r="AA60" i="83"/>
  <c r="X69" i="83"/>
  <c r="B4" i="88" s="1"/>
  <c r="H52" i="83"/>
  <c r="D45" i="137"/>
  <c r="D48" i="137" s="1"/>
  <c r="D50" i="137" s="1"/>
  <c r="C47" i="44"/>
  <c r="Z60" i="83"/>
  <c r="AI60" i="83"/>
  <c r="P60" i="83"/>
  <c r="P69" i="83" s="1"/>
  <c r="H5" i="88" s="1"/>
  <c r="N16" i="88"/>
  <c r="O69" i="83"/>
  <c r="G5" i="88" s="1"/>
  <c r="Q37" i="74"/>
  <c r="Q43" i="74" s="1"/>
  <c r="Q45" i="74" s="1"/>
  <c r="Q47" i="74" s="1"/>
  <c r="Q24" i="74"/>
  <c r="Q26" i="74" s="1"/>
  <c r="G34" i="74" s="1"/>
  <c r="T60" i="83"/>
  <c r="H23" i="83"/>
  <c r="O28" i="75"/>
  <c r="S23" i="74"/>
  <c r="BA10" i="101"/>
  <c r="S93" i="101" s="1"/>
  <c r="S96" i="101" s="1"/>
  <c r="S70" i="101"/>
  <c r="D96" i="101"/>
  <c r="J46" i="44"/>
  <c r="J11" i="44" s="1"/>
  <c r="G39" i="41"/>
  <c r="G10" i="41" s="1"/>
  <c r="B32" i="30" s="1"/>
  <c r="I11" i="44"/>
  <c r="H19" i="29" s="1"/>
  <c r="U2" i="65"/>
  <c r="D16" i="142" s="1"/>
  <c r="M60" i="83"/>
  <c r="Q60" i="83"/>
  <c r="Y2" i="65"/>
  <c r="H16" i="142" s="1"/>
  <c r="U60" i="83"/>
  <c r="N10" i="88"/>
  <c r="R60" i="83"/>
  <c r="R69" i="83" s="1"/>
  <c r="J5" i="88" s="1"/>
  <c r="D22" i="83"/>
  <c r="D23" i="83" s="1"/>
  <c r="BE51" i="83"/>
  <c r="BE52" i="83" s="1"/>
  <c r="BE53" i="83" s="1"/>
  <c r="BE60" i="83" s="1"/>
  <c r="BF48" i="83"/>
  <c r="N9" i="88"/>
  <c r="D74" i="101"/>
  <c r="AZ26" i="101"/>
  <c r="I2" i="65"/>
  <c r="I6" i="65" s="1"/>
  <c r="I9" i="65" s="1"/>
  <c r="I18" i="65" s="1"/>
  <c r="AD60" i="83"/>
  <c r="T2" i="65"/>
  <c r="C16" i="142" s="1"/>
  <c r="L60" i="83"/>
  <c r="K2" i="65"/>
  <c r="K6" i="65" s="1"/>
  <c r="K9" i="65" s="1"/>
  <c r="K18" i="65" s="1"/>
  <c r="AF60" i="83"/>
  <c r="R53" i="130"/>
  <c r="C48" i="137"/>
  <c r="C50" i="137" s="1"/>
  <c r="C55" i="137"/>
  <c r="C56" i="137" s="1"/>
  <c r="C59" i="137" s="1"/>
  <c r="G96" i="101"/>
  <c r="V70" i="101"/>
  <c r="G70" i="101"/>
  <c r="L2" i="65"/>
  <c r="L6" i="65" s="1"/>
  <c r="AG60" i="83"/>
  <c r="J27" i="44"/>
  <c r="G124" i="88" s="1"/>
  <c r="G209" i="88"/>
  <c r="F209" i="88" s="1"/>
  <c r="B210" i="88" s="1"/>
  <c r="B211" i="88" s="1"/>
  <c r="B212" i="88" s="1"/>
  <c r="B213" i="88" s="1"/>
  <c r="B214" i="88" s="1"/>
  <c r="B215" i="88" s="1"/>
  <c r="B216" i="88" s="1"/>
  <c r="B217" i="88" s="1"/>
  <c r="B218" i="88" s="1"/>
  <c r="B219" i="88" s="1"/>
  <c r="B220" i="88" s="1"/>
  <c r="D2" i="65"/>
  <c r="Y60" i="83"/>
  <c r="BB10" i="101"/>
  <c r="M28" i="75"/>
  <c r="BA25" i="101"/>
  <c r="AQ73" i="101"/>
  <c r="AE94" i="101"/>
  <c r="BD11" i="101"/>
  <c r="AT94" i="101" s="1"/>
  <c r="E157" i="88"/>
  <c r="D157" i="88"/>
  <c r="G151" i="88"/>
  <c r="C23" i="83"/>
  <c r="D20" i="41"/>
  <c r="E27" i="44"/>
  <c r="E31" i="44" s="1"/>
  <c r="F52" i="83"/>
  <c r="F53" i="83" s="1"/>
  <c r="AA2" i="65"/>
  <c r="J16" i="142" s="1"/>
  <c r="S60" i="83"/>
  <c r="AE69" i="101"/>
  <c r="AE70" i="101" s="1"/>
  <c r="BD23" i="101"/>
  <c r="AT69" i="101" s="1"/>
  <c r="AT70" i="101" s="1"/>
  <c r="G72" i="101"/>
  <c r="BD24" i="101"/>
  <c r="H2" i="65"/>
  <c r="AC60" i="83"/>
  <c r="N6" i="65"/>
  <c r="N9" i="65" s="1"/>
  <c r="N18" i="65" s="1"/>
  <c r="I38" i="41"/>
  <c r="D127" i="88"/>
  <c r="E127" i="88"/>
  <c r="BB6" i="101"/>
  <c r="R26" i="65"/>
  <c r="R6" i="65"/>
  <c r="R9" i="65" s="1"/>
  <c r="R18" i="65" s="1"/>
  <c r="R20" i="65" s="1"/>
  <c r="D37" i="41"/>
  <c r="C38" i="41"/>
  <c r="X34" i="65"/>
  <c r="N15" i="88"/>
  <c r="AB6" i="65"/>
  <c r="AB9" i="65" s="1"/>
  <c r="AB18" i="65" s="1"/>
  <c r="G20" i="142" l="1"/>
  <c r="F16" i="142"/>
  <c r="F20" i="142" s="1"/>
  <c r="F23" i="142" s="1"/>
  <c r="F32" i="142" s="1"/>
  <c r="X72" i="83"/>
  <c r="B20" i="142"/>
  <c r="K20" i="142"/>
  <c r="K23" i="142" s="1"/>
  <c r="K32" i="142" s="1"/>
  <c r="D66" i="88"/>
  <c r="G123" i="88"/>
  <c r="E123" i="88" s="1"/>
  <c r="J31" i="44"/>
  <c r="J10" i="44" s="1"/>
  <c r="B17" i="29"/>
  <c r="B31" i="30"/>
  <c r="D32" i="41"/>
  <c r="K36" i="65"/>
  <c r="K32" i="65"/>
  <c r="K37" i="65"/>
  <c r="K39" i="65"/>
  <c r="K29" i="65"/>
  <c r="Z37" i="65"/>
  <c r="Z31" i="65"/>
  <c r="K38" i="65"/>
  <c r="Z36" i="65"/>
  <c r="K35" i="65"/>
  <c r="K31" i="65"/>
  <c r="Z27" i="65"/>
  <c r="K40" i="65"/>
  <c r="Z29" i="65"/>
  <c r="K27" i="65"/>
  <c r="Z35" i="65"/>
  <c r="Z32" i="65"/>
  <c r="Z40" i="65"/>
  <c r="X38" i="65"/>
  <c r="Y38" i="65" s="1"/>
  <c r="X28" i="65"/>
  <c r="Y28" i="65" s="1"/>
  <c r="X39" i="65"/>
  <c r="Y39" i="65" s="1"/>
  <c r="E176" i="88"/>
  <c r="G41" i="65"/>
  <c r="J20" i="142"/>
  <c r="J23" i="142" s="1"/>
  <c r="J32" i="142" s="1"/>
  <c r="I20" i="142"/>
  <c r="I23" i="142" s="1"/>
  <c r="I32" i="142" s="1"/>
  <c r="H20" i="142"/>
  <c r="H23" i="142" s="1"/>
  <c r="H32" i="142" s="1"/>
  <c r="J41" i="88"/>
  <c r="V69" i="83"/>
  <c r="V72" i="83" s="1"/>
  <c r="D43" i="30"/>
  <c r="T6" i="65"/>
  <c r="T9" i="65" s="1"/>
  <c r="T18" i="65" s="1"/>
  <c r="C20" i="142"/>
  <c r="C23" i="142" s="1"/>
  <c r="C32" i="142" s="1"/>
  <c r="U6" i="65"/>
  <c r="U9" i="65" s="1"/>
  <c r="U18" i="65" s="1"/>
  <c r="D20" i="142"/>
  <c r="D23" i="142" s="1"/>
  <c r="D32" i="142" s="1"/>
  <c r="D51" i="88"/>
  <c r="I20" i="41"/>
  <c r="J72" i="83"/>
  <c r="B5" i="88"/>
  <c r="O72" i="83"/>
  <c r="O101" i="83" s="1"/>
  <c r="I47" i="44"/>
  <c r="BC14" i="101" s="1"/>
  <c r="G100" i="101" s="1"/>
  <c r="D75" i="101"/>
  <c r="V41" i="65"/>
  <c r="W41" i="65"/>
  <c r="J40" i="88"/>
  <c r="E48" i="123"/>
  <c r="E20" i="142"/>
  <c r="E23" i="142" s="1"/>
  <c r="E32" i="142" s="1"/>
  <c r="I28" i="65"/>
  <c r="F42" i="123"/>
  <c r="F41" i="123"/>
  <c r="E28" i="124"/>
  <c r="F34" i="124" s="1"/>
  <c r="F45" i="123"/>
  <c r="W6" i="65"/>
  <c r="W9" i="65" s="1"/>
  <c r="W18" i="65" s="1"/>
  <c r="Y6" i="65"/>
  <c r="F43" i="123"/>
  <c r="F46" i="130"/>
  <c r="E48" i="130"/>
  <c r="F40" i="130"/>
  <c r="F47" i="130"/>
  <c r="C6" i="65"/>
  <c r="C9" i="65" s="1"/>
  <c r="C18" i="65" s="1"/>
  <c r="C20" i="65" s="1"/>
  <c r="C23" i="65" s="1"/>
  <c r="F44" i="130"/>
  <c r="J76" i="83"/>
  <c r="J77" i="83" s="1"/>
  <c r="AB69" i="83"/>
  <c r="F4" i="88" s="1"/>
  <c r="I19" i="29"/>
  <c r="G172" i="88" s="1"/>
  <c r="C46" i="130"/>
  <c r="C48" i="130" s="1"/>
  <c r="G53" i="83"/>
  <c r="BC5" i="101" s="1"/>
  <c r="AJ69" i="83"/>
  <c r="AJ72" i="83" s="1"/>
  <c r="D48" i="123"/>
  <c r="D48" i="130"/>
  <c r="C48" i="123"/>
  <c r="H28" i="124"/>
  <c r="D81" i="88"/>
  <c r="AH69" i="83"/>
  <c r="L4" i="88" s="1"/>
  <c r="K72" i="83"/>
  <c r="AE69" i="83"/>
  <c r="I4" i="88" s="1"/>
  <c r="Z69" i="83"/>
  <c r="D4" i="88" s="1"/>
  <c r="AI69" i="83"/>
  <c r="M4" i="88" s="1"/>
  <c r="AA69" i="83"/>
  <c r="E4" i="88" s="1"/>
  <c r="C221" i="88"/>
  <c r="C223" i="88" s="1"/>
  <c r="D223" i="88" s="1"/>
  <c r="G148" i="88"/>
  <c r="F148" i="88" s="1"/>
  <c r="E46" i="44"/>
  <c r="E11" i="44" s="1"/>
  <c r="D55" i="137"/>
  <c r="D56" i="137" s="1"/>
  <c r="D59" i="137" s="1"/>
  <c r="D61" i="137" s="1"/>
  <c r="D72" i="137" s="1"/>
  <c r="C11" i="44"/>
  <c r="C19" i="29" s="1"/>
  <c r="H13" i="131" s="1"/>
  <c r="H30" i="131" s="1"/>
  <c r="Y69" i="83"/>
  <c r="C4" i="88" s="1"/>
  <c r="AD69" i="83"/>
  <c r="H4" i="88" s="1"/>
  <c r="P72" i="83"/>
  <c r="P101" i="83" s="1"/>
  <c r="N72" i="83"/>
  <c r="N101" i="83" s="1"/>
  <c r="Q69" i="83"/>
  <c r="I5" i="88" s="1"/>
  <c r="T69" i="83"/>
  <c r="L5" i="88" s="1"/>
  <c r="S69" i="83"/>
  <c r="K5" i="88" s="1"/>
  <c r="L69" i="83"/>
  <c r="D5" i="88" s="1"/>
  <c r="M69" i="83"/>
  <c r="E5" i="88" s="1"/>
  <c r="R24" i="74"/>
  <c r="R26" i="74" s="1"/>
  <c r="G38" i="74"/>
  <c r="G39" i="74" s="1"/>
  <c r="U69" i="83"/>
  <c r="M5" i="88" s="1"/>
  <c r="AC69" i="83"/>
  <c r="G4" i="88" s="1"/>
  <c r="AF69" i="83"/>
  <c r="J4" i="88" s="1"/>
  <c r="AG69" i="83"/>
  <c r="K4" i="88" s="1"/>
  <c r="AD2" i="65"/>
  <c r="H18" i="32" s="1"/>
  <c r="H53" i="83"/>
  <c r="H60" i="83" s="1"/>
  <c r="D53" i="83"/>
  <c r="D60" i="83" s="1"/>
  <c r="C30" i="65"/>
  <c r="C33" i="65" s="1"/>
  <c r="C42" i="65" s="1"/>
  <c r="C44" i="65" s="1"/>
  <c r="C46" i="65" s="1"/>
  <c r="R72" i="83"/>
  <c r="R101" i="83" s="1"/>
  <c r="C61" i="137"/>
  <c r="C72" i="137" s="1"/>
  <c r="D21" i="129"/>
  <c r="AQ74" i="101"/>
  <c r="AQ75" i="101" s="1"/>
  <c r="BA26" i="101"/>
  <c r="BG48" i="83"/>
  <c r="BG51" i="83" s="1"/>
  <c r="BG52" i="83" s="1"/>
  <c r="BG53" i="83" s="1"/>
  <c r="BG60" i="83" s="1"/>
  <c r="BF51" i="83"/>
  <c r="BF52" i="83" s="1"/>
  <c r="BF53" i="83" s="1"/>
  <c r="BF60" i="83" s="1"/>
  <c r="R22" i="65"/>
  <c r="R44" i="65"/>
  <c r="R46" i="65" s="1"/>
  <c r="S19" i="65"/>
  <c r="B33" i="142" s="1"/>
  <c r="G44" i="101"/>
  <c r="BE6" i="101"/>
  <c r="V44" i="101" s="1"/>
  <c r="AA6" i="65"/>
  <c r="AA9" i="65" s="1"/>
  <c r="AA18" i="65" s="1"/>
  <c r="BD10" i="101"/>
  <c r="AT93" i="101" s="1"/>
  <c r="AT96" i="101" s="1"/>
  <c r="AE93" i="101"/>
  <c r="AE96" i="101" s="1"/>
  <c r="L9" i="65"/>
  <c r="L18" i="65" s="1"/>
  <c r="R30" i="65"/>
  <c r="R33" i="65" s="1"/>
  <c r="R42" i="65" s="1"/>
  <c r="S26" i="65"/>
  <c r="C18" i="32" s="1"/>
  <c r="H6" i="65"/>
  <c r="H9" i="65" s="1"/>
  <c r="H18" i="65" s="1"/>
  <c r="G17" i="29"/>
  <c r="B47" i="44"/>
  <c r="B10" i="44"/>
  <c r="B18" i="29" s="1"/>
  <c r="D18" i="29" s="1"/>
  <c r="E10" i="44"/>
  <c r="C53" i="83"/>
  <c r="AY6" i="101"/>
  <c r="K76" i="83"/>
  <c r="K77" i="83" s="1"/>
  <c r="L75" i="83"/>
  <c r="D151" i="88"/>
  <c r="E151" i="88"/>
  <c r="BB25" i="101"/>
  <c r="S73" i="101"/>
  <c r="H10" i="44"/>
  <c r="H47" i="44"/>
  <c r="C39" i="41"/>
  <c r="D38" i="41"/>
  <c r="F60" i="83"/>
  <c r="F69" i="83" s="1"/>
  <c r="BB5" i="101"/>
  <c r="Y34" i="65"/>
  <c r="BD6" i="101"/>
  <c r="AT44" i="101" s="1"/>
  <c r="AE44" i="101"/>
  <c r="H10" i="41"/>
  <c r="F4" i="97"/>
  <c r="I39" i="41"/>
  <c r="I10" i="41" s="1"/>
  <c r="AT72" i="101"/>
  <c r="BE24" i="101"/>
  <c r="V72" i="101" s="1"/>
  <c r="AY14" i="101"/>
  <c r="C12" i="44"/>
  <c r="H31" i="30" s="1"/>
  <c r="I34" i="65"/>
  <c r="H41" i="65"/>
  <c r="D26" i="65"/>
  <c r="B18" i="32" s="1"/>
  <c r="D6" i="65"/>
  <c r="D9" i="65" s="1"/>
  <c r="D18" i="65" s="1"/>
  <c r="O2" i="65"/>
  <c r="E124" i="88"/>
  <c r="D124" i="88"/>
  <c r="N4" i="88" l="1"/>
  <c r="AE72" i="83"/>
  <c r="AG72" i="83"/>
  <c r="AA72" i="83"/>
  <c r="AF72" i="83"/>
  <c r="AD72" i="83"/>
  <c r="AI72" i="83"/>
  <c r="AH72" i="83"/>
  <c r="AC72" i="83"/>
  <c r="Y72" i="83"/>
  <c r="Z72" i="83"/>
  <c r="L27" i="65"/>
  <c r="AA31" i="65"/>
  <c r="AA32" i="65"/>
  <c r="L35" i="65"/>
  <c r="AA37" i="65"/>
  <c r="L32" i="65"/>
  <c r="X41" i="65"/>
  <c r="L40" i="65"/>
  <c r="AA36" i="65"/>
  <c r="L29" i="65"/>
  <c r="L36" i="65"/>
  <c r="AA40" i="65"/>
  <c r="L31" i="65"/>
  <c r="L37" i="65"/>
  <c r="AA29" i="65"/>
  <c r="AA35" i="65"/>
  <c r="AA27" i="65"/>
  <c r="L38" i="65"/>
  <c r="L39" i="65"/>
  <c r="D123" i="88"/>
  <c r="G149" i="88"/>
  <c r="E149" i="88" s="1"/>
  <c r="I32" i="41"/>
  <c r="Z39" i="65"/>
  <c r="Y9" i="65"/>
  <c r="Y18" i="65" s="1"/>
  <c r="B23" i="142"/>
  <c r="B32" i="142" s="1"/>
  <c r="Z28" i="65"/>
  <c r="Z38" i="65"/>
  <c r="S20" i="65"/>
  <c r="S22" i="65" s="1"/>
  <c r="S72" i="83"/>
  <c r="S101" i="83" s="1"/>
  <c r="C32" i="30"/>
  <c r="D32" i="30" s="1"/>
  <c r="H17" i="29"/>
  <c r="D19" i="65"/>
  <c r="D20" i="65" s="1"/>
  <c r="D23" i="65" s="1"/>
  <c r="Q72" i="83"/>
  <c r="Q101" i="83" s="1"/>
  <c r="I12" i="44"/>
  <c r="H32" i="30" s="1"/>
  <c r="G18" i="29"/>
  <c r="J13" i="131" s="1"/>
  <c r="J30" i="131" s="1"/>
  <c r="J31" i="131" s="1"/>
  <c r="J46" i="131" s="1"/>
  <c r="D172" i="88"/>
  <c r="J28" i="65"/>
  <c r="F48" i="123"/>
  <c r="F48" i="130"/>
  <c r="C22" i="65"/>
  <c r="G60" i="83"/>
  <c r="G69" i="83" s="1"/>
  <c r="BC8" i="101" s="1"/>
  <c r="AB72" i="83"/>
  <c r="J46" i="88"/>
  <c r="BC13" i="101"/>
  <c r="BE13" i="101" s="1"/>
  <c r="V97" i="101" s="1"/>
  <c r="V98" i="101" s="1"/>
  <c r="BE14" i="101"/>
  <c r="V100" i="101" s="1"/>
  <c r="V103" i="101" s="1"/>
  <c r="U72" i="83"/>
  <c r="U101" i="83" s="1"/>
  <c r="D19" i="29"/>
  <c r="M72" i="83"/>
  <c r="L72" i="83"/>
  <c r="T72" i="83"/>
  <c r="T101" i="83" s="1"/>
  <c r="BB8" i="101"/>
  <c r="K21" i="129"/>
  <c r="E21" i="129"/>
  <c r="L21" i="129" s="1"/>
  <c r="S74" i="101"/>
  <c r="S75" i="101" s="1"/>
  <c r="BB26" i="101"/>
  <c r="B20" i="29"/>
  <c r="O6" i="65"/>
  <c r="O9" i="65" s="1"/>
  <c r="O18" i="65" s="1"/>
  <c r="G18" i="32"/>
  <c r="G22" i="32" s="1"/>
  <c r="G25" i="32" s="1"/>
  <c r="J34" i="65"/>
  <c r="I41" i="65"/>
  <c r="AE86" i="101"/>
  <c r="G52" i="101"/>
  <c r="AE41" i="101"/>
  <c r="AE45" i="101" s="1"/>
  <c r="BD5" i="101"/>
  <c r="AT86" i="101"/>
  <c r="C60" i="83"/>
  <c r="C69" i="83" s="1"/>
  <c r="AY5" i="101"/>
  <c r="S30" i="65"/>
  <c r="S33" i="65" s="1"/>
  <c r="S42" i="65" s="1"/>
  <c r="T26" i="65"/>
  <c r="H31" i="131"/>
  <c r="D47" i="129"/>
  <c r="G41" i="101"/>
  <c r="BE5" i="101"/>
  <c r="V41" i="101" s="1"/>
  <c r="V45" i="101" s="1"/>
  <c r="D30" i="65"/>
  <c r="D33" i="65" s="1"/>
  <c r="D42" i="65" s="1"/>
  <c r="D44" i="65" s="1"/>
  <c r="E26" i="65"/>
  <c r="F22" i="97"/>
  <c r="F50" i="97" s="1"/>
  <c r="F49" i="97"/>
  <c r="G118" i="88"/>
  <c r="F118" i="88" s="1"/>
  <c r="B119" i="88" s="1"/>
  <c r="B120" i="88" s="1"/>
  <c r="B121" i="88" s="1"/>
  <c r="B122" i="88" s="1"/>
  <c r="H12" i="44"/>
  <c r="G32" i="30" s="1"/>
  <c r="BB14" i="101"/>
  <c r="J47" i="44"/>
  <c r="J12" i="44" s="1"/>
  <c r="L76" i="83"/>
  <c r="L77" i="83" s="1"/>
  <c r="M75" i="83"/>
  <c r="G103" i="101"/>
  <c r="V86" i="101"/>
  <c r="BA6" i="101"/>
  <c r="S44" i="101" s="1"/>
  <c r="D44" i="101"/>
  <c r="AX14" i="101"/>
  <c r="B12" i="44"/>
  <c r="G31" i="30" s="1"/>
  <c r="I31" i="30" s="1"/>
  <c r="E47" i="44"/>
  <c r="E12" i="44" s="1"/>
  <c r="BA14" i="101"/>
  <c r="S100" i="101" s="1"/>
  <c r="D100" i="101"/>
  <c r="AY13" i="101"/>
  <c r="Z34" i="65"/>
  <c r="Y41" i="65"/>
  <c r="C10" i="41"/>
  <c r="C31" i="30" s="1"/>
  <c r="D31" i="30" s="1"/>
  <c r="D39" i="41"/>
  <c r="D10" i="41" s="1"/>
  <c r="BC25" i="101"/>
  <c r="AE73" i="101"/>
  <c r="G86" i="101"/>
  <c r="B21" i="29" l="1"/>
  <c r="B29" i="29"/>
  <c r="B33" i="29" s="1"/>
  <c r="B34" i="29" s="1"/>
  <c r="AB35" i="65"/>
  <c r="M31" i="65"/>
  <c r="M29" i="65"/>
  <c r="AB31" i="65"/>
  <c r="M38" i="65"/>
  <c r="AB29" i="65"/>
  <c r="AB40" i="65"/>
  <c r="M40" i="65"/>
  <c r="M35" i="65"/>
  <c r="AB27" i="65"/>
  <c r="M37" i="65"/>
  <c r="M36" i="65"/>
  <c r="AB32" i="65"/>
  <c r="M32" i="65"/>
  <c r="M39" i="65"/>
  <c r="AB36" i="65"/>
  <c r="AB37" i="65"/>
  <c r="M27" i="65"/>
  <c r="AA28" i="65"/>
  <c r="D149" i="88"/>
  <c r="B149" i="88" s="1"/>
  <c r="B150" i="88" s="1"/>
  <c r="B151" i="88" s="1"/>
  <c r="B152" i="88" s="1"/>
  <c r="B153" i="88" s="1"/>
  <c r="B154" i="88" s="1"/>
  <c r="B155" i="88" s="1"/>
  <c r="B156" i="88" s="1"/>
  <c r="B157" i="88" s="1"/>
  <c r="B158" i="88" s="1"/>
  <c r="B159" i="88" s="1"/>
  <c r="B160" i="88" s="1"/>
  <c r="C161" i="88" s="1"/>
  <c r="C163" i="88" s="1"/>
  <c r="AA38" i="65"/>
  <c r="AA39" i="65"/>
  <c r="B123" i="88"/>
  <c r="B124" i="88" s="1"/>
  <c r="B125" i="88" s="1"/>
  <c r="B126" i="88" s="1"/>
  <c r="B127" i="88" s="1"/>
  <c r="B128" i="88" s="1"/>
  <c r="B129" i="88" s="1"/>
  <c r="B130" i="88" s="1"/>
  <c r="B131" i="88" s="1"/>
  <c r="B132" i="88" s="1"/>
  <c r="B133" i="88" s="1"/>
  <c r="B134" i="88" s="1"/>
  <c r="B135" i="88" s="1"/>
  <c r="B136" i="88" s="1"/>
  <c r="B137" i="88" s="1"/>
  <c r="B138" i="88" s="1"/>
  <c r="C139" i="88" s="1"/>
  <c r="C141" i="88" s="1"/>
  <c r="J42" i="88" s="1"/>
  <c r="K28" i="65"/>
  <c r="S44" i="65"/>
  <c r="S46" i="65" s="1"/>
  <c r="T19" i="65"/>
  <c r="K47" i="129"/>
  <c r="L47" i="129"/>
  <c r="G20" i="29"/>
  <c r="D12" i="137" s="1"/>
  <c r="J39" i="131"/>
  <c r="J45" i="131"/>
  <c r="J40" i="131"/>
  <c r="I32" i="30"/>
  <c r="I18" i="29"/>
  <c r="G170" i="88" s="1"/>
  <c r="E172" i="88"/>
  <c r="D5" i="137"/>
  <c r="D34" i="137" s="1"/>
  <c r="N5" i="88"/>
  <c r="G97" i="101"/>
  <c r="G98" i="101" s="1"/>
  <c r="G105" i="101" s="1"/>
  <c r="G107" i="101" s="1"/>
  <c r="G16" i="101" s="1"/>
  <c r="J16" i="101" s="1"/>
  <c r="V105" i="101"/>
  <c r="V9" i="101" s="1"/>
  <c r="E19" i="65"/>
  <c r="E20" i="65" s="1"/>
  <c r="F19" i="65" s="1"/>
  <c r="F20" i="65" s="1"/>
  <c r="D22" i="65"/>
  <c r="H69" i="83"/>
  <c r="BD8" i="101"/>
  <c r="AT83" i="101" s="1"/>
  <c r="AT87" i="101" s="1"/>
  <c r="AE83" i="101"/>
  <c r="AE87" i="101" s="1"/>
  <c r="BC26" i="101"/>
  <c r="AE74" i="101"/>
  <c r="AE75" i="101" s="1"/>
  <c r="C12" i="137"/>
  <c r="I18" i="32"/>
  <c r="G192" i="88" s="1"/>
  <c r="AE5" i="101"/>
  <c r="AE47" i="101"/>
  <c r="S103" i="101"/>
  <c r="D86" i="101"/>
  <c r="E30" i="65"/>
  <c r="E33" i="65" s="1"/>
  <c r="E42" i="65" s="1"/>
  <c r="E44" i="65" s="1"/>
  <c r="F26" i="65"/>
  <c r="G51" i="101"/>
  <c r="G53" i="101" s="1"/>
  <c r="G59" i="101"/>
  <c r="G65" i="101" s="1"/>
  <c r="BD25" i="101"/>
  <c r="G73" i="101"/>
  <c r="C17" i="29"/>
  <c r="C5" i="137" s="1"/>
  <c r="AA34" i="65"/>
  <c r="Z41" i="65"/>
  <c r="S86" i="101"/>
  <c r="AE100" i="101"/>
  <c r="BB13" i="101"/>
  <c r="BD14" i="101"/>
  <c r="AT100" i="101" s="1"/>
  <c r="D47" i="65"/>
  <c r="D46" i="65"/>
  <c r="K34" i="65"/>
  <c r="J41" i="65"/>
  <c r="H20" i="29"/>
  <c r="H29" i="29" s="1"/>
  <c r="I17" i="29"/>
  <c r="G171" i="88" s="1"/>
  <c r="D97" i="101"/>
  <c r="D98" i="101" s="1"/>
  <c r="D105" i="101" s="1"/>
  <c r="BA13" i="101"/>
  <c r="S97" i="101" s="1"/>
  <c r="S98" i="101" s="1"/>
  <c r="S105" i="101" s="1"/>
  <c r="N75" i="83"/>
  <c r="M76" i="83"/>
  <c r="M77" i="83" s="1"/>
  <c r="T30" i="65"/>
  <c r="T33" i="65" s="1"/>
  <c r="T42" i="65" s="1"/>
  <c r="U26" i="65"/>
  <c r="BE8" i="101"/>
  <c r="V83" i="101" s="1"/>
  <c r="V87" i="101" s="1"/>
  <c r="G83" i="101"/>
  <c r="G87" i="101" s="1"/>
  <c r="D41" i="101"/>
  <c r="D45" i="101" s="1"/>
  <c r="BA5" i="101"/>
  <c r="S41" i="101" s="1"/>
  <c r="AE59" i="101"/>
  <c r="AE65" i="101" s="1"/>
  <c r="AE51" i="101"/>
  <c r="AE52" i="101" s="1"/>
  <c r="AE53" i="101" s="1"/>
  <c r="G45" i="101"/>
  <c r="V47" i="101"/>
  <c r="V12" i="101" s="1"/>
  <c r="V5" i="101"/>
  <c r="D103" i="101"/>
  <c r="AX13" i="101"/>
  <c r="AB97" i="101" s="1"/>
  <c r="AB98" i="101" s="1"/>
  <c r="AZ14" i="101"/>
  <c r="AB100" i="101"/>
  <c r="V59" i="101"/>
  <c r="V65" i="101" s="1"/>
  <c r="V51" i="101"/>
  <c r="H39" i="131"/>
  <c r="E47" i="129"/>
  <c r="H46" i="131"/>
  <c r="H40" i="131"/>
  <c r="H45" i="131"/>
  <c r="V52" i="101"/>
  <c r="AT41" i="101"/>
  <c r="O20" i="65"/>
  <c r="G34" i="32"/>
  <c r="G36" i="32" s="1"/>
  <c r="AC37" i="65" l="1"/>
  <c r="AC27" i="65"/>
  <c r="D19" i="32"/>
  <c r="N31" i="65"/>
  <c r="N27" i="65"/>
  <c r="AC36" i="65"/>
  <c r="N36" i="65"/>
  <c r="N40" i="65"/>
  <c r="AC31" i="65"/>
  <c r="D23" i="32" s="1"/>
  <c r="N39" i="65"/>
  <c r="N37" i="65"/>
  <c r="AC40" i="65"/>
  <c r="D32" i="32" s="1"/>
  <c r="N29" i="65"/>
  <c r="N32" i="65"/>
  <c r="AC29" i="65"/>
  <c r="D21" i="32" s="1"/>
  <c r="AC32" i="65"/>
  <c r="D24" i="32"/>
  <c r="N35" i="65"/>
  <c r="N38" i="65"/>
  <c r="AC35" i="65"/>
  <c r="D27" i="32"/>
  <c r="AB39" i="65"/>
  <c r="AB28" i="65"/>
  <c r="AB38" i="65"/>
  <c r="D141" i="88"/>
  <c r="L28" i="65"/>
  <c r="M28" i="65" s="1"/>
  <c r="D192" i="88"/>
  <c r="E192" i="88"/>
  <c r="E171" i="88"/>
  <c r="T20" i="65"/>
  <c r="T22" i="65" s="1"/>
  <c r="G29" i="29"/>
  <c r="G33" i="29" s="1"/>
  <c r="G169" i="88" s="1"/>
  <c r="I17" i="129"/>
  <c r="B17" i="129" s="1"/>
  <c r="G21" i="29"/>
  <c r="E170" i="88"/>
  <c r="J43" i="88"/>
  <c r="D163" i="88"/>
  <c r="D4" i="137"/>
  <c r="D11" i="137" s="1"/>
  <c r="D13" i="137" s="1"/>
  <c r="D14" i="137" s="1"/>
  <c r="D69" i="137" s="1"/>
  <c r="AY8" i="101"/>
  <c r="D83" i="101" s="1"/>
  <c r="D87" i="101" s="1"/>
  <c r="G9" i="101"/>
  <c r="V107" i="101"/>
  <c r="V16" i="101" s="1"/>
  <c r="X16" i="101" s="1"/>
  <c r="E22" i="65"/>
  <c r="E23" i="65"/>
  <c r="AE77" i="101"/>
  <c r="AE79" i="101" s="1"/>
  <c r="B9" i="29"/>
  <c r="G13" i="30" s="1"/>
  <c r="G74" i="101"/>
  <c r="G75" i="101" s="1"/>
  <c r="G77" i="101" s="1"/>
  <c r="BD26" i="101"/>
  <c r="C34" i="137"/>
  <c r="D187" i="88"/>
  <c r="V53" i="101"/>
  <c r="V55" i="101" s="1"/>
  <c r="V13" i="101" s="1"/>
  <c r="X13" i="101" s="1"/>
  <c r="S107" i="101"/>
  <c r="S16" i="101" s="1"/>
  <c r="W16" i="101" s="1"/>
  <c r="S9" i="101"/>
  <c r="V8" i="101"/>
  <c r="V89" i="101"/>
  <c r="U15" i="101" s="1"/>
  <c r="D47" i="101"/>
  <c r="D12" i="101" s="1"/>
  <c r="D5" i="101"/>
  <c r="X12" i="101"/>
  <c r="S51" i="101"/>
  <c r="S59" i="101"/>
  <c r="S65" i="101" s="1"/>
  <c r="S77" i="101" s="1"/>
  <c r="D107" i="101"/>
  <c r="D16" i="101" s="1"/>
  <c r="H16" i="101" s="1"/>
  <c r="D9" i="101"/>
  <c r="AE97" i="101"/>
  <c r="AE98" i="101" s="1"/>
  <c r="AE105" i="101" s="1"/>
  <c r="BD13" i="101"/>
  <c r="AT97" i="101" s="1"/>
  <c r="AT98" i="101" s="1"/>
  <c r="AT105" i="101" s="1"/>
  <c r="C20" i="29"/>
  <c r="D17" i="29"/>
  <c r="E46" i="65"/>
  <c r="E47" i="65"/>
  <c r="AE8" i="101"/>
  <c r="AE89" i="101"/>
  <c r="AB103" i="101"/>
  <c r="AB105" i="101"/>
  <c r="AE55" i="101"/>
  <c r="AE6" i="101"/>
  <c r="L34" i="65"/>
  <c r="K41" i="65"/>
  <c r="AE103" i="101"/>
  <c r="G186" i="88"/>
  <c r="F186" i="88" s="1"/>
  <c r="G9" i="32"/>
  <c r="U30" i="65"/>
  <c r="U33" i="65" s="1"/>
  <c r="U42" i="65" s="1"/>
  <c r="V26" i="65"/>
  <c r="N76" i="83"/>
  <c r="N77" i="83" s="1"/>
  <c r="O75" i="83"/>
  <c r="G8" i="101"/>
  <c r="G89" i="101"/>
  <c r="F15" i="101" s="1"/>
  <c r="AT103" i="101"/>
  <c r="F30" i="65"/>
  <c r="G26" i="65"/>
  <c r="G19" i="65"/>
  <c r="G20" i="65" s="1"/>
  <c r="F22" i="65"/>
  <c r="F23" i="65"/>
  <c r="G5" i="101"/>
  <c r="G47" i="101"/>
  <c r="G12" i="101" s="1"/>
  <c r="D59" i="101"/>
  <c r="D65" i="101" s="1"/>
  <c r="D77" i="101" s="1"/>
  <c r="D51" i="101"/>
  <c r="AT89" i="101"/>
  <c r="AS15" i="101" s="1"/>
  <c r="AT8" i="101"/>
  <c r="AT51" i="101"/>
  <c r="AT52" i="101" s="1"/>
  <c r="AT53" i="101" s="1"/>
  <c r="AT59" i="101"/>
  <c r="AT65" i="101" s="1"/>
  <c r="AT45" i="101"/>
  <c r="AZ13" i="101"/>
  <c r="AQ97" i="101" s="1"/>
  <c r="AQ98" i="101" s="1"/>
  <c r="AQ100" i="101"/>
  <c r="J22" i="131"/>
  <c r="J33" i="131" s="1"/>
  <c r="H21" i="29"/>
  <c r="I20" i="29"/>
  <c r="G6" i="101"/>
  <c r="G55" i="101"/>
  <c r="G13" i="101" s="1"/>
  <c r="J13" i="101" s="1"/>
  <c r="S45" i="101"/>
  <c r="AA41" i="65"/>
  <c r="AB34" i="65"/>
  <c r="AT73" i="101"/>
  <c r="BE25" i="101"/>
  <c r="V73" i="101" s="1"/>
  <c r="D28" i="32" l="1"/>
  <c r="D29" i="32"/>
  <c r="AC39" i="65"/>
  <c r="D31" i="32" s="1"/>
  <c r="AC38" i="65"/>
  <c r="D30" i="32" s="1"/>
  <c r="D171" i="88"/>
  <c r="F169" i="88"/>
  <c r="U19" i="65"/>
  <c r="T44" i="65"/>
  <c r="T46" i="65" s="1"/>
  <c r="G9" i="29"/>
  <c r="G14" i="30" s="1"/>
  <c r="G34" i="29"/>
  <c r="I20" i="129"/>
  <c r="B20" i="129" s="1"/>
  <c r="N28" i="65"/>
  <c r="D170" i="88"/>
  <c r="L14" i="30"/>
  <c r="G8" i="142"/>
  <c r="D6" i="137"/>
  <c r="D7" i="137" s="1"/>
  <c r="D68" i="137" s="1"/>
  <c r="D17" i="137"/>
  <c r="D31" i="137" s="1"/>
  <c r="D35" i="137" s="1"/>
  <c r="D37" i="137" s="1"/>
  <c r="D71" i="137" s="1"/>
  <c r="F33" i="65"/>
  <c r="F42" i="65" s="1"/>
  <c r="F44" i="65" s="1"/>
  <c r="F47" i="65" s="1"/>
  <c r="BA8" i="101"/>
  <c r="S83" i="101" s="1"/>
  <c r="S87" i="101" s="1"/>
  <c r="S89" i="101" s="1"/>
  <c r="R15" i="101" s="1"/>
  <c r="C4" i="137"/>
  <c r="C11" i="137" s="1"/>
  <c r="C13" i="137" s="1"/>
  <c r="C14" i="137" s="1"/>
  <c r="C69" i="137" s="1"/>
  <c r="E18" i="129" s="1"/>
  <c r="L18" i="129" s="1"/>
  <c r="H22" i="131"/>
  <c r="H33" i="131" s="1"/>
  <c r="AE7" i="101"/>
  <c r="E187" i="88"/>
  <c r="AT74" i="101"/>
  <c r="AT75" i="101" s="1"/>
  <c r="AT77" i="101" s="1"/>
  <c r="BE26" i="101"/>
  <c r="V74" i="101" s="1"/>
  <c r="V75" i="101" s="1"/>
  <c r="V77" i="101" s="1"/>
  <c r="V6" i="101"/>
  <c r="B187" i="88"/>
  <c r="AT6" i="101"/>
  <c r="AT55" i="101"/>
  <c r="AT13" i="101" s="1"/>
  <c r="D7" i="101"/>
  <c r="D79" i="101"/>
  <c r="C14" i="101" s="1"/>
  <c r="O76" i="83"/>
  <c r="O77" i="83" s="1"/>
  <c r="P75" i="83"/>
  <c r="G7" i="101"/>
  <c r="G79" i="101"/>
  <c r="F14" i="101" s="1"/>
  <c r="G14" i="101" s="1"/>
  <c r="J14" i="101" s="1"/>
  <c r="C21" i="29"/>
  <c r="C29" i="29"/>
  <c r="D29" i="29" s="1"/>
  <c r="D20" i="29"/>
  <c r="S79" i="101"/>
  <c r="R14" i="101" s="1"/>
  <c r="S7" i="101"/>
  <c r="S5" i="101"/>
  <c r="S47" i="101"/>
  <c r="S12" i="101" s="1"/>
  <c r="I29" i="29"/>
  <c r="H33" i="29"/>
  <c r="J34" i="131"/>
  <c r="K49" i="129"/>
  <c r="J12" i="101"/>
  <c r="H19" i="65"/>
  <c r="H20" i="65" s="1"/>
  <c r="G22" i="65"/>
  <c r="G23" i="65"/>
  <c r="AT9" i="101"/>
  <c r="AT107" i="101"/>
  <c r="AT16" i="101" s="1"/>
  <c r="M34" i="65"/>
  <c r="L41" i="65"/>
  <c r="AB9" i="101"/>
  <c r="AB107" i="101"/>
  <c r="AB16" i="101" s="1"/>
  <c r="AF16" i="101" s="1"/>
  <c r="D8" i="101"/>
  <c r="D89" i="101"/>
  <c r="C15" i="101" s="1"/>
  <c r="AT5" i="101"/>
  <c r="AT47" i="101"/>
  <c r="AT12" i="101" s="1"/>
  <c r="G30" i="65"/>
  <c r="G33" i="65" s="1"/>
  <c r="G42" i="65" s="1"/>
  <c r="G44" i="65" s="1"/>
  <c r="H26" i="65"/>
  <c r="V30" i="65"/>
  <c r="V33" i="65" s="1"/>
  <c r="V42" i="65" s="1"/>
  <c r="W26" i="65"/>
  <c r="AE9" i="101"/>
  <c r="AE107" i="101"/>
  <c r="AC34" i="65"/>
  <c r="AB41" i="65"/>
  <c r="AQ105" i="101"/>
  <c r="AQ103" i="101"/>
  <c r="H12" i="101"/>
  <c r="C17" i="137" l="1"/>
  <c r="C33" i="29"/>
  <c r="B170" i="88"/>
  <c r="B171" i="88" s="1"/>
  <c r="B172" i="88" s="1"/>
  <c r="B173" i="88" s="1"/>
  <c r="B174" i="88" s="1"/>
  <c r="B175" i="88" s="1"/>
  <c r="B176" i="88" s="1"/>
  <c r="B177" i="88" s="1"/>
  <c r="C178" i="88" s="1"/>
  <c r="C180" i="88" s="1"/>
  <c r="U20" i="65"/>
  <c r="H9" i="29"/>
  <c r="H14" i="30" s="1"/>
  <c r="I14" i="30" s="1"/>
  <c r="F46" i="65"/>
  <c r="D25" i="137"/>
  <c r="D27" i="137" s="1"/>
  <c r="D70" i="137" s="1"/>
  <c r="D78" i="137" s="1"/>
  <c r="S8" i="101"/>
  <c r="C6" i="137"/>
  <c r="C7" i="137" s="1"/>
  <c r="C68" i="137" s="1"/>
  <c r="D18" i="129"/>
  <c r="K18" i="129" s="1"/>
  <c r="B188" i="88"/>
  <c r="AC41" i="65"/>
  <c r="V7" i="101"/>
  <c r="V79" i="101"/>
  <c r="U14" i="101" s="1"/>
  <c r="V14" i="101" s="1"/>
  <c r="X14" i="101" s="1"/>
  <c r="C31" i="137"/>
  <c r="C35" i="137" s="1"/>
  <c r="C25" i="137"/>
  <c r="S14" i="101"/>
  <c r="W14" i="101" s="1"/>
  <c r="G22" i="101"/>
  <c r="AQ107" i="101"/>
  <c r="AQ16" i="101" s="1"/>
  <c r="AU16" i="101" s="1"/>
  <c r="AQ9" i="101"/>
  <c r="N34" i="65"/>
  <c r="M41" i="65"/>
  <c r="D14" i="101"/>
  <c r="W12" i="101"/>
  <c r="R32" i="84"/>
  <c r="AT7" i="101"/>
  <c r="AT79" i="101"/>
  <c r="AS14" i="101" s="1"/>
  <c r="AT14" i="101" s="1"/>
  <c r="AT21" i="101" s="1"/>
  <c r="H30" i="65"/>
  <c r="H33" i="65" s="1"/>
  <c r="H42" i="65" s="1"/>
  <c r="H44" i="65" s="1"/>
  <c r="I26" i="65"/>
  <c r="G21" i="101"/>
  <c r="J47" i="131"/>
  <c r="J42" i="131"/>
  <c r="L49" i="129"/>
  <c r="J41" i="131"/>
  <c r="J48" i="131"/>
  <c r="J36" i="131"/>
  <c r="L51" i="129" s="1"/>
  <c r="D49" i="129"/>
  <c r="H34" i="131"/>
  <c r="P76" i="83"/>
  <c r="P77" i="83" s="1"/>
  <c r="Q75" i="83"/>
  <c r="W30" i="65"/>
  <c r="W33" i="65" s="1"/>
  <c r="W42" i="65" s="1"/>
  <c r="X26" i="65"/>
  <c r="H23" i="65"/>
  <c r="I19" i="65"/>
  <c r="I20" i="65" s="1"/>
  <c r="H22" i="65"/>
  <c r="C33" i="32"/>
  <c r="G46" i="65"/>
  <c r="G47" i="65"/>
  <c r="G18" i="101"/>
  <c r="H34" i="29"/>
  <c r="I33" i="29"/>
  <c r="I9" i="29" s="1"/>
  <c r="U44" i="65" l="1"/>
  <c r="U46" i="65" s="1"/>
  <c r="U22" i="65"/>
  <c r="V19" i="65"/>
  <c r="D73" i="137"/>
  <c r="D77" i="137"/>
  <c r="D17" i="129"/>
  <c r="K17" i="129" s="1"/>
  <c r="J44" i="88"/>
  <c r="D180" i="88"/>
  <c r="N41" i="65"/>
  <c r="V21" i="101"/>
  <c r="V22" i="101"/>
  <c r="V18" i="101"/>
  <c r="C37" i="137"/>
  <c r="C71" i="137" s="1"/>
  <c r="E20" i="129" s="1"/>
  <c r="L20" i="129" s="1"/>
  <c r="D20" i="129"/>
  <c r="K20" i="129" s="1"/>
  <c r="C27" i="137"/>
  <c r="C70" i="137" s="1"/>
  <c r="E19" i="129" s="1"/>
  <c r="L19" i="129" s="1"/>
  <c r="D19" i="129"/>
  <c r="K19" i="129" s="1"/>
  <c r="E17" i="129"/>
  <c r="L17" i="129" s="1"/>
  <c r="AT18" i="101"/>
  <c r="AT22" i="101"/>
  <c r="I22" i="65"/>
  <c r="J19" i="65"/>
  <c r="J20" i="65" s="1"/>
  <c r="I23" i="65"/>
  <c r="Q76" i="83"/>
  <c r="Q77" i="83" s="1"/>
  <c r="R75" i="83"/>
  <c r="X30" i="65"/>
  <c r="X33" i="65" s="1"/>
  <c r="X42" i="65" s="1"/>
  <c r="Y26" i="65"/>
  <c r="H48" i="131"/>
  <c r="H41" i="131"/>
  <c r="H47" i="131"/>
  <c r="H42" i="131"/>
  <c r="E49" i="129"/>
  <c r="H36" i="131"/>
  <c r="E51" i="129" s="1"/>
  <c r="G19" i="101"/>
  <c r="H46" i="65"/>
  <c r="H47" i="65"/>
  <c r="C34" i="29"/>
  <c r="C9" i="29"/>
  <c r="H13" i="30" s="1"/>
  <c r="D33" i="29"/>
  <c r="D9" i="29" s="1"/>
  <c r="I30" i="65"/>
  <c r="I33" i="65" s="1"/>
  <c r="I42" i="65" s="1"/>
  <c r="I44" i="65" s="1"/>
  <c r="J26" i="65"/>
  <c r="H14" i="101"/>
  <c r="I13" i="30" l="1"/>
  <c r="V20" i="65"/>
  <c r="V22" i="65" s="1"/>
  <c r="D75" i="137"/>
  <c r="C77" i="137"/>
  <c r="B33" i="32"/>
  <c r="D33" i="32" s="1"/>
  <c r="D26" i="32"/>
  <c r="C78" i="137"/>
  <c r="V19" i="101"/>
  <c r="C73" i="137"/>
  <c r="E22" i="129" s="1"/>
  <c r="L22" i="129" s="1"/>
  <c r="AT19" i="101"/>
  <c r="J22" i="65"/>
  <c r="J23" i="65"/>
  <c r="K19" i="65"/>
  <c r="K20" i="65" s="1"/>
  <c r="Y30" i="65"/>
  <c r="Y33" i="65" s="1"/>
  <c r="Y42" i="65" s="1"/>
  <c r="Z26" i="65"/>
  <c r="R76" i="83"/>
  <c r="R77" i="83" s="1"/>
  <c r="S75" i="83"/>
  <c r="I46" i="65"/>
  <c r="I47" i="65"/>
  <c r="J30" i="65"/>
  <c r="J33" i="65" s="1"/>
  <c r="J42" i="65" s="1"/>
  <c r="J44" i="65" s="1"/>
  <c r="K26" i="65"/>
  <c r="V44" i="65" l="1"/>
  <c r="V46" i="65" s="1"/>
  <c r="W19" i="65"/>
  <c r="C75" i="137"/>
  <c r="E23" i="129" s="1"/>
  <c r="D9" i="129" s="1"/>
  <c r="Z30" i="65"/>
  <c r="Z33" i="65" s="1"/>
  <c r="Z42" i="65" s="1"/>
  <c r="AA26" i="65"/>
  <c r="T75" i="83"/>
  <c r="S76" i="83"/>
  <c r="S77" i="83" s="1"/>
  <c r="K22" i="65"/>
  <c r="K23" i="65"/>
  <c r="L19" i="65"/>
  <c r="L20" i="65" s="1"/>
  <c r="K30" i="65"/>
  <c r="K33" i="65" s="1"/>
  <c r="K42" i="65" s="1"/>
  <c r="K44" i="65" s="1"/>
  <c r="L26" i="65"/>
  <c r="J46" i="65"/>
  <c r="J47" i="65"/>
  <c r="W20" i="65" l="1"/>
  <c r="X19" i="65" s="1"/>
  <c r="L23" i="129"/>
  <c r="K9" i="129" s="1"/>
  <c r="K47" i="65"/>
  <c r="K46" i="65"/>
  <c r="M19" i="65"/>
  <c r="M20" i="65" s="1"/>
  <c r="L23" i="65"/>
  <c r="L22" i="65"/>
  <c r="U75" i="83"/>
  <c r="U76" i="83" s="1"/>
  <c r="U77" i="83" s="1"/>
  <c r="T76" i="83"/>
  <c r="T77" i="83" s="1"/>
  <c r="AA30" i="65"/>
  <c r="AA33" i="65" s="1"/>
  <c r="AA42" i="65" s="1"/>
  <c r="AB26" i="65"/>
  <c r="L30" i="65"/>
  <c r="L33" i="65" s="1"/>
  <c r="L42" i="65" s="1"/>
  <c r="L44" i="65" s="1"/>
  <c r="M26" i="65"/>
  <c r="X20" i="65" l="1"/>
  <c r="X44" i="65" s="1"/>
  <c r="X46" i="65" s="1"/>
  <c r="W22" i="65"/>
  <c r="W44" i="65"/>
  <c r="W46" i="65" s="1"/>
  <c r="AB30" i="65"/>
  <c r="AB33" i="65" s="1"/>
  <c r="AB42" i="65" s="1"/>
  <c r="AC26" i="65"/>
  <c r="M30" i="65"/>
  <c r="M33" i="65" s="1"/>
  <c r="M42" i="65" s="1"/>
  <c r="M44" i="65" s="1"/>
  <c r="N26" i="65"/>
  <c r="B22" i="32" s="1"/>
  <c r="M23" i="65"/>
  <c r="N19" i="65"/>
  <c r="N20" i="65" s="1"/>
  <c r="M22" i="65"/>
  <c r="L46" i="65"/>
  <c r="L47" i="65"/>
  <c r="X22" i="65" l="1"/>
  <c r="Y19" i="65"/>
  <c r="N30" i="65"/>
  <c r="N33" i="65" s="1"/>
  <c r="N42" i="65" s="1"/>
  <c r="N44" i="65" s="1"/>
  <c r="N47" i="65" s="1"/>
  <c r="B25" i="32"/>
  <c r="B34" i="32" s="1"/>
  <c r="B36" i="32" s="1"/>
  <c r="B9" i="32" s="1"/>
  <c r="M47" i="65"/>
  <c r="M46" i="65"/>
  <c r="P20" i="65"/>
  <c r="N22" i="65"/>
  <c r="N23" i="65"/>
  <c r="Y20" i="65" l="1"/>
  <c r="Y22" i="65" s="1"/>
  <c r="L13" i="30"/>
  <c r="B8" i="142"/>
  <c r="N46" i="65"/>
  <c r="D18" i="32"/>
  <c r="Z19" i="65" l="1"/>
  <c r="Y44" i="65"/>
  <c r="Y46" i="65" s="1"/>
  <c r="AC28" i="65"/>
  <c r="AD6" i="65"/>
  <c r="AD9" i="65" s="1"/>
  <c r="AD18" i="65" s="1"/>
  <c r="AC6" i="65"/>
  <c r="Z20" i="65" l="1"/>
  <c r="AA19" i="65" s="1"/>
  <c r="AC9" i="65"/>
  <c r="AC18" i="65" s="1"/>
  <c r="G23" i="142"/>
  <c r="G32" i="142" s="1"/>
  <c r="AC30" i="65"/>
  <c r="AC33" i="65" s="1"/>
  <c r="AC42" i="65" s="1"/>
  <c r="AD20" i="65"/>
  <c r="H34" i="32"/>
  <c r="H20" i="32"/>
  <c r="AA20" i="65" l="1"/>
  <c r="AA22" i="65" s="1"/>
  <c r="Z22" i="65"/>
  <c r="Z44" i="65"/>
  <c r="Z46" i="65" s="1"/>
  <c r="D20" i="32"/>
  <c r="D22" i="32" s="1"/>
  <c r="C22" i="32"/>
  <c r="C25" i="32" s="1"/>
  <c r="I20" i="32"/>
  <c r="H22" i="32"/>
  <c r="H25" i="32" s="1"/>
  <c r="I25" i="32" s="1"/>
  <c r="H36" i="32"/>
  <c r="AB19" i="65" l="1"/>
  <c r="AA44" i="65"/>
  <c r="AA46" i="65" s="1"/>
  <c r="I36" i="32"/>
  <c r="I9" i="32" s="1"/>
  <c r="C34" i="32"/>
  <c r="D25" i="32"/>
  <c r="I22" i="32"/>
  <c r="G189" i="88"/>
  <c r="H9" i="32"/>
  <c r="M14" i="30" s="1"/>
  <c r="AB20" i="65" l="1"/>
  <c r="AB44" i="65" s="1"/>
  <c r="AB46" i="65" s="1"/>
  <c r="N14" i="30"/>
  <c r="H8" i="142"/>
  <c r="I8" i="142" s="1"/>
  <c r="D34" i="32"/>
  <c r="C36" i="32"/>
  <c r="E189" i="88"/>
  <c r="D189" i="88"/>
  <c r="B189" i="88" s="1"/>
  <c r="AB22" i="65" l="1"/>
  <c r="AC19" i="65"/>
  <c r="B190" i="88"/>
  <c r="B191" i="88" s="1"/>
  <c r="B192" i="88" s="1"/>
  <c r="B193" i="88" s="1"/>
  <c r="B194" i="88" s="1"/>
  <c r="B195" i="88" s="1"/>
  <c r="B196" i="88" s="1"/>
  <c r="B197" i="88" s="1"/>
  <c r="B198" i="88" s="1"/>
  <c r="B199" i="88" s="1"/>
  <c r="C200" i="88" s="1"/>
  <c r="C202" i="88" s="1"/>
  <c r="D202" i="88" s="1"/>
  <c r="D36" i="32"/>
  <c r="D9" i="32" s="1"/>
  <c r="C9" i="32"/>
  <c r="D15" i="74"/>
  <c r="E11" i="74"/>
  <c r="E15" i="74" s="1"/>
  <c r="AC20" i="65" l="1"/>
  <c r="AC44" i="65" s="1"/>
  <c r="AC46" i="65" s="1"/>
  <c r="B34" i="142"/>
  <c r="M13" i="30"/>
  <c r="N13" i="30" s="1"/>
  <c r="J45" i="88"/>
  <c r="M23" i="74"/>
  <c r="M26" i="74" s="1"/>
  <c r="D34" i="74" s="1"/>
  <c r="D39" i="74" s="1"/>
  <c r="AC22" i="65" l="1"/>
  <c r="AE20" i="65"/>
  <c r="C8" i="142"/>
  <c r="D8" i="142" s="1"/>
  <c r="C33" i="142"/>
  <c r="C34" i="142" s="1"/>
  <c r="D33" i="142" s="1"/>
  <c r="D34" i="142" s="1"/>
  <c r="E33" i="142" s="1"/>
  <c r="E34" i="142" s="1"/>
  <c r="F33" i="142" s="1"/>
  <c r="F34" i="142" s="1"/>
  <c r="G33" i="142" s="1"/>
  <c r="G34" i="142" s="1"/>
  <c r="H33" i="142" s="1"/>
  <c r="H34" i="142" s="1"/>
  <c r="I33" i="142" s="1"/>
  <c r="I34" i="142" s="1"/>
  <c r="J33" i="142" s="1"/>
  <c r="J34" i="142" s="1"/>
  <c r="K33" i="142" s="1"/>
  <c r="K34" i="142" s="1"/>
  <c r="L33" i="142" s="1"/>
  <c r="L23" i="74"/>
  <c r="N23" i="74"/>
  <c r="L34" i="142" l="1"/>
  <c r="L24" i="74"/>
  <c r="M33" i="142" l="1"/>
  <c r="M34" i="142" s="1"/>
  <c r="N24" i="74"/>
  <c r="N26" i="74" s="1"/>
  <c r="S24" i="74"/>
  <c r="S26" i="74" s="1"/>
  <c r="L26" i="74"/>
  <c r="C34" i="74" s="1"/>
  <c r="C39" i="74" s="1"/>
  <c r="L31" i="30" l="1"/>
  <c r="N31" i="30" s="1"/>
  <c r="L32" i="30" l="1"/>
  <c r="N32" i="30" s="1"/>
  <c r="B23" i="83" l="1"/>
  <c r="B53" i="83" s="1"/>
  <c r="AX6" i="101" l="1"/>
  <c r="AB44" i="101" s="1"/>
  <c r="AB86" i="101" s="1"/>
  <c r="B60" i="83"/>
  <c r="B69" i="83" s="1"/>
  <c r="AX5" i="101"/>
  <c r="AZ6" i="101" l="1"/>
  <c r="AQ44" i="101" s="1"/>
  <c r="AQ86" i="101" s="1"/>
  <c r="D69" i="83"/>
  <c r="AX8" i="101"/>
  <c r="AB41" i="101"/>
  <c r="AZ5" i="101"/>
  <c r="D52" i="101"/>
  <c r="D53" i="101" s="1"/>
  <c r="AQ41" i="101" l="1"/>
  <c r="S52" i="101"/>
  <c r="S53" i="101" s="1"/>
  <c r="AZ8" i="101"/>
  <c r="AQ83" i="101" s="1"/>
  <c r="AQ87" i="101" s="1"/>
  <c r="AB83" i="101"/>
  <c r="AB87" i="101" s="1"/>
  <c r="AB59" i="101"/>
  <c r="AB65" i="101" s="1"/>
  <c r="AB77" i="101" s="1"/>
  <c r="AB51" i="101"/>
  <c r="AB52" i="101" s="1"/>
  <c r="AB53" i="101" s="1"/>
  <c r="AB45" i="101"/>
  <c r="D55" i="101"/>
  <c r="D13" i="101" s="1"/>
  <c r="D6" i="101"/>
  <c r="AB6" i="101" l="1"/>
  <c r="AB55" i="101"/>
  <c r="AB13" i="101" s="1"/>
  <c r="AF13" i="101" s="1"/>
  <c r="S6" i="101"/>
  <c r="S55" i="101"/>
  <c r="S13" i="101" s="1"/>
  <c r="AB79" i="101"/>
  <c r="AA14" i="101" s="1"/>
  <c r="AB7" i="101"/>
  <c r="AQ59" i="101"/>
  <c r="AQ65" i="101" s="1"/>
  <c r="AQ77" i="101" s="1"/>
  <c r="AQ51" i="101"/>
  <c r="AQ52" i="101" s="1"/>
  <c r="AQ53" i="101" s="1"/>
  <c r="AQ45" i="101"/>
  <c r="H13" i="101"/>
  <c r="D18" i="101"/>
  <c r="D22" i="101"/>
  <c r="D21" i="101"/>
  <c r="AB8" i="101"/>
  <c r="AB89" i="101"/>
  <c r="AA15" i="101" s="1"/>
  <c r="AB5" i="101"/>
  <c r="AB47" i="101"/>
  <c r="AB12" i="101" s="1"/>
  <c r="AQ89" i="101"/>
  <c r="AP15" i="101" s="1"/>
  <c r="AQ8" i="101"/>
  <c r="D19" i="101" l="1"/>
  <c r="D9" i="20" s="1"/>
  <c r="AB14" i="101"/>
  <c r="AF14" i="101" s="1"/>
  <c r="AF12" i="101"/>
  <c r="AQ5" i="101"/>
  <c r="AQ47" i="101"/>
  <c r="AQ12" i="101" s="1"/>
  <c r="AQ6" i="101"/>
  <c r="AQ55" i="101"/>
  <c r="AQ13" i="101" s="1"/>
  <c r="AU13" i="101" s="1"/>
  <c r="S21" i="101"/>
  <c r="S22" i="101"/>
  <c r="W13" i="101"/>
  <c r="S18" i="101"/>
  <c r="AQ7" i="101"/>
  <c r="AQ79" i="101"/>
  <c r="AP14" i="101" s="1"/>
  <c r="AQ14" i="101" s="1"/>
  <c r="AU14" i="101" s="1"/>
  <c r="AB18" i="101" l="1"/>
  <c r="AB21" i="101"/>
  <c r="AB22" i="101"/>
  <c r="AQ22" i="101"/>
  <c r="AQ21" i="101"/>
  <c r="AQ18" i="101"/>
  <c r="AU12" i="101"/>
  <c r="S19" i="101"/>
  <c r="AB19" i="101" l="1"/>
  <c r="AQ19" i="101"/>
</calcChain>
</file>

<file path=xl/comments1.xml><?xml version="1.0" encoding="utf-8"?>
<comments xmlns="http://schemas.openxmlformats.org/spreadsheetml/2006/main">
  <authors>
    <author>rrukavina</author>
  </authors>
  <commentList>
    <comment ref="B68" authorId="0">
      <text>
        <r>
          <rPr>
            <b/>
            <sz val="8"/>
            <color indexed="81"/>
            <rFont val="Tahoma"/>
            <family val="2"/>
          </rPr>
          <t>rrukavina:</t>
        </r>
        <r>
          <rPr>
            <sz val="8"/>
            <color indexed="81"/>
            <rFont val="Tahoma"/>
            <family val="2"/>
          </rPr>
          <t xml:space="preserve">
Balance Sheet PFI &amp; Finance Leases</t>
        </r>
      </text>
    </comment>
    <comment ref="L68" authorId="0">
      <text>
        <r>
          <rPr>
            <b/>
            <sz val="8"/>
            <color indexed="81"/>
            <rFont val="Tahoma"/>
            <family val="2"/>
          </rPr>
          <t>rrukavina:</t>
        </r>
        <r>
          <rPr>
            <sz val="8"/>
            <color indexed="81"/>
            <rFont val="Tahoma"/>
            <family val="2"/>
          </rPr>
          <t xml:space="preserve">
Balance Sheet PFI &amp; Finance Leases</t>
        </r>
      </text>
    </comment>
    <comment ref="AJ68" authorId="0">
      <text>
        <r>
          <rPr>
            <b/>
            <sz val="8"/>
            <color indexed="81"/>
            <rFont val="Tahoma"/>
            <family val="2"/>
          </rPr>
          <t>rrukavina:</t>
        </r>
        <r>
          <rPr>
            <sz val="8"/>
            <color indexed="81"/>
            <rFont val="Tahoma"/>
            <family val="2"/>
          </rPr>
          <t xml:space="preserve">
Balance Sheet PFI &amp; Finance Leases</t>
        </r>
      </text>
    </comment>
    <comment ref="B73" authorId="0">
      <text>
        <r>
          <rPr>
            <b/>
            <sz val="8"/>
            <color indexed="81"/>
            <rFont val="Tahoma"/>
            <family val="2"/>
          </rPr>
          <t>rrukavina:</t>
        </r>
        <r>
          <rPr>
            <sz val="8"/>
            <color indexed="81"/>
            <rFont val="Tahoma"/>
            <family val="2"/>
          </rPr>
          <t xml:space="preserve">
Balance Sheet PFI &amp; Finance Leases</t>
        </r>
      </text>
    </comment>
    <comment ref="L73" authorId="0">
      <text>
        <r>
          <rPr>
            <b/>
            <sz val="8"/>
            <color indexed="81"/>
            <rFont val="Tahoma"/>
            <family val="2"/>
          </rPr>
          <t>rrukavina:</t>
        </r>
        <r>
          <rPr>
            <sz val="8"/>
            <color indexed="81"/>
            <rFont val="Tahoma"/>
            <family val="2"/>
          </rPr>
          <t xml:space="preserve">
Balance Sheet PFI &amp; Finance Leases</t>
        </r>
      </text>
    </comment>
    <comment ref="AJ73" authorId="0">
      <text>
        <r>
          <rPr>
            <b/>
            <sz val="8"/>
            <color indexed="81"/>
            <rFont val="Tahoma"/>
            <family val="2"/>
          </rPr>
          <t>rrukavina:</t>
        </r>
        <r>
          <rPr>
            <sz val="8"/>
            <color indexed="81"/>
            <rFont val="Tahoma"/>
            <family val="2"/>
          </rPr>
          <t xml:space="preserve">
Balance Sheet PFI &amp; Finance Leases</t>
        </r>
      </text>
    </comment>
    <comment ref="K115" authorId="0">
      <text>
        <r>
          <rPr>
            <b/>
            <sz val="8"/>
            <color indexed="81"/>
            <rFont val="Tahoma"/>
            <family val="2"/>
          </rPr>
          <t>rrukavina:</t>
        </r>
        <r>
          <rPr>
            <sz val="8"/>
            <color indexed="81"/>
            <rFont val="Tahoma"/>
            <family val="2"/>
          </rPr>
          <t xml:space="preserve">
&gt;3 per guidance but for ease of calculation included 3.0001
</t>
        </r>
      </text>
    </comment>
    <comment ref="AI115" authorId="0">
      <text>
        <r>
          <rPr>
            <b/>
            <sz val="8"/>
            <color indexed="81"/>
            <rFont val="Tahoma"/>
            <family val="2"/>
          </rPr>
          <t>rrukavina:</t>
        </r>
        <r>
          <rPr>
            <sz val="8"/>
            <color indexed="81"/>
            <rFont val="Tahoma"/>
            <family val="2"/>
          </rPr>
          <t xml:space="preserve">
&gt;3 per guidance but for ease of calculation included 3.0001
</t>
        </r>
      </text>
    </comment>
  </commentList>
</comments>
</file>

<file path=xl/sharedStrings.xml><?xml version="1.0" encoding="utf-8"?>
<sst xmlns="http://schemas.openxmlformats.org/spreadsheetml/2006/main" count="4983" uniqueCount="1406">
  <si>
    <t>Contract Monitoring is reported to the Board a month in arrears due to the external reporting timetable.  A reconciliation to the Income reported in the Financial Position is included below (table 3).</t>
  </si>
  <si>
    <t>Efficiency Plan Total</t>
  </si>
  <si>
    <t>Risks</t>
  </si>
  <si>
    <t>Summary</t>
  </si>
  <si>
    <t>Year to Date</t>
  </si>
  <si>
    <t>Cash</t>
  </si>
  <si>
    <t>Risk</t>
  </si>
  <si>
    <t>Full Year</t>
  </si>
  <si>
    <t>Non-Pay</t>
  </si>
  <si>
    <t xml:space="preserve">Interest Payable </t>
  </si>
  <si>
    <t>Interest Receivable</t>
  </si>
  <si>
    <t>Net (Surplus) / Deficit</t>
  </si>
  <si>
    <t>Reverse Impairment</t>
  </si>
  <si>
    <t>Reverse IFRS technical charge</t>
  </si>
  <si>
    <t>Performance against Control Total</t>
  </si>
  <si>
    <t> NHS Trusts</t>
  </si>
  <si>
    <t> Other  NHS</t>
  </si>
  <si>
    <t> Private Patients</t>
  </si>
  <si>
    <t> Other Non-NHS</t>
  </si>
  <si>
    <t>Income From Activities</t>
  </si>
  <si>
    <t>Disposal of Fixed Assets</t>
  </si>
  <si>
    <t>Interest</t>
  </si>
  <si>
    <t>Investment</t>
  </si>
  <si>
    <t> Transfers from Donated Asset Reserve</t>
  </si>
  <si>
    <t> Income Generation </t>
  </si>
  <si>
    <t> Other Income</t>
  </si>
  <si>
    <t>Other Operating Income</t>
  </si>
  <si>
    <t> Total Income</t>
  </si>
  <si>
    <t>Year to Date £k</t>
  </si>
  <si>
    <t>Year End Forecast £k</t>
  </si>
  <si>
    <t>R</t>
  </si>
  <si>
    <t>G</t>
  </si>
  <si>
    <t>A</t>
  </si>
  <si>
    <t>Strategic Capital</t>
  </si>
  <si>
    <t>Operational Capital</t>
  </si>
  <si>
    <t>Trading</t>
  </si>
  <si>
    <t>Cash £k</t>
  </si>
  <si>
    <t>Income £k</t>
  </si>
  <si>
    <t>Capital £k</t>
  </si>
  <si>
    <t>Contract Performance</t>
  </si>
  <si>
    <t>Var: Act v Bud</t>
  </si>
  <si>
    <t>Surplus %</t>
  </si>
  <si>
    <t>EBITDA *</t>
  </si>
  <si>
    <t xml:space="preserve">This report is a summary of key variances to the contracted levels of activity, the associated income and other contract performance issues which have a financial implications.  It compares ‘actual’ reported activity levels to the planned volumes specified by commissioners in the contract(s) by point of delivery &amp; commissioner. The month 3 position and variance to YTD contractual value is reported in the tables below.  </t>
  </si>
  <si>
    <t xml:space="preserve">In addition, the phasing of the Commissioners plans and specifically the 'demand management' aspects, the impact of which are likely to be back loaded in their activity profiles has yet to be submitted to the Trust. It is likely that CCGs will want some of their plans ‘back- ended’ into the final quarters of the year and this will affect the value of reported YTD variance against the plan going forward. </t>
  </si>
  <si>
    <t>It should be noted that there is currently a planning difference of around £6.7m between the Trusts assessment of the impact of CCG 'demand managment' plans and the commissioners.  This planning gap is consistent with the risks recognised by commissioners as part of the contract discussions and will be closely monitored during the year.  The Board should note that the significant amendments to national PbR rules, mandated activity currencies, risk shares and associated revised pricing which have been incorporated into our monitoring are currently being systematically reconciled with commisissioners. These are complex technical changes and the formal validation process is intended to be concluded as part of the quarter 1 reconciliation process.  It is therefore likely that adjustments to a number of contract areas may follow this and the application of both contract penalties and CQUIN values which are evaluated quarterly.</t>
  </si>
  <si>
    <t>In summary, and within the context of the above caveats and prior to a Q1 reconciliation with the Sussex Commissioning Support Unit, the Trust is reporting an aggregated over-performance of £9.6m against the consolidated commissioning plans of both local CCGs and NHS England.  However, the Trust plans include contract variations and did not reflect demand management schemes in full. Therefore the estimated over-performance against the Trust plan for July is £2.4m.</t>
  </si>
  <si>
    <t>2) YTD Report - based on month 3 contract monitoring data</t>
  </si>
  <si>
    <r>
      <t>* EBITDA</t>
    </r>
    <r>
      <rPr>
        <sz val="8"/>
        <rFont val="Arial"/>
        <family val="2"/>
      </rPr>
      <t xml:space="preserve"> Earnings before Interest Taxation Depreciation and Amortisation</t>
    </r>
  </si>
  <si>
    <t>Cash Balance</t>
  </si>
  <si>
    <t>Total Income</t>
  </si>
  <si>
    <t>Operational Costs</t>
  </si>
  <si>
    <t>Position</t>
  </si>
  <si>
    <t>The Trust has delivered its planned EBITDA.</t>
  </si>
  <si>
    <t>Clinical Commissioning Groups Reported Income YTD June -  as reported in Income Section</t>
  </si>
  <si>
    <t>Non Contracted Activity</t>
  </si>
  <si>
    <t>NHS CRAWLEY CCG</t>
  </si>
  <si>
    <t>NHS HASTINGS AND ROTHER CCG</t>
  </si>
  <si>
    <t>NHS EASTBOURNE, HAILSHAM AND SEAFORD CCG</t>
  </si>
  <si>
    <t>NHS COASTAL WEST SUSSEX CCG</t>
  </si>
  <si>
    <t>NHS HIGH WEALD LEWES HAVENS CCG</t>
  </si>
  <si>
    <t>Performance due to some slow NHS payments, in particular over-performance and NCA invoices. This is under constant review.</t>
  </si>
  <si>
    <t>Estimated Values for YTD Oct</t>
  </si>
  <si>
    <t>CCG Income Mth 08</t>
  </si>
  <si>
    <t xml:space="preserve">NEED </t>
  </si>
  <si>
    <t>TO ADD</t>
  </si>
  <si>
    <t>DON’T THINK THIS IS USED FOR ANYTHING</t>
  </si>
  <si>
    <t>Summary by CCG and NHS England</t>
  </si>
  <si>
    <t>Based Upon 5mths to August 2013</t>
  </si>
  <si>
    <t>SUSSEX CCGs and NHS ENGLAND (including SOTC &amp; CQUIN)</t>
  </si>
  <si>
    <t>PUBLIC HEALTH ENGLAND</t>
  </si>
  <si>
    <t>NHS ENGLAND ( adjusted for  FYE £3.7m QUIPP schemes)</t>
  </si>
  <si>
    <t>NHS England - Average overpeformance per month</t>
  </si>
  <si>
    <t>As used for Marie Farrell Meeting and MS FOT spreadsheet</t>
  </si>
  <si>
    <t>All Activity - CCG &amp; NCB Combined</t>
  </si>
  <si>
    <t>Data Type 2</t>
  </si>
  <si>
    <t>YTD Plan Value</t>
  </si>
  <si>
    <t>Full Year Plan</t>
  </si>
  <si>
    <t>Volume</t>
  </si>
  <si>
    <r>
      <rPr>
        <b/>
        <sz val="10"/>
        <rFont val="Arial"/>
        <family val="2"/>
      </rPr>
      <t>NB : Variances are reported against the Commissioned plan</t>
    </r>
    <r>
      <rPr>
        <b/>
        <i/>
        <sz val="10"/>
        <rFont val="Arial"/>
        <family val="2"/>
      </rPr>
      <t>s - prior to adjustments</t>
    </r>
  </si>
  <si>
    <t>004202 - PCT Income - Non Activity Recuring</t>
  </si>
  <si>
    <t>004203 - Distinction Award Income</t>
  </si>
  <si>
    <t>004206 - PCT Income - Non Activity Non Recuring</t>
  </si>
  <si>
    <t>004212 - PCT Income from Activities Recurring</t>
  </si>
  <si>
    <t>0012000 - Anaesthetics (RSCH,TH,0 Beds)</t>
  </si>
  <si>
    <t>0016008 - Digestive Diseases Pact (RSCH,TH,0 Beds)</t>
  </si>
  <si>
    <t>0016105 - ENT</t>
  </si>
  <si>
    <t>0016400 - Oral Surgery (RSCH,TH,0 Beds)</t>
  </si>
  <si>
    <t>0018507 - Ophthalmology</t>
  </si>
  <si>
    <t>0016707 - Vascular  Pact (RSCH,CNS,0 Beds)</t>
  </si>
  <si>
    <t>0013102 - A&amp;E Medical Staff</t>
  </si>
  <si>
    <t>0013217 - Rapid Access Medical Unit (PRH,OP,0 Beds)</t>
  </si>
  <si>
    <t>0012101 - Critical Care Medical Staff</t>
  </si>
  <si>
    <t>0018300 - Dermatology Medical Staff</t>
  </si>
  <si>
    <t>0014301 - D&amp;E Medical Staff</t>
  </si>
  <si>
    <t>0014112 - Elderly Medicine</t>
  </si>
  <si>
    <t>0022900 - Occupational Therapy</t>
  </si>
  <si>
    <t>0014007 - Respiratory Medicine Medical Staffing</t>
  </si>
  <si>
    <t>0018519 - SRC Specialing Costs</t>
  </si>
  <si>
    <t>0014000 - Stroke (ALL,CNS, 0 Beds)</t>
  </si>
  <si>
    <t>0014204 - Ardingly (PRH,IW,28 Beds)</t>
  </si>
  <si>
    <t>0014208 - Solomon/Donald Hall Wards (RSCH,IW,23 Beds)</t>
  </si>
  <si>
    <t>0017022 - West Sussex Family History Service (RSCH,OP,0 Beds)</t>
  </si>
  <si>
    <t>0011001 - Oncology</t>
  </si>
  <si>
    <t>0011100 - Macmillan Nurses (RSCH, CNS, 0 beds)</t>
  </si>
  <si>
    <t>0015109 - Cardiac Medical Staff</t>
  </si>
  <si>
    <t>0015200 - HIV-GUM Medical Staffing (RSCH,OTH,0 Beds)</t>
  </si>
  <si>
    <t>0022200 - Senior Medical Staff Imaging</t>
  </si>
  <si>
    <t>0022631 - Laboratory Haemotology (RSCH,OTH,0 Beds)</t>
  </si>
  <si>
    <t>0022650 - Microbiology RSCH</t>
  </si>
  <si>
    <t>0022690 - Biochemistry RSCH</t>
  </si>
  <si>
    <t>0015404 - Renal PACT</t>
  </si>
  <si>
    <t>0015407 - Renal Transplants (OPD) (RSCH, CNS, 0 Beds)</t>
  </si>
  <si>
    <t>0017403 - O/G Medical Staff RSCH</t>
  </si>
  <si>
    <t>0017523 - RACH Surgical Services</t>
  </si>
  <si>
    <t>0015301 - Medical Staff Neurosurgery</t>
  </si>
  <si>
    <t>0015305 - Nursing Management (PRH,MGT,0 Beds)</t>
  </si>
  <si>
    <t>0032107 - Business and Administration Support</t>
  </si>
  <si>
    <t>0062000 - KSS - Dental Deans</t>
  </si>
  <si>
    <t>0065000 - KSS - Pharmacy Administration</t>
  </si>
  <si>
    <t>0041003 - Financing Costs</t>
  </si>
  <si>
    <t>0042001 - Income Other</t>
  </si>
  <si>
    <t>0042100 - Distinction Awards</t>
  </si>
  <si>
    <t>0035012 - Occupational Health</t>
  </si>
  <si>
    <t>0035031 - PGMC Library Brighton</t>
  </si>
  <si>
    <t>0043000 - Reserves</t>
  </si>
  <si>
    <t>0042007 - TTT Support</t>
  </si>
  <si>
    <t>Forecast vs BasePlan</t>
  </si>
  <si>
    <t>0013204 - Acute Medicine Medical Staff</t>
  </si>
  <si>
    <t>0014303 - D&amp;E Nursing (ALL,CNS, 0 Beds)</t>
  </si>
  <si>
    <t>0013000 - Medicine Division Management (ALL,MGT, 0 Beds)</t>
  </si>
  <si>
    <t>0022700 - RSCH Pharmacy</t>
  </si>
  <si>
    <t>0022705 - Drugs Trading Account</t>
  </si>
  <si>
    <t>0018400 - Rheumatology</t>
  </si>
  <si>
    <t>0018517 - SRC Nursing - Lindfield Ward (PRH,IW,21 Beds)</t>
  </si>
  <si>
    <t>0018518 - SRC Nursing - Newtimber Ward (PRH,IW,18 Beds)</t>
  </si>
  <si>
    <t>0017105 - Financial Planning - Breast Services</t>
  </si>
  <si>
    <t>0011104 - Haematology Unit (RSCH,DW,0 Beds)</t>
  </si>
  <si>
    <t>0015203 - Claude Nicole Centre (RSCH,OP,0 Beds)</t>
  </si>
  <si>
    <t>0015207 - Preston Road Service</t>
  </si>
  <si>
    <t>0015210 - HIV - Drugs (Including Home Delivery)</t>
  </si>
  <si>
    <t>0015211 - Financial Planning HIV/GUM</t>
  </si>
  <si>
    <t>0022662 - Pathology IT</t>
  </si>
  <si>
    <t>0049027 - Pathology</t>
  </si>
  <si>
    <t>0017300 - TMBU (RAH,IW,27 Beds)</t>
  </si>
  <si>
    <t>0017502 - RACH Administration</t>
  </si>
  <si>
    <t>0017507 - RACH HDU/PICU (RAH,IW,10 Beds)</t>
  </si>
  <si>
    <t>0017514 - RACH Medical Services</t>
  </si>
  <si>
    <t>0017550 - Financial Planning Paediatrics</t>
  </si>
  <si>
    <t>0015300 - Neurology - Medical Staffing</t>
  </si>
  <si>
    <t>0062003 - KSS - Dental VT</t>
  </si>
  <si>
    <t>0062006 - KSS - Dental Educators</t>
  </si>
  <si>
    <t>0063301 - KSS - Appraisal Dev Centre Income</t>
  </si>
  <si>
    <t>0064000 - KSS - Library and Knowledge Services</t>
  </si>
  <si>
    <t>0042000 - Contract Inc Health Contracts</t>
  </si>
  <si>
    <t>0042014 - Contract Income Commissioned</t>
  </si>
  <si>
    <t>Activity Income Invoiced to Local Authority ( GUM)</t>
  </si>
  <si>
    <t>NHS HORSHAM AND MID SUSSEX CCG</t>
  </si>
  <si>
    <t>NHS BRIGHTON AND HOVE CCG</t>
  </si>
  <si>
    <t xml:space="preserve"> FYE Plan</t>
  </si>
  <si>
    <t>£'000</t>
  </si>
  <si>
    <t>Activity Volumes</t>
  </si>
  <si>
    <t>Statement of Financial Position</t>
  </si>
  <si>
    <t>Opening Cash Balance</t>
  </si>
  <si>
    <t>Closing Cash Balance</t>
  </si>
  <si>
    <t>Non Cash I&amp;E Items</t>
  </si>
  <si>
    <t>Movement in Working Capital</t>
  </si>
  <si>
    <t>Provisions</t>
  </si>
  <si>
    <t>Cashflow from Operations</t>
  </si>
  <si>
    <t>Cash receipt from asset sales</t>
  </si>
  <si>
    <t>Cashflow before financing</t>
  </si>
  <si>
    <t>PDC Received</t>
  </si>
  <si>
    <t>PDC Repaid</t>
  </si>
  <si>
    <t>Dividends Paid</t>
  </si>
  <si>
    <t>Interest on Loans and leases</t>
  </si>
  <si>
    <t>Interest received</t>
  </si>
  <si>
    <t>Drawdown on debt</t>
  </si>
  <si>
    <t>Repayment of debt</t>
  </si>
  <si>
    <t>Cashflow from financing</t>
  </si>
  <si>
    <t>Net Cash Inflow / (Outflow)</t>
  </si>
  <si>
    <t>Other Income</t>
  </si>
  <si>
    <t> Management</t>
  </si>
  <si>
    <t> Medical and Dental Staff</t>
  </si>
  <si>
    <t> Nursing &amp; Midwifery</t>
  </si>
  <si>
    <t> Other Healthcare</t>
  </si>
  <si>
    <t>NB: Variances are reported against the BSUH original planned Income Levels</t>
  </si>
  <si>
    <t>All Datatypes - SOTC Total</t>
  </si>
  <si>
    <t>Specialist Comm Code</t>
  </si>
  <si>
    <t>(All)</t>
  </si>
  <si>
    <t>As per James Roper Spreadsheet</t>
  </si>
  <si>
    <t>Sub Total - CCGs</t>
  </si>
  <si>
    <t>NHS England - Specialised (Sussex Element Only)</t>
  </si>
  <si>
    <t>NHS England - Screening</t>
  </si>
  <si>
    <t>NHS England - Secondary Dental</t>
  </si>
  <si>
    <t>NHS England - Specialised (Non-Sussex)</t>
  </si>
  <si>
    <t>NHS England -Public Health</t>
  </si>
  <si>
    <t>NHS England - OOKP</t>
  </si>
  <si>
    <t>Local Authority - Public Health</t>
  </si>
  <si>
    <t>Revised Plan</t>
  </si>
  <si>
    <t>Revised Actuals</t>
  </si>
  <si>
    <t>Month 10</t>
  </si>
  <si>
    <t>Chief Finance Officer appointed January 2014</t>
  </si>
  <si>
    <t>FRR 3 in qtrs 1 - 3</t>
  </si>
  <si>
    <t>Less Internal Brokerage</t>
  </si>
  <si>
    <t> Administrative &amp; Clerical</t>
  </si>
  <si>
    <t> Ancillary Staff</t>
  </si>
  <si>
    <t> Maintenance Staff</t>
  </si>
  <si>
    <t>Capital Investment Loan Carried Forward</t>
  </si>
  <si>
    <t> Other Staff</t>
  </si>
  <si>
    <t> Total Pay</t>
  </si>
  <si>
    <t>Total Expenditure</t>
  </si>
  <si>
    <t> Total Non-Pay</t>
  </si>
  <si>
    <t>Cost Improvement Plans £k</t>
  </si>
  <si>
    <t>Operating Costs £k</t>
  </si>
  <si>
    <t>Operating Costs</t>
  </si>
  <si>
    <t>Budget</t>
  </si>
  <si>
    <t>Risk Rating</t>
  </si>
  <si>
    <t>Source of Funds</t>
  </si>
  <si>
    <t>Total Funding (CRL)</t>
  </si>
  <si>
    <t>Cumulative Month Plan</t>
  </si>
  <si>
    <t xml:space="preserve">Cost improvement programmes which have not yet been finalised are reported within other non-pay, which contributes towards a forecast reduction in non-pay. The most significant variance relates to the expenditure reduction associated with the original local health economy commissioning plans. </t>
  </si>
  <si>
    <t>Year End</t>
  </si>
  <si>
    <t>£750k of the favourable year to date variance for Education &amp; Training expenditure relates to the phasing of SIFT expenditure.  Other non-pay includes £372k of redundancy costs.</t>
  </si>
  <si>
    <t>Cumulative Month Actual/Forecast</t>
  </si>
  <si>
    <t>Overall Rating</t>
  </si>
  <si>
    <t>Brighton and Sussex University Hospitals NHS Trust</t>
  </si>
  <si>
    <t>Org code - RXH, Region Code - Y57, HA Code - Qxx, Period - 2013/2014P03</t>
  </si>
  <si>
    <t>Org Code: RXH</t>
  </si>
  <si>
    <t>CPID - 1175, WkBkName - 1314TRU54_MI_P03, WkBkID - 1510517</t>
  </si>
  <si>
    <t>Period: Financial Data 2013/14 Quarter 1</t>
  </si>
  <si>
    <t>TRU 54</t>
  </si>
  <si>
    <t>Calcs</t>
  </si>
  <si>
    <t>Financial Risk Ratings</t>
  </si>
  <si>
    <t>Financial Metric</t>
  </si>
  <si>
    <t>Sub</t>
  </si>
  <si>
    <t>2012/13 Full Year Accounts</t>
  </si>
  <si>
    <t>Current Year to Date</t>
  </si>
  <si>
    <t>Forecast Outturn</t>
  </si>
  <si>
    <t>hh</t>
  </si>
  <si>
    <t>Code</t>
  </si>
  <si>
    <t>(mc 01)</t>
  </si>
  <si>
    <t>(mc 02)</t>
  </si>
  <si>
    <t>(mc 03)</t>
  </si>
  <si>
    <t>(mc 04)</t>
  </si>
  <si>
    <t>(mc 05)</t>
  </si>
  <si>
    <t>(mc 06)</t>
  </si>
  <si>
    <t>(mc 07)</t>
  </si>
  <si>
    <t>£000s</t>
  </si>
  <si>
    <t>EBITDA YTD from SoCI</t>
  </si>
  <si>
    <t>Underlying</t>
  </si>
  <si>
    <t>Operating Income YTD from SoCI</t>
  </si>
  <si>
    <t>Performance</t>
  </si>
  <si>
    <t>EBITDA Margin metric %</t>
  </si>
  <si>
    <t>EBITDA Margin rating</t>
  </si>
  <si>
    <t>&lt;1%</t>
  </si>
  <si>
    <t>Actual EBITDA from SoCI</t>
  </si>
  <si>
    <t>Planned EBITDA (original plan or assessment figure)</t>
  </si>
  <si>
    <t>EBITDA % of plan achieved metric</t>
  </si>
  <si>
    <t>EBITDA % of plan achieved rating</t>
  </si>
  <si>
    <t>&lt;50%</t>
  </si>
  <si>
    <t>Net return after financing costs, YTD from SoCI</t>
  </si>
  <si>
    <t>Opening Financing</t>
  </si>
  <si>
    <t>Return on Capital</t>
  </si>
  <si>
    <t>Closing Financing</t>
  </si>
  <si>
    <t>Return net after financing</t>
  </si>
  <si>
    <t>Net return after Financing Metric (%)</t>
  </si>
  <si>
    <t>Net return after financing rating</t>
  </si>
  <si>
    <t>&lt; -5%</t>
  </si>
  <si>
    <t>Surplus YTD from SoCI</t>
  </si>
  <si>
    <t>Profit (loss) on asset disposals from SoCI</t>
  </si>
  <si>
    <t>I &amp; R (Impairments &amp; restructuring) expenses YTD from SoCI</t>
  </si>
  <si>
    <t>Operating Income YTD from IS</t>
  </si>
  <si>
    <t>Surplus Margin</t>
  </si>
  <si>
    <t>I&amp;E Surplus Margin Metric (%)</t>
  </si>
  <si>
    <t>I&amp;E Surplus margin rating</t>
  </si>
  <si>
    <t>Overall Financial Efficiency rating</t>
  </si>
  <si>
    <t>&lt; -2%</t>
  </si>
  <si>
    <t>Net liquid Assets (net working capital less stock)</t>
  </si>
  <si>
    <t>Operating expenditure (TRU 01 sc 100 &amp; 110)</t>
  </si>
  <si>
    <t>Notional Working Capital Facility (WCF)</t>
  </si>
  <si>
    <t>WCF in terms of Operating Expenditure YTD</t>
  </si>
  <si>
    <t>Liquidity days metric (WCF limited to 30 days)</t>
  </si>
  <si>
    <t>Liquidity metric</t>
  </si>
  <si>
    <t>Liquidity rating</t>
  </si>
  <si>
    <t>Overall Financial Risk</t>
  </si>
  <si>
    <t>Weighted Average Rating</t>
  </si>
  <si>
    <t>Ratings</t>
  </si>
  <si>
    <t>Limit due to overriding rules</t>
  </si>
  <si>
    <t>Financial Risk Rating For Trust</t>
  </si>
  <si>
    <t>Liquidity Ratio (days)</t>
  </si>
  <si>
    <t>Working Capital Balance</t>
  </si>
  <si>
    <t>Annual Operating Expenses</t>
  </si>
  <si>
    <t>Liquidity Ratio Days</t>
  </si>
  <si>
    <t>Liquidity Ratio Metric</t>
  </si>
  <si>
    <t>&lt;-12</t>
  </si>
  <si>
    <t>Capital Servicing Capacity (times)</t>
  </si>
  <si>
    <t>Revenue Available for Debt Service</t>
  </si>
  <si>
    <t>Annual Debt Service</t>
  </si>
  <si>
    <t>Capital Servicing capacity</t>
  </si>
  <si>
    <t>Capital Servicing Capacity metric</t>
  </si>
  <si>
    <t>&lt;1.25</t>
  </si>
  <si>
    <t>Continuity of Services Rating</t>
  </si>
  <si>
    <t>Continuity of Services Rating for Trust</t>
  </si>
  <si>
    <t>Limit</t>
  </si>
  <si>
    <t>Rule</t>
  </si>
  <si>
    <t>Return submitted on time</t>
  </si>
  <si>
    <t/>
  </si>
  <si>
    <t>Return submitted complete and correct</t>
  </si>
  <si>
    <t>Overriding rules</t>
  </si>
  <si>
    <t>PDC dividend paid in full</t>
  </si>
  <si>
    <t>Lowest ranked metric a 1?</t>
  </si>
  <si>
    <t>One financial criteria 1 or 2</t>
  </si>
  <si>
    <t>Two financial criteria 1 or 2</t>
  </si>
  <si>
    <t>Two financial criteria at 1</t>
  </si>
  <si>
    <t>Other Financial Risk Indicators</t>
  </si>
  <si>
    <t>Response</t>
  </si>
  <si>
    <t>Please indicate True or False to the following statements:</t>
  </si>
  <si>
    <t>1) Unplanned decrease in (quarterly) EBITDA margin in two consecutive quarters</t>
  </si>
  <si>
    <t>2) Planned FRR 2 (or less) for any one quarter in 2013/14</t>
  </si>
  <si>
    <t>3) Two or more changes in Finance Director in a twelve month period</t>
  </si>
  <si>
    <t>4) Interim Finance Director in place over more than one quarter end</t>
  </si>
  <si>
    <t>5) Quarter end cash balances &lt; 10 days of (annualised) operating expenses</t>
  </si>
  <si>
    <t>6) Capital expenditure &lt; 85% of plan for the year to date</t>
  </si>
  <si>
    <t>7) Capital expenditure &gt; 115% of plan for the year to date</t>
  </si>
  <si>
    <t>Please provide numeric responses to the following questions:</t>
  </si>
  <si>
    <t>1) How many interim (voting) Directors were there on your Board at completion of return ?</t>
  </si>
  <si>
    <t>2) How many acting (voting) Directors were there on your Board at completion of return ?</t>
  </si>
  <si>
    <t>3) How many of the following posts are interim or acting or both (Chair, CEO, Finance Director, Medical Director) at completion of return</t>
  </si>
  <si>
    <t>4) How many changes in Finance Director have you had in the twelve month period to the completion of return</t>
  </si>
  <si>
    <t>Overriding rules working</t>
  </si>
  <si>
    <t>Metrics</t>
  </si>
  <si>
    <t>Liquid Ratio</t>
  </si>
  <si>
    <t>Lowest</t>
  </si>
  <si>
    <t>Numbers</t>
  </si>
  <si>
    <t>Number of 1</t>
  </si>
  <si>
    <t>Number of 2</t>
  </si>
  <si>
    <t xml:space="preserve">The Trust is reporting an overall Financial risk rating of '2'  for the year to date this is in line with plan. The normalised position has now reached a '3' and the year-end normalised position will also be a 3.   The normalised position excludes the pass-through payment for KSS Deanery which has been agreed with the Trust Development Authority  (TDA) after a review of the methodology for the FRR calculations. </t>
  </si>
  <si>
    <t xml:space="preserve">The Trust is reporting an overall Financial risk rating of '3'  for the year, this is in line with plan. The normalised position has now reached a '3' and the year-end normalised position will also be a 3. The normalised position excludes the pass-through payment for KSS Deanery which has been agreed with the Trust Development Authority  (TDA) after a review of the methodology for the FRR calculations. </t>
  </si>
  <si>
    <t>Contract Monitoring is reported to the Board 1 month in arrears due to the external reporting timetable.  A reconciliation to the Income reported in the Financial Position is included below (table 3).</t>
  </si>
  <si>
    <t>Table 1. Total Financial Values By CCG (before disaggregation for Specialist Contract  &amp; Contract Adjustments)</t>
  </si>
  <si>
    <t>Contract Penalties  / Adjustments (Estimated)</t>
  </si>
  <si>
    <r>
      <rPr>
        <b/>
        <sz val="10"/>
        <rFont val="Arial"/>
        <family val="2"/>
      </rPr>
      <t>1) Context</t>
    </r>
    <r>
      <rPr>
        <sz val="10"/>
        <rFont val="Arial"/>
        <family val="2"/>
      </rPr>
      <t xml:space="preserve">
A number of significant local and national changes to the commissioning and contracting environment have affected the 2013/14 contract. These include the following:
• The disaggregation of Sussex PCTs and the formation of 7 local Sussex CCGs 
• The formation of the National Commissioning Board (NCB) and the disaggregation of the commissioning of ‘Specialist’ and ‘Public Health activity from the remit of CCGs resulting in 2 seperate NHS Standard Contracts with a consolidated value of around £360m (xcluding CQUIN at 2.5% and the value of the Sussex Orthopaedic Treatment Centre).
• Material changes to some aspects of PbR e.g. the unbundling of imaging from outpatient attendance tariffs) and pathway payments for some conditions
• The application of the 12/13 Sussex wide review of ‘non’ PbR prices and the resulting changes to many BSUH ‘local prices’ 
• Increasing mandated contract penalties and the application of PbR rules such as non payment for (some) re-admissions and marginal payment rates for emergency activity over a set baseline</t>
    </r>
  </si>
  <si>
    <t xml:space="preserve">                                            </t>
  </si>
  <si>
    <t>CRL</t>
  </si>
  <si>
    <t>Less Op-Strat Transfer</t>
  </si>
  <si>
    <t>Application of Funds</t>
  </si>
  <si>
    <t>3TS</t>
  </si>
  <si>
    <t>Decant</t>
  </si>
  <si>
    <t>St Marys</t>
  </si>
  <si>
    <t xml:space="preserve">3rd Cardiac Theatre </t>
  </si>
  <si>
    <t>Strategic Capital £k</t>
  </si>
  <si>
    <t>Total 3Ts</t>
  </si>
  <si>
    <t>IM&amp;T Infrastructure</t>
  </si>
  <si>
    <t>Indicators of Forward Financial Risk</t>
  </si>
  <si>
    <t>Liquidity Ratio - Days</t>
  </si>
  <si>
    <t>Number of Indicators Breached</t>
  </si>
  <si>
    <t>Quarter end cash balance &lt;10 days of operating expenses or &lt;£4m</t>
  </si>
  <si>
    <t xml:space="preserve">Interim Finance Director in place over more than one quarter-end </t>
  </si>
  <si>
    <t>A&amp;E</t>
  </si>
  <si>
    <t>Neurosciences</t>
  </si>
  <si>
    <t>Unallocated Savings Plans</t>
  </si>
  <si>
    <t>SURGERY</t>
  </si>
  <si>
    <t>Additional CRL</t>
  </si>
  <si>
    <t>Performance on indicators of forward financial risk reflects operational financial performance.</t>
  </si>
  <si>
    <t>Back Office</t>
  </si>
  <si>
    <t>The I&amp;E Surplus Margin is less than plan at '2'.</t>
  </si>
  <si>
    <t>Interim Chief Finance Officer in place up to December 2013.</t>
  </si>
  <si>
    <t xml:space="preserve">Trust financial performance is adverse to plan and operational performance is currently highlighting significant cost pressures. </t>
  </si>
  <si>
    <t>Trust cannot proceed with capital schemes</t>
  </si>
  <si>
    <t>Medical Workforce</t>
  </si>
  <si>
    <t>Quarterly self-certification by Trust that the financial risk rating (FRR) may be less than 3 in the next 12 months</t>
  </si>
  <si>
    <t xml:space="preserve">. </t>
  </si>
  <si>
    <t>NHS Trusts Income</t>
  </si>
  <si>
    <t>Other NHS Income</t>
  </si>
  <si>
    <t>Other Patient Related Income</t>
  </si>
  <si>
    <t>Income from Activities</t>
  </si>
  <si>
    <t>Education, Training &amp; Research</t>
  </si>
  <si>
    <t>Pay - Management</t>
  </si>
  <si>
    <t>Medical and Dental Staff</t>
  </si>
  <si>
    <t>Pay Other Healthcare</t>
  </si>
  <si>
    <t>Administrative &amp; Clerical</t>
  </si>
  <si>
    <t>Pay - Other Staff</t>
  </si>
  <si>
    <t>TOTAL PAY</t>
  </si>
  <si>
    <t>Services from Other NHS Bodies</t>
  </si>
  <si>
    <t>EBITDA FRR Rating</t>
  </si>
  <si>
    <t>NEUROSCIENCES</t>
  </si>
  <si>
    <t>CCG's</t>
  </si>
  <si>
    <t>CCG Service Level Agreements</t>
  </si>
  <si>
    <t>Profit/Loss on dis</t>
  </si>
  <si>
    <t>SEC SHA RISK RATINGS - 2012-13</t>
  </si>
  <si>
    <t>- Donated Asset Adjustment (Income only)</t>
  </si>
  <si>
    <t>Supplies and Services - Clinical</t>
  </si>
  <si>
    <t>Supplies and Services General</t>
  </si>
  <si>
    <t>Establishment Expenses</t>
  </si>
  <si>
    <t>Transport Expenses</t>
  </si>
  <si>
    <t>Education and Training</t>
  </si>
  <si>
    <t>Other Non Pay</t>
  </si>
  <si>
    <t>TOTAL NON-PAY</t>
  </si>
  <si>
    <t>TOTAL EXPENDITURE</t>
  </si>
  <si>
    <t>Profit / Loss on Disposal of Fixed Assets</t>
  </si>
  <si>
    <t> Health Education for Kent, Surrey and Sussex</t>
  </si>
  <si>
    <t xml:space="preserve"> Clinical Commissioning Groups</t>
  </si>
  <si>
    <t>Negotiations with slow paying Trusts have reduced the over 90 days debts and attention will continue to be focused on these Trusts.</t>
  </si>
  <si>
    <t>Net Return after Financing %</t>
  </si>
  <si>
    <r>
      <rPr>
        <b/>
        <sz val="10"/>
        <rFont val="Arial"/>
        <family val="2"/>
      </rPr>
      <t>1) Context</t>
    </r>
    <r>
      <rPr>
        <sz val="10"/>
        <rFont val="Arial"/>
        <family val="2"/>
      </rPr>
      <t xml:space="preserve">
A number of significant local and national changes to the commissioning and contracting environment have affected the 2013/14 contract. These include the following:
• The disaggregation of Sussex PCTs and the formation of 7 local Sussex CCGs 
• The formation of the National Commissioning Board (NCB) and the disaggregation of the commissioning of ‘Specialist’ and ‘Public Health activity from the remit of CCGs resulting in 2 seperate NHS Standard Contracts with a consolidated value of around £360m (excluding CQUIN at 2.5% and the value of the Sussex Orthopaedic Treatment Centre).
• Material changes to some aspects of PbR (e.g. the unbundling of imaging from outpatient attendance tariffs) and pathway payments for some conditions
• The application of the 12/13 Sussex wide review of ‘non’ PbR prices and the resulting changes to many BSUH ‘local prices’ 
• Increasing mandated contract penalties and the application of PbR rules such as non payment for (some) re-admissions and marginal payment rates for emergency activity over a set baseline</t>
    </r>
  </si>
  <si>
    <t>Est. YTD June</t>
  </si>
  <si>
    <t>Table 2.  Month 2 by Point of Delivery - excludes SOTC (unadjusted)</t>
  </si>
  <si>
    <t>NB : Variances are reported against the Commissioned plans</t>
  </si>
  <si>
    <t>NB: Variances are reported against BSUH Planned Income Levels</t>
  </si>
  <si>
    <t>Estimated Values for Quarter 1</t>
  </si>
  <si>
    <t>MTC</t>
  </si>
  <si>
    <t>TOTAL NON OPERATING INC &amp; EXP</t>
  </si>
  <si>
    <t>Net Surplus / (Deficit)</t>
  </si>
  <si>
    <t>BasePlan</t>
  </si>
  <si>
    <t>Var: Act v Bud</t>
  </si>
  <si>
    <t> </t>
  </si>
  <si>
    <t>Forecast Actuals</t>
  </si>
  <si>
    <t>Forecast Variance</t>
  </si>
  <si>
    <t>Expenditure less than planned YTD.</t>
  </si>
  <si>
    <t>YearTotal</t>
  </si>
  <si>
    <t>Apr</t>
  </si>
  <si>
    <t>May</t>
  </si>
  <si>
    <t>Jun</t>
  </si>
  <si>
    <t>Jul</t>
  </si>
  <si>
    <t>Aug</t>
  </si>
  <si>
    <t>Sep</t>
  </si>
  <si>
    <t>Oct</t>
  </si>
  <si>
    <t>Nov</t>
  </si>
  <si>
    <t>Dec</t>
  </si>
  <si>
    <t>Jan</t>
  </si>
  <si>
    <t>Feb</t>
  </si>
  <si>
    <t>Mar</t>
  </si>
  <si>
    <t>£000</t>
  </si>
  <si>
    <t>TOTAL INCOME</t>
  </si>
  <si>
    <t>Trading Radiology</t>
  </si>
  <si>
    <t>Trading Pathology</t>
  </si>
  <si>
    <t>TOTAL TRADING ACCOUNTS</t>
  </si>
  <si>
    <t>CCGS</t>
  </si>
  <si>
    <t>TOTAL INCOME &amp; EXPENDITURE</t>
  </si>
  <si>
    <t>Trading Theatres</t>
  </si>
  <si>
    <t>Q1</t>
  </si>
  <si>
    <t>Q2</t>
  </si>
  <si>
    <t>Q3</t>
  </si>
  <si>
    <t>Q4</t>
  </si>
  <si>
    <t>%</t>
  </si>
  <si>
    <t>Forecast to Budget Variance</t>
  </si>
  <si>
    <t>Total Clinical Divisions</t>
  </si>
  <si>
    <t>Total Corporate Functions</t>
  </si>
  <si>
    <t>In Month Plan</t>
  </si>
  <si>
    <t>TDA Plan ( based upon NHS reported Performance, ie excluding IFRS adjustments and Impairments)</t>
  </si>
  <si>
    <t>2013/14</t>
  </si>
  <si>
    <t>Capital Investment Loan New</t>
  </si>
  <si>
    <t>Overall</t>
  </si>
  <si>
    <t>Data for Rolling Trend Graphs</t>
  </si>
  <si>
    <t>Data for Waterfall Graphs</t>
  </si>
  <si>
    <t>Close scrutiny of Debtors to secure payment and review capital programme.</t>
  </si>
  <si>
    <t>Facilities</t>
  </si>
  <si>
    <t>Numbers (generally) feed through from the workings to the detail to the summary.</t>
  </si>
  <si>
    <t>Summary page and header coloured borders and ratings are manually adjusted.</t>
  </si>
  <si>
    <t>Inputs are in yellow</t>
  </si>
  <si>
    <t>Specialty Performance</t>
  </si>
  <si>
    <t>This is the year to date position for May broken down by Specialty.</t>
  </si>
  <si>
    <t>Specialty</t>
  </si>
  <si>
    <t>Surgery - Anaesthetics</t>
  </si>
  <si>
    <t>Medicine - Unscheduled Care</t>
  </si>
  <si>
    <t>Specialist - Breast Care Services</t>
  </si>
  <si>
    <t>Expenditure</t>
  </si>
  <si>
    <t>TOTAL I&amp;E</t>
  </si>
  <si>
    <t>Surgery - Audiology</t>
  </si>
  <si>
    <t>Medicine - Acute Medicine</t>
  </si>
  <si>
    <t>Specialist - Breast Screening</t>
  </si>
  <si>
    <t>Surgery - Bowel Screening</t>
  </si>
  <si>
    <t>Medicine - Critical Care</t>
  </si>
  <si>
    <t>Specialist - Cancer Services</t>
  </si>
  <si>
    <t>Surgery - Day Surgery and Pre Op Assessment</t>
  </si>
  <si>
    <t>Medicine - Dermatology</t>
  </si>
  <si>
    <t>Specialist - Cardiac Services</t>
  </si>
  <si>
    <t>Surgery - Digestive Diseases</t>
  </si>
  <si>
    <t>Medicine - Diabetes &amp; Endocrinology</t>
  </si>
  <si>
    <t>Specialist - HIV/GUM</t>
  </si>
  <si>
    <t>Surgery - ENT</t>
  </si>
  <si>
    <t>Medicine - Dietetics</t>
  </si>
  <si>
    <t>Specialist - Imaging/Nuclear Medicine</t>
  </si>
  <si>
    <t>Surgery - Management</t>
  </si>
  <si>
    <t>Medicine - Elderly Medicine</t>
  </si>
  <si>
    <t>Specialist - Services Management</t>
  </si>
  <si>
    <t>Surgery - Medical Photography</t>
  </si>
  <si>
    <t>Medicine - General Medicine</t>
  </si>
  <si>
    <t>Specialist - Medical Physics</t>
  </si>
  <si>
    <t>Surgery - OMFS</t>
  </si>
  <si>
    <t>Medicine - Management</t>
  </si>
  <si>
    <t>Specialist - Pathology</t>
  </si>
  <si>
    <t>Surgery - Operating Theatres</t>
  </si>
  <si>
    <t>Medicine - Occupational Therapy</t>
  </si>
  <si>
    <t>Specialist - Renal Services</t>
  </si>
  <si>
    <t>Surgery - Ophthalmology</t>
  </si>
  <si>
    <t>Medicine - Outpatient Services</t>
  </si>
  <si>
    <t>Surgery - Pain Medicine</t>
  </si>
  <si>
    <t>Medicine - Pharmacy</t>
  </si>
  <si>
    <t>Women &amp; Children - Gynaecology</t>
  </si>
  <si>
    <t>Surgery - Physiotherapy</t>
  </si>
  <si>
    <t>Medicine - Respiratory Medicine</t>
  </si>
  <si>
    <t>Women &amp; Children - Obstetrics</t>
  </si>
  <si>
    <t>Surgery - Sterile Services</t>
  </si>
  <si>
    <t>Medicine - Rheumatology</t>
  </si>
  <si>
    <t>Women &amp; Children - Neonatology</t>
  </si>
  <si>
    <t>Surgery - Trauma &amp; Orthopaedics</t>
  </si>
  <si>
    <t>Medicine - Stroke</t>
  </si>
  <si>
    <t>Women &amp; Children - Paediatrics</t>
  </si>
  <si>
    <t>Surgery - Urology</t>
  </si>
  <si>
    <t>Medicine - Sussex Rehab Centre</t>
  </si>
  <si>
    <t>Women &amp; Children - Management</t>
  </si>
  <si>
    <t>Surgery - Vascular Surgery</t>
  </si>
  <si>
    <t>Neurosciences - Neurology</t>
  </si>
  <si>
    <t>NON OPERATING I&amp;E</t>
  </si>
  <si>
    <t>Neurosciences - Neuroservices</t>
  </si>
  <si>
    <t>Neurosciences - Neurosurgery</t>
  </si>
  <si>
    <t xml:space="preserve"> Clinical Commissioning Groups - Patient Activity</t>
  </si>
  <si>
    <t xml:space="preserve"> Clinical Commissioning Groups - non Activity</t>
  </si>
  <si>
    <t> Clinical Commissioning Groups - Patient Activity</t>
  </si>
  <si>
    <t xml:space="preserve"> YTD Plan</t>
  </si>
  <si>
    <t xml:space="preserve"> YTD Actual</t>
  </si>
  <si>
    <t xml:space="preserve"> YTD Var</t>
  </si>
  <si>
    <t>Daycases</t>
  </si>
  <si>
    <t>Elective Spells</t>
  </si>
  <si>
    <t>Elective Excess Beddays</t>
  </si>
  <si>
    <t>Ambulatory Care</t>
  </si>
  <si>
    <t>Non Elective Spells</t>
  </si>
  <si>
    <t>Non Elective Spells - Short Stay</t>
  </si>
  <si>
    <t>Non Elective Excess Beddays</t>
  </si>
  <si>
    <t>Outpatients - New</t>
  </si>
  <si>
    <t>Outpatients - Follow Up</t>
  </si>
  <si>
    <t>Outpatients - Procedures</t>
  </si>
  <si>
    <t>Direct Access</t>
  </si>
  <si>
    <t>PBR Exclusions</t>
  </si>
  <si>
    <t>13-14 Financial Plan to deliver FRR 3</t>
  </si>
  <si>
    <t>CCG - Patients</t>
  </si>
  <si>
    <t>CCG - Devolved Inc</t>
  </si>
  <si>
    <t>CCG - Non Activity</t>
  </si>
  <si>
    <t>Excess</t>
  </si>
  <si>
    <t>Strategic Capital New</t>
  </si>
  <si>
    <t>From TDA Submission</t>
  </si>
  <si>
    <t>????</t>
  </si>
  <si>
    <t>Total Unallocated</t>
  </si>
  <si>
    <t>NON PAY less SAVINGS</t>
  </si>
  <si>
    <t>Transfer to Operational Capital</t>
  </si>
  <si>
    <t>Electronic Patient Record</t>
  </si>
  <si>
    <t>Vascular Centre</t>
  </si>
  <si>
    <t>Premises</t>
  </si>
  <si>
    <t>Working capital facility (WCF) used in previous quarter.</t>
  </si>
  <si>
    <t>NB PSPP not included.</t>
  </si>
  <si>
    <t>No working capital facility.</t>
  </si>
  <si>
    <t>Not provided as forecast subject to reprioritisation.</t>
  </si>
  <si>
    <t xml:space="preserve"> Devolved Income</t>
  </si>
  <si>
    <t xml:space="preserve"> </t>
  </si>
  <si>
    <t>Remaining Approval</t>
  </si>
  <si>
    <t>Aged Debtors</t>
  </si>
  <si>
    <t>Not applicable</t>
  </si>
  <si>
    <t>Input sheets have purple tabs</t>
  </si>
  <si>
    <t>Boxes in input sheets show errors if differences present, sometimes errors are small roundings.</t>
  </si>
  <si>
    <t>Check page numbers in footers before circulation.</t>
  </si>
  <si>
    <t>NB watch calculations in appendix 6</t>
  </si>
  <si>
    <t>In Month Chart</t>
  </si>
  <si>
    <t>Waterfall Chart</t>
  </si>
  <si>
    <t>Non-delivery of CIPS will adversely affect FRR rating.</t>
  </si>
  <si>
    <t>Not provided as approved = forecast, subject to reprioritisation.</t>
  </si>
  <si>
    <t>MONITOR FINANCIAL RISK INDICATORS</t>
  </si>
  <si>
    <t>IMPACT</t>
  </si>
  <si>
    <t>MITIGATION</t>
  </si>
  <si>
    <t>NEXT STEPS</t>
  </si>
  <si>
    <t>Adverse financial performance will impact on the FRR rating.</t>
  </si>
  <si>
    <t>NB Ensure tables updated in Board Report</t>
  </si>
  <si>
    <t>In Month Forecast / Actual</t>
  </si>
  <si>
    <t>Balancing Line</t>
  </si>
  <si>
    <t>Links O/S</t>
  </si>
  <si>
    <t>NB Update Calculations</t>
  </si>
  <si>
    <t>Month 11</t>
  </si>
  <si>
    <t>Total reported income</t>
  </si>
  <si>
    <t>Less non recurrent income included</t>
  </si>
  <si>
    <t>I&amp;E Brokerage received</t>
  </si>
  <si>
    <t>Awards (Doctor distinction, DH performance fund)</t>
  </si>
  <si>
    <t>SHA Support - 3T / hospital redevelopment</t>
  </si>
  <si>
    <t>Pump Priming</t>
  </si>
  <si>
    <t>EPR</t>
  </si>
  <si>
    <t>Enabling costs</t>
  </si>
  <si>
    <t>Stranded costs</t>
  </si>
  <si>
    <t>RTF Funding</t>
  </si>
  <si>
    <t>Add back Excluded recurrent income</t>
  </si>
  <si>
    <t>Overperformance</t>
  </si>
  <si>
    <t>Local Prices</t>
  </si>
  <si>
    <t>Underlying income position</t>
  </si>
  <si>
    <t>Total reported costs</t>
  </si>
  <si>
    <t>Less non recurrent costs included</t>
  </si>
  <si>
    <t>Awards (doctor distinction, DH performance fund) offset</t>
  </si>
  <si>
    <t>3T / hospital redevelopment project team</t>
  </si>
  <si>
    <t>Non-Recurrent Costs - Pathology &amp; Redundancy</t>
  </si>
  <si>
    <t>R&amp;D/Education Commitments</t>
  </si>
  <si>
    <t>Repayment of Transformational Support</t>
  </si>
  <si>
    <t>Enabling Costs</t>
  </si>
  <si>
    <t>Other adjustments</t>
  </si>
  <si>
    <t>Impairments</t>
  </si>
  <si>
    <t>Underlying cost position</t>
  </si>
  <si>
    <t>Reported I&amp;E Position</t>
  </si>
  <si>
    <t>Underlying I&amp;E position</t>
  </si>
  <si>
    <t>YTD RAG</t>
  </si>
  <si>
    <t>Forecast Qtr RAG</t>
  </si>
  <si>
    <t>Normalised position</t>
  </si>
  <si>
    <t>Normalised</t>
  </si>
  <si>
    <t>Property Disposals</t>
  </si>
  <si>
    <t>NB "Full Year Plan" for strategic not included.</t>
  </si>
  <si>
    <t>Project Team</t>
  </si>
  <si>
    <t>Main Scheme - Design and Works</t>
  </si>
  <si>
    <t>Reconciliation with cashflow o/s</t>
  </si>
  <si>
    <t>Medical Equipment Replacement</t>
  </si>
  <si>
    <t>Transfer to Strategic Capital</t>
  </si>
  <si>
    <t>NB Format and message</t>
  </si>
  <si>
    <t xml:space="preserve">Estates Infrastructure </t>
  </si>
  <si>
    <t>Service Development</t>
  </si>
  <si>
    <t>Contingency</t>
  </si>
  <si>
    <t xml:space="preserve">Internal Brokerage </t>
  </si>
  <si>
    <t>Total Expenditure (CRL)</t>
  </si>
  <si>
    <t>Donated Capital</t>
  </si>
  <si>
    <t>Operational Capital £k</t>
  </si>
  <si>
    <t>Sub Total</t>
  </si>
  <si>
    <t>Approved</t>
  </si>
  <si>
    <t xml:space="preserve">Based on 10 months of contract monitoring information, the Trust is forecasting PCT income above plan. </t>
  </si>
  <si>
    <t>Property, Plant and Equipment</t>
  </si>
  <si>
    <t>(Surplus)/Deficit for Year</t>
  </si>
  <si>
    <t>Y-T-D</t>
  </si>
  <si>
    <t>BU Version_1</t>
  </si>
  <si>
    <t>Total Analysis</t>
  </si>
  <si>
    <t>TOTAL INCOME &amp; EXPENDITURE</t>
  </si>
  <si>
    <t>Var</t>
  </si>
  <si>
    <t>CIP</t>
  </si>
  <si>
    <t>EBITDA cumulative</t>
  </si>
  <si>
    <t>EBITDA income</t>
  </si>
  <si>
    <t>Adjust for YTD</t>
  </si>
  <si>
    <t>Data Type2</t>
  </si>
  <si>
    <t>Intangible Assets</t>
  </si>
  <si>
    <t>Non Current Assets</t>
  </si>
  <si>
    <t>Trade and Other Receivables</t>
  </si>
  <si>
    <t>Cash and Cash Equivalents</t>
  </si>
  <si>
    <t>Current Assets</t>
  </si>
  <si>
    <t xml:space="preserve">Trade and Other Payables </t>
  </si>
  <si>
    <t>Borrowings</t>
  </si>
  <si>
    <t>Other Financial Liabilities</t>
  </si>
  <si>
    <t>Other Liabilities</t>
  </si>
  <si>
    <t>Current Liabilities</t>
  </si>
  <si>
    <t>TOTAL ASSETS EMPLOYED</t>
  </si>
  <si>
    <t>Financed by:</t>
  </si>
  <si>
    <t>Retained Earnings</t>
  </si>
  <si>
    <t>Surplus/(Deficit) for Year</t>
  </si>
  <si>
    <t>Revaluation Reserve</t>
  </si>
  <si>
    <t>TOTAL TAXPAYERS EQUITY</t>
  </si>
  <si>
    <t>Notes</t>
  </si>
  <si>
    <t>Within Terms</t>
  </si>
  <si>
    <t>1 Month        Overdue</t>
  </si>
  <si>
    <t>Act v Plan</t>
  </si>
  <si>
    <t>I&amp;ETOT</t>
  </si>
  <si>
    <t>PAY576</t>
  </si>
  <si>
    <t>NPY785</t>
  </si>
  <si>
    <t>NPY786</t>
  </si>
  <si>
    <t>Total Unallocated</t>
  </si>
  <si>
    <t>Trading Accounts</t>
  </si>
  <si>
    <t>Base</t>
  </si>
  <si>
    <t>End</t>
  </si>
  <si>
    <t>Down</t>
  </si>
  <si>
    <t>Up</t>
  </si>
  <si>
    <t>Start</t>
  </si>
  <si>
    <t>Net</t>
  </si>
  <si>
    <t>Unallocated Savings</t>
  </si>
  <si>
    <t>Check</t>
  </si>
  <si>
    <t>2 Months      Overdue</t>
  </si>
  <si>
    <t>3 Months    Overdue</t>
  </si>
  <si>
    <t>Current Month</t>
  </si>
  <si>
    <t>Prior Month</t>
  </si>
  <si>
    <t>1-30 Days</t>
  </si>
  <si>
    <t>31-60 Days</t>
  </si>
  <si>
    <t>61-90 Days</t>
  </si>
  <si>
    <t>Over 90 Days</t>
  </si>
  <si>
    <t>Over 30 Days</t>
  </si>
  <si>
    <t xml:space="preserve">Trusts </t>
  </si>
  <si>
    <t>Other NHS</t>
  </si>
  <si>
    <t>Other Debtors</t>
  </si>
  <si>
    <t>Private Patients</t>
  </si>
  <si>
    <t>Overseas</t>
  </si>
  <si>
    <t>Total Invoiced Debtors</t>
  </si>
  <si>
    <t>Provision for Bad Debts (including RTA Provision)</t>
  </si>
  <si>
    <t>Accrued Income</t>
  </si>
  <si>
    <t>Prepayments</t>
  </si>
  <si>
    <t>Total Trade &amp; Other Receivables</t>
  </si>
  <si>
    <t>Invoiced Debtors</t>
  </si>
  <si>
    <t>Point of Delivery</t>
  </si>
  <si>
    <t>Contract Monitoring Performance -(unadjusted)</t>
  </si>
  <si>
    <t>SOTC ( not part of Main Contract)</t>
  </si>
  <si>
    <t>CQUIN  2.5%</t>
  </si>
  <si>
    <t>Income Recharged non-contract</t>
  </si>
  <si>
    <t>Distinction Awards</t>
  </si>
  <si>
    <t>TTT's Support</t>
  </si>
  <si>
    <t>Trauma MFF/EPR support/ other recharges</t>
  </si>
  <si>
    <t>Divisional Recharges ( Non Activity)</t>
  </si>
  <si>
    <t>YTD May</t>
  </si>
  <si>
    <t>Divisional Performance</t>
  </si>
  <si>
    <t>RAG</t>
  </si>
  <si>
    <t>Specialised</t>
  </si>
  <si>
    <t>Women and Children</t>
  </si>
  <si>
    <t>Clinical Divisions</t>
  </si>
  <si>
    <t>Corporate</t>
  </si>
  <si>
    <t>Trust</t>
  </si>
  <si>
    <t>Quarterly Performance - Variance</t>
  </si>
  <si>
    <t>Qtr1</t>
  </si>
  <si>
    <t>Qtr2</t>
  </si>
  <si>
    <t xml:space="preserve">Qtr3 </t>
  </si>
  <si>
    <t>Qtr 4</t>
  </si>
  <si>
    <t>Key Risks:</t>
  </si>
  <si>
    <t>Table 3 - Reconciliation to Income Reporting</t>
  </si>
  <si>
    <t>TOTAL INCOME</t>
  </si>
  <si>
    <t>TOTAL EXPENDITURE</t>
  </si>
  <si>
    <t>KSS Deanery</t>
  </si>
  <si>
    <r>
      <t>(i) Receipt of transitional support for 3Ts £2.5m. There are on-going discssions with commissioners and a commitment to resolve this promptly. (ii) Nursing spend continues at the current rate. Rigorous review of agency spend across all areas and the imple</t>
    </r>
    <r>
      <rPr>
        <sz val="10"/>
        <rFont val="Arial"/>
        <family val="2"/>
      </rPr>
      <t>mentation of e-rostering must mitigate this in full. (iii)  Affordability by commissioners of current expecnditure trends on PbR exclusions drugs. Close scrutiny of spend and on-going discussion with commissioners to ensure early warning signals are in place and agreed action to mitigate spend.</t>
    </r>
  </si>
  <si>
    <t>Financial Risk Rating</t>
  </si>
  <si>
    <t>Plan</t>
  </si>
  <si>
    <t>Actual</t>
  </si>
  <si>
    <t>Variance</t>
  </si>
  <si>
    <t>EBITDA Margin</t>
  </si>
  <si>
    <t>EBITDA Actual</t>
  </si>
  <si>
    <t>/ Total Income</t>
  </si>
  <si>
    <t>EBITDA % Achieved</t>
  </si>
  <si>
    <t>/ EBITDA YTD Plan</t>
  </si>
  <si>
    <t>Net Surplus/ (Deficit)</t>
  </si>
  <si>
    <t>- Impairments</t>
  </si>
  <si>
    <t>- Gain/ (Loss) on Asset Disposals</t>
  </si>
  <si>
    <t>- PDC Dividend</t>
  </si>
  <si>
    <t>Other Receivables</t>
  </si>
  <si>
    <t>Maintenance &amp; Other Contracts</t>
  </si>
  <si>
    <t>NHS Litigation</t>
  </si>
  <si>
    <t>Total Prepayments</t>
  </si>
  <si>
    <t>Work In Progress</t>
  </si>
  <si>
    <t>Injury Cost Recovery Fund</t>
  </si>
  <si>
    <t xml:space="preserve">Other </t>
  </si>
  <si>
    <t>Total Accrued Income</t>
  </si>
  <si>
    <t>Deanery</t>
  </si>
  <si>
    <t>Original</t>
  </si>
  <si>
    <t>INCOME AND EXPENDITURE ACCOUNT: Rolling Trend Analysis - KSS Deanery - Aug 2013/14</t>
  </si>
  <si>
    <t>Appendix_2D_Rolling_Trend_Analysis</t>
  </si>
  <si>
    <t>Movement</t>
  </si>
  <si>
    <t>Prev Mth</t>
  </si>
  <si>
    <t>Strategic Health Authority (Health Education) Income</t>
  </si>
  <si>
    <t>Commissioning Income - Non Activity</t>
  </si>
  <si>
    <t>    Medical - Consultants</t>
  </si>
  <si>
    <t>Report Run: 11-Sep-13 @ 8:20:21</t>
  </si>
  <si>
    <t>Strategic Health Authority (Health Education) Income</t>
  </si>
  <si>
    <t>NHS Trusts Income</t>
  </si>
  <si>
    <t>Commissioning Income - Non Activity</t>
  </si>
  <si>
    <t>Income from Activities</t>
  </si>
  <si>
    <t>Education, Training &amp; Research</t>
  </si>
  <si>
    <t>Other Income</t>
  </si>
  <si>
    <t>Other Operating Income</t>
  </si>
  <si>
    <t>Pay - Management</t>
  </si>
  <si>
    <t>Medical and Dental Staff</t>
  </si>
  <si>
    <t>Pay Other Healthcare</t>
  </si>
  <si>
    <t>Administrative &amp; Clerical</t>
  </si>
  <si>
    <t>Pay - Other Staff</t>
  </si>
  <si>
    <t>TOTAL PAY</t>
  </si>
  <si>
    <t>Services from Other NHS Bodies</t>
  </si>
  <si>
    <t>Supplies and Services General</t>
  </si>
  <si>
    <t>Establishment Expenses</t>
  </si>
  <si>
    <t>Transport Expenses</t>
  </si>
  <si>
    <t>Education and Training</t>
  </si>
  <si>
    <t>Other Non Pay</t>
  </si>
  <si>
    <t>TOTAL NON-PAY</t>
  </si>
  <si>
    <t>Updated for guidance issued 27 August 2013</t>
  </si>
  <si>
    <t>FY13</t>
  </si>
  <si>
    <t>FY14</t>
  </si>
  <si>
    <t>FY15</t>
  </si>
  <si>
    <t>FY16</t>
  </si>
  <si>
    <t>FY17</t>
  </si>
  <si>
    <t>FY18</t>
  </si>
  <si>
    <t>FY19</t>
  </si>
  <si>
    <t>FY20</t>
  </si>
  <si>
    <t>FY21</t>
  </si>
  <si>
    <t>FY22</t>
  </si>
  <si>
    <t>LR</t>
  </si>
  <si>
    <t>CSC</t>
  </si>
  <si>
    <t>£'m</t>
  </si>
  <si>
    <t>A. Working capital balances</t>
  </si>
  <si>
    <t>Current assets</t>
  </si>
  <si>
    <t>Working capital facility</t>
  </si>
  <si>
    <t>Current liabilities</t>
  </si>
  <si>
    <t>Assets held for sale</t>
  </si>
  <si>
    <t>B. Annual operating Expenses</t>
  </si>
  <si>
    <t>Operating Expenses</t>
  </si>
  <si>
    <t>C. Revenue available for capital service</t>
  </si>
  <si>
    <t>Surplus after tax</t>
  </si>
  <si>
    <t>PDC expense</t>
  </si>
  <si>
    <t>Asset disposals</t>
  </si>
  <si>
    <t>D. Annual Debt Service</t>
  </si>
  <si>
    <t>Total interest payable on Loans and leases</t>
  </si>
  <si>
    <t>Repayment of loans and leases</t>
  </si>
  <si>
    <t>Liquidity ratio (A x 360 / B)</t>
  </si>
  <si>
    <t>score</t>
  </si>
  <si>
    <t>Capital servicing capacity ratio (C/D)</t>
  </si>
  <si>
    <t>Weighted average</t>
  </si>
  <si>
    <t>To maintain current score</t>
  </si>
  <si>
    <t>Tolerance on A (could reduce by)</t>
  </si>
  <si>
    <t>Tolerance on B (could reduce by)</t>
  </si>
  <si>
    <t>Tolerance on C (could reduce by)</t>
  </si>
  <si>
    <t>Tolerance on D (could increase by)</t>
  </si>
  <si>
    <t>To move up a score</t>
  </si>
  <si>
    <t>Tolerance on A (increase by)</t>
  </si>
  <si>
    <t>Tolerance on B (increase by)</t>
  </si>
  <si>
    <t>Tolerance on C (increse by)</t>
  </si>
  <si>
    <t>Tolerance on D (reduce by)</t>
  </si>
  <si>
    <t>Scores under draft COSRR proposals</t>
  </si>
  <si>
    <t>Overall FRR score (old metrics)</t>
  </si>
  <si>
    <t>Based on LTFM submitted to TDA in May 2013</t>
  </si>
  <si>
    <t>Continuity of Service Risk Rating</t>
  </si>
  <si>
    <t>Liquidity Ratio</t>
  </si>
  <si>
    <t>Capital Servicing Capacity  Ratio</t>
  </si>
  <si>
    <t>The most significant risk to the current plan is affordability within the local health economy. The Trust plans assume a level of income which reflects current activity trends.</t>
  </si>
  <si>
    <t>I&amp;E Surplus Margin</t>
  </si>
  <si>
    <t>Net Current Assets/ (Liabilities)</t>
  </si>
  <si>
    <t>Inventories</t>
  </si>
  <si>
    <t>Other Assets</t>
  </si>
  <si>
    <t>ADJ Net Current Assets/ (Liabs)</t>
  </si>
  <si>
    <t>Total Operating Expenses</t>
  </si>
  <si>
    <t>Number of Days</t>
  </si>
  <si>
    <t>Total</t>
  </si>
  <si>
    <t>Liquidity Ratio with pure Monitor ratings</t>
  </si>
  <si>
    <t>Net Return after Financing</t>
  </si>
  <si>
    <t>Estimated WCF 30days</t>
  </si>
  <si>
    <t>Adj Net Current Assets/ Liabilities</t>
  </si>
  <si>
    <t>SHA</t>
  </si>
  <si>
    <t>YTD</t>
  </si>
  <si>
    <t>Forecast</t>
  </si>
  <si>
    <t>Weighted Average</t>
  </si>
  <si>
    <t>Count '1' scores</t>
  </si>
  <si>
    <t>Count '2' scores</t>
  </si>
  <si>
    <t>Financial Criteria</t>
  </si>
  <si>
    <t>Weight %</t>
  </si>
  <si>
    <t>Metric to be scored</t>
  </si>
  <si>
    <t>Rating categories</t>
  </si>
  <si>
    <t>Underlying Performance</t>
  </si>
  <si>
    <t>EBITDA margin (%)</t>
  </si>
  <si>
    <t>&lt;1</t>
  </si>
  <si>
    <t>Achievement of Plan</t>
  </si>
  <si>
    <t>EBITDA achieved (% of plan)</t>
  </si>
  <si>
    <t>&lt;50</t>
  </si>
  <si>
    <t>Financial Efficiency</t>
  </si>
  <si>
    <t>YTD ACTUAL
£'000s</t>
  </si>
  <si>
    <t>YTD PLAN
£'000s</t>
  </si>
  <si>
    <t>PLAN
£'000s</t>
  </si>
  <si>
    <t>RXH Month 6</t>
  </si>
  <si>
    <t>Return on assets (excl dividend) %</t>
  </si>
  <si>
    <t>&lt;-2</t>
  </si>
  <si>
    <t>I&amp;E surplus margin (net of dividend) %</t>
  </si>
  <si>
    <t>Liquidity</t>
  </si>
  <si>
    <t>Liquidity ratio (days)</t>
  </si>
  <si>
    <t>&lt;10</t>
  </si>
  <si>
    <t>Financial risk rating is the weighted average of financial criteria scores</t>
  </si>
  <si>
    <t>Metric</t>
  </si>
  <si>
    <t>Rating</t>
  </si>
  <si>
    <t>Income</t>
  </si>
  <si>
    <t>Pay</t>
  </si>
  <si>
    <t>Non Pay</t>
  </si>
  <si>
    <t>EBITDA</t>
  </si>
  <si>
    <t>EBITDA %</t>
  </si>
  <si>
    <t xml:space="preserve"> Plan Year to Date</t>
  </si>
  <si>
    <t>Non Current Assets held for sale</t>
  </si>
  <si>
    <t>Non Current Assets Held for Sale</t>
  </si>
  <si>
    <t>Surgery</t>
  </si>
  <si>
    <t>Medicine</t>
  </si>
  <si>
    <t>Other</t>
  </si>
  <si>
    <t>Unplanned decrease in EBITDA margin in two consecutive quarters</t>
  </si>
  <si>
    <t>FRR 2 for any one quarter</t>
  </si>
  <si>
    <t>Debtors &gt; 90 days past due account for more than 5% of total debtor balances</t>
  </si>
  <si>
    <t>x</t>
  </si>
  <si>
    <t>FOT</t>
  </si>
  <si>
    <t>SAME AS PLAN</t>
  </si>
  <si>
    <t>Norm Plan</t>
  </si>
  <si>
    <t>Norm Act</t>
  </si>
  <si>
    <t>Gain/ (Loss) on Asset Disposals</t>
  </si>
  <si>
    <t>NOTE - BASED ON OPENING BALANCE, AS PER KEY DATA RETURN</t>
  </si>
  <si>
    <t>Donated Asset Adjustment (Income only)</t>
  </si>
  <si>
    <t>Bfwd Finance Leases &amp; Borrowings</t>
  </si>
  <si>
    <t>Bfwd Taxpayers' Equity</t>
  </si>
  <si>
    <t>Reported in SOM</t>
  </si>
  <si>
    <t>Yes</t>
  </si>
  <si>
    <t>Reported to Board</t>
  </si>
  <si>
    <t>Reported in key data</t>
  </si>
  <si>
    <t>AY</t>
  </si>
  <si>
    <t>BC</t>
  </si>
  <si>
    <t>BA</t>
  </si>
  <si>
    <t>BE</t>
  </si>
  <si>
    <t>AX</t>
  </si>
  <si>
    <t>BB</t>
  </si>
  <si>
    <t>AZ</t>
  </si>
  <si>
    <t>BD</t>
  </si>
  <si>
    <t>Trust has outturned with an FRR of 3.</t>
  </si>
  <si>
    <t>Delivery within Plan</t>
  </si>
  <si>
    <t>Delivery over plan</t>
  </si>
  <si>
    <t>Specialty and Divisional Performance will need to improve. This will be managed through the Financial Performance Framework</t>
  </si>
  <si>
    <t>The anticipated level of income from commissioners may be in excess of local health economy available funds.</t>
  </si>
  <si>
    <t>The Trust has received a working capital loan of £15m to address underlying liquidity issues but adverse financial performance will impact on liquidity in year.</t>
  </si>
  <si>
    <t>Strategic</t>
  </si>
  <si>
    <t>Operational</t>
  </si>
  <si>
    <t>Less Transfers SC</t>
  </si>
  <si>
    <t>Less Transfers OC</t>
  </si>
  <si>
    <t>Surgery Division</t>
  </si>
  <si>
    <t>Medicine Division</t>
  </si>
  <si>
    <t>Specialist Division</t>
  </si>
  <si>
    <t>Non-recovery of income will adversely affect FRR rating.</t>
  </si>
  <si>
    <t>Regular discussions with the CCG Finance Directors over system finances and affordability.</t>
  </si>
  <si>
    <t>Accelerated delivery of existing pipeline schemes. Delivery of each workstream is formally reviewed fortnightly by the Delivery Unit Programme Director</t>
  </si>
  <si>
    <t>Women and Children Division</t>
  </si>
  <si>
    <t>Neurosciences Division</t>
  </si>
  <si>
    <t>Donated</t>
  </si>
  <si>
    <t>Slippage against efficiency programmes. The Trust must identify and deliver  'pipeline' schemes to ensure slippage on schemes is recovered in full</t>
  </si>
  <si>
    <t>Close management of Debtors and improved EBITDA through increased governance.</t>
  </si>
  <si>
    <t>Workforce</t>
  </si>
  <si>
    <t>Creditors &gt; 90 days past due account for more than 5% of total creditor balances</t>
  </si>
  <si>
    <t>Capital expenditure &lt; 75% of plan for the year to date</t>
  </si>
  <si>
    <t>Actual / Forecast</t>
  </si>
  <si>
    <t>YES</t>
  </si>
  <si>
    <t>NO</t>
  </si>
  <si>
    <t>Capital</t>
  </si>
  <si>
    <t>Two or more changes in Finance Director in a 12 month period</t>
  </si>
  <si>
    <t>Action if Risk</t>
  </si>
  <si>
    <t>Risk?</t>
  </si>
  <si>
    <t>Explanation if Risk</t>
  </si>
  <si>
    <t>Year To Date</t>
  </si>
  <si>
    <t>Planned Surplus</t>
  </si>
  <si>
    <t>Interest Expense</t>
  </si>
  <si>
    <t>Depreciation</t>
  </si>
  <si>
    <t>Public Dividend Capital</t>
  </si>
  <si>
    <t>Actual Surplus</t>
  </si>
  <si>
    <t>Planned Liquidity</t>
  </si>
  <si>
    <t>Actual Liquidity</t>
  </si>
  <si>
    <t>Surplus</t>
  </si>
  <si>
    <t>Debtors</t>
  </si>
  <si>
    <t>Creditors</t>
  </si>
  <si>
    <t>Capital Expenditure</t>
  </si>
  <si>
    <t>Financing</t>
  </si>
  <si>
    <t>Disposals</t>
  </si>
  <si>
    <t>Year End Forecast</t>
  </si>
  <si>
    <t>Forecast Surplus</t>
  </si>
  <si>
    <t>Forecast Liquidity</t>
  </si>
  <si>
    <t>Cost Improvement Plans</t>
  </si>
  <si>
    <t>£k</t>
  </si>
  <si>
    <t>YTD
£'000s</t>
  </si>
  <si>
    <t>FOT
£'000s</t>
  </si>
  <si>
    <t>Per IS</t>
  </si>
  <si>
    <t>Per Normalised data</t>
  </si>
  <si>
    <t>Summary Scores</t>
  </si>
  <si>
    <t>EBITDA margin</t>
  </si>
  <si>
    <t>EBITDA, % achieved of plan</t>
  </si>
  <si>
    <t>Net return after financing %</t>
  </si>
  <si>
    <t>I&amp;E surplus margin %</t>
  </si>
  <si>
    <t>Liquid ratio (with est 30 days WCF)</t>
  </si>
  <si>
    <t>Summary Ratings</t>
  </si>
  <si>
    <t>Initial Rating</t>
  </si>
  <si>
    <t>Overriding Rules Rating</t>
  </si>
  <si>
    <t xml:space="preserve">SUMMARY UPDATE </t>
  </si>
  <si>
    <t>Please explain if overriding rules rating below 3</t>
  </si>
  <si>
    <t>WORKINGS</t>
  </si>
  <si>
    <t>Normalised EBITDA</t>
  </si>
  <si>
    <t>/ Normalised Income</t>
  </si>
  <si>
    <t>Score %</t>
  </si>
  <si>
    <t>EBITDA Actual (net Impairments, Donated Assets income)</t>
  </si>
  <si>
    <t>/ EBITDA YTD Plan (net Impairments, Donated Assets income)</t>
  </si>
  <si>
    <t>- Interest Expense</t>
  </si>
  <si>
    <t>- Depreciation and Amortisation</t>
  </si>
  <si>
    <t>Net Return</t>
  </si>
  <si>
    <t>Total Debt</t>
  </si>
  <si>
    <t>Finance Leases &amp; Borrowings</t>
  </si>
  <si>
    <t>Taxpayers' Equity</t>
  </si>
  <si>
    <t>Balance Sheet Financing</t>
  </si>
  <si>
    <t>Bfwd Debt</t>
  </si>
  <si>
    <t>Normalised Surplus</t>
  </si>
  <si>
    <t>- Inventories</t>
  </si>
  <si>
    <t>- Other Assets</t>
  </si>
  <si>
    <t>Normalised Operating Expenses</t>
  </si>
  <si>
    <t>Initial Score</t>
  </si>
  <si>
    <t>Adjusted Score</t>
  </si>
  <si>
    <t>Rules used to adjust financial risk rating</t>
  </si>
  <si>
    <t>Max</t>
  </si>
  <si>
    <t>Two financial criterion scored at '1'</t>
  </si>
  <si>
    <t>One financial criterion scored at '1'</t>
  </si>
  <si>
    <t>Two financial criterion scored at '2'</t>
  </si>
  <si>
    <t>EBITDA achieved of plan</t>
  </si>
  <si>
    <t>One financial criterion scored at '2'</t>
  </si>
  <si>
    <t>&lt;-5</t>
  </si>
  <si>
    <t>Less than 1 year as FT</t>
  </si>
  <si>
    <t>Int on Loans &amp; Leases</t>
  </si>
  <si>
    <t>Asset sales</t>
  </si>
  <si>
    <t>Movem't in Wking Cap</t>
  </si>
  <si>
    <t>NHS Trusts</t>
  </si>
  <si>
    <t>Other  NHS</t>
  </si>
  <si>
    <t>Private Patients</t>
  </si>
  <si>
    <t>Other Non-NHS</t>
  </si>
  <si>
    <t>Income Generation </t>
  </si>
  <si>
    <t>Dep &amp; Impairments</t>
  </si>
  <si>
    <t>PDC</t>
  </si>
  <si>
    <t>Interest Rec</t>
  </si>
  <si>
    <t>Interest Pay</t>
  </si>
  <si>
    <t>Educ, Training &amp; Res</t>
  </si>
  <si>
    <t>Donated Asset Reserve</t>
  </si>
  <si>
    <t>MEDICINE</t>
  </si>
  <si>
    <t>SPECIALIST</t>
  </si>
  <si>
    <t>Contract Monitoring Performance -(unadjusted )</t>
  </si>
  <si>
    <t>WOMEN &amp; CHILDREN</t>
  </si>
  <si>
    <t>OPERATING COSTS</t>
  </si>
  <si>
    <t>INCOME</t>
  </si>
  <si>
    <t>SURPLUS</t>
  </si>
  <si>
    <t>CASHFLOW</t>
  </si>
  <si>
    <t>Surgery Division</t>
  </si>
  <si>
    <t>Medicine Division</t>
  </si>
  <si>
    <t>Specialist Division</t>
  </si>
  <si>
    <t>Women and Children Division</t>
  </si>
  <si>
    <t>Neurosciences Division</t>
  </si>
  <si>
    <t>TDA plan shows an FRR of 3 for all 4 quarters.</t>
  </si>
  <si>
    <t>Work with the Contract Management Group to; i) agree current levels of activity and secure income. ii) agree solutions to address the health economy affordability gap.</t>
  </si>
  <si>
    <r>
      <t xml:space="preserve">2) Q1 Report - based on month 2 contrat monitoring data
</t>
    </r>
    <r>
      <rPr>
        <sz val="10"/>
        <rFont val="Arial"/>
        <family val="2"/>
      </rPr>
      <t xml:space="preserve">This report is a summary of key variances to the contracted levels of activity, the associated income and other contract performance issues which have a financial implications.  It compares ‘actual’ reported activity levels to the planned volumes specified by commissioners in the contract(s) by point of delivery &amp; commissioner. The month 2 position and variance to YTD contractual value is reported in the tables below.  
In addition, the phasing of the Commissioners plans and specifically the 'demand management' aspects, the impact of which are likely to be back loaded in their activity profiles has yet to be submitted to the Trust. It is likely that CCGs will want some of their plans ‘back- ended’ into the final quarters of the year and this will affect the value of reported YTD variance against the plan going forward. 
It should be noted that there is currently a planning difference of around £6.7m between the Trusts assessment of the impact of CCG 'demand managment' plans and the commissioners.  This planning gap is consistent with the risks recognised by commissioners as part of the contract discussions and will be closely monitored during the year.  The Board should note that the significant amendments to national PbR rules, mandated activity currencies, rishk shares and associated revised pricing which have been incorporated into our monitoring are currently being systematically reconciled with commisissioners.  These are complex technical changes and the formal validation process is intended to be concluded by the end of Q1.  It is therefore likely that adjustments to a number of contract areas may follow this and the application of both contract penalties and CQUIN values which are evaluated quarterly.
In summary, and within the context of the above caveats and prior to a Q1 reconciliation with the Sussex Commissioning Support Unit, the Trust is reporting an aggregated over-performance of £6.4m against the consolidated commissioning plans of both local CCGs and NHS England.  However the Trust plans did not reflect demand management schemes in full and therefore performance against the Trust plan is £1.2m above plan. </t>
    </r>
  </si>
  <si>
    <t xml:space="preserve">              TOTAL INCOME</t>
  </si>
  <si>
    <t xml:space="preserve">                     TOTAL PAY</t>
  </si>
  <si>
    <t xml:space="preserve">                     TOTAL NON-PAY</t>
  </si>
  <si>
    <t xml:space="preserve">                     TOTAL TRADING ACCOUNTS</t>
  </si>
  <si>
    <t xml:space="preserve">                                   PAY576 - Other Staff: Other Pay</t>
  </si>
  <si>
    <t xml:space="preserve">                                   NPY785 - Other Nonpay: Non - Pay Reserves</t>
  </si>
  <si>
    <t xml:space="preserve">                                   NPY786 - Other Nonpay: Savings Plans</t>
  </si>
  <si>
    <t xml:space="preserve">Finance Report Month 04 2013/14 </t>
  </si>
  <si>
    <t>Grand Total</t>
  </si>
  <si>
    <t>Table 2.  Month 3 by Point of Delivery - excludes SOTC (unadjusted)</t>
  </si>
  <si>
    <t>Estimated Values for YTD July</t>
  </si>
  <si>
    <t>Outpatients - Imaging</t>
  </si>
  <si>
    <t>YTD June</t>
  </si>
  <si>
    <t>Clinical Commissioning Groups Reported Income YTD July -  as reported in Income Section</t>
  </si>
  <si>
    <t>Month</t>
  </si>
  <si>
    <t>Data</t>
  </si>
  <si>
    <t>3</t>
  </si>
  <si>
    <t>Data Group 3</t>
  </si>
  <si>
    <t xml:space="preserve"> FYE Plan £</t>
  </si>
  <si>
    <t xml:space="preserve"> YTD Plan £</t>
  </si>
  <si>
    <t xml:space="preserve"> Previous Year YTD Vol</t>
  </si>
  <si>
    <t xml:space="preserve"> YTD Actual £</t>
  </si>
  <si>
    <t xml:space="preserve"> YTD Var £</t>
  </si>
  <si>
    <t xml:space="preserve"> YTD % Var</t>
  </si>
  <si>
    <t xml:space="preserve"> Proj M12 Actual</t>
  </si>
  <si>
    <t xml:space="preserve"> Proj M12 Actual £</t>
  </si>
  <si>
    <t xml:space="preserve"> Proj M12 Var</t>
  </si>
  <si>
    <t xml:space="preserve"> Proj M12 Var £</t>
  </si>
  <si>
    <t>Outpatient Imaging</t>
  </si>
  <si>
    <t>2</t>
  </si>
  <si>
    <t>Purchaser Name</t>
  </si>
  <si>
    <t>NHS EAST SURREY CCG</t>
  </si>
  <si>
    <t>NHS GUILDFORD AND WAVERLEY CCG</t>
  </si>
  <si>
    <t>NHS NORTH WEST SURREY CCG</t>
  </si>
  <si>
    <t>NHS SURREY DOWNS CCG</t>
  </si>
  <si>
    <t>NHS SURREY HEATH CCG</t>
  </si>
  <si>
    <t>NCA's</t>
  </si>
  <si>
    <t>Non Delivery</t>
  </si>
  <si>
    <t>Est. YTD July</t>
  </si>
  <si>
    <t>NHS ENGLAND ( Specialised)</t>
  </si>
  <si>
    <t>SUSSEX CCGs and NHS ENGLAND (including SOTC)</t>
  </si>
  <si>
    <t>Gross Up YTD for Calcs</t>
  </si>
  <si>
    <t>EBIDTA</t>
  </si>
  <si>
    <t>(after Donated Assets Income)</t>
  </si>
  <si>
    <t>4</t>
  </si>
  <si>
    <t>CCG Income</t>
  </si>
  <si>
    <t>Month 05 Contract Monitoring</t>
  </si>
  <si>
    <t xml:space="preserve">Month </t>
  </si>
  <si>
    <t>Finance GL Position</t>
  </si>
  <si>
    <r>
      <rPr>
        <b/>
        <sz val="10"/>
        <rFont val="Arial"/>
        <family val="2"/>
      </rPr>
      <t>1) Context</t>
    </r>
    <r>
      <rPr>
        <sz val="10"/>
        <rFont val="Arial"/>
        <family val="2"/>
      </rPr>
      <t xml:space="preserve">
A number of significant local and national changes to the commissioning and contracting environment have affected the 2013/14 contract. These include the following:
• The disaggregation of Sussex PCTs and the formation of 7 local Sussex CCGs 
• The formation of the National Commissioning Board (NCB) and the disaggregation of the commissioning of ‘Specialist’ and ‘Public Health activity from the remit of CCGs resulting in 2 separate NHS Standard Contracts with a consolidated value of around £360m (excluding CQUIN at 2.5% and the value of the Sussex Orthopaedic Treatment Centre).
• Material changes to some aspects of PbR (e.g. the unbundling of imaging from outpatient attendance tariffs) and pathway payments for some conditions
• The application of the 12/13 Sussex wide review of ‘non’ PbR prices and the resulting changes to many BSUH ‘local prices’ 
• Increasing mandated contract penalties and the application of PbR rules such as non payment for (some) re-admissions and marginal payment rates for emergency activity over a set baseline</t>
    </r>
  </si>
  <si>
    <r>
      <rPr>
        <b/>
        <sz val="10"/>
        <rFont val="Arial"/>
        <family val="2"/>
      </rPr>
      <t>Continuity of Service Risk Rating</t>
    </r>
    <r>
      <rPr>
        <sz val="10"/>
        <rFont val="Arial"/>
        <family val="2"/>
      </rPr>
      <t xml:space="preserve"> -  Monitor has recently published a new Risk Assessment Framework which includes new Financial Risk Ratings which will replace the current FRRs. The existing 5 metrics will be replaced by just 2 metrics to assess short and medium term risk to the continuity of services. The metrics will come into effect in quarter 3 this year. The Trusts assessment of its YTD and Forecast position is reported below.</t>
    </r>
  </si>
  <si>
    <t>&lt;-14</t>
  </si>
  <si>
    <t>Capital servicing capacity (times)</t>
  </si>
  <si>
    <t>£</t>
  </si>
  <si>
    <t>YTD Actual</t>
  </si>
  <si>
    <t>YTD Actual £</t>
  </si>
  <si>
    <t>YTD Plan</t>
  </si>
  <si>
    <t>AmbulatoryCare &gt;=1</t>
  </si>
  <si>
    <t>Daycase</t>
  </si>
  <si>
    <t>Elective</t>
  </si>
  <si>
    <t>Non-Elective</t>
  </si>
  <si>
    <t>Outpatient - New</t>
  </si>
  <si>
    <t>Outpatient - Follow Up</t>
  </si>
  <si>
    <t>Working Capital Balances</t>
  </si>
  <si>
    <t>Revenue available for Capital Service</t>
  </si>
  <si>
    <t>Copy and paste the chart data from web analysis below</t>
  </si>
  <si>
    <t>Quick Check</t>
  </si>
  <si>
    <t>3rd Cardiac Cfwd</t>
  </si>
  <si>
    <t>004571 - Donations Inc Charitable Funds</t>
  </si>
  <si>
    <t>Other Technical Adjustments</t>
  </si>
  <si>
    <t>007400 - Depn. On Donated Assets</t>
  </si>
  <si>
    <t>Other Adjustments</t>
  </si>
  <si>
    <t>Y-T-D( "Nov" )</t>
  </si>
  <si>
    <t>Other 3TS Main</t>
  </si>
  <si>
    <t>Women &amp; Children Division</t>
  </si>
  <si>
    <t>Estimated Values for YTD February</t>
  </si>
  <si>
    <t>Clinical Commissioning Groups Reported Income YTD Feb -  as reported in Income Section</t>
  </si>
  <si>
    <t>SOTC TO YELLOW CELLS</t>
  </si>
  <si>
    <t>Based Upon 10mths to January 2014</t>
  </si>
  <si>
    <t>Y-T-D( "Mar" )</t>
  </si>
  <si>
    <t xml:space="preserve">This report is a summary of key variances to the contracted levels of activity, the associated income and other contract performance issues which have a financial implications.  It compares ‘actual’ reported activity levels to the planned volumes specified by commissioners in the contract(s) by point of delivery &amp; commissioner. The month 11 position and variance to YTD contractual value is reported in the tables below.  </t>
  </si>
  <si>
    <t>It should be noted that there was a planning difference of around £6.7m between the Trusts assessment of the impact of CCG 'demand management' plans and the commissioners.  This planning gap is consistent with the risks recognised by commissioners as part of the contract discussions. The Board should note that the significant amendments to national PbR rules, mandated activity currencies, risk shares and associated revised pricing which have been incorporated into our monitoring are systematically reconciled with commissioners. These are complex technical changes and the formal validation process is intended to be concluded as part of the reconciliation process.  It is therefore likely that adjustments to a number of contract areas may follow this and the application of both contract penalties and CQUIN values which are evaluated quarterly.</t>
  </si>
  <si>
    <t>Est. Feb Forecast</t>
  </si>
  <si>
    <t xml:space="preserve">*adjusted by overriding rules rating (SHA) </t>
  </si>
  <si>
    <t>OVERALL RISK RATING*</t>
  </si>
  <si>
    <t>ROA</t>
  </si>
  <si>
    <t>Summary ratings</t>
  </si>
  <si>
    <t>Rating:</t>
  </si>
  <si>
    <t>Adj Ratio</t>
  </si>
  <si>
    <t>Add in estimated working capital facility to be comparable with Monitor</t>
  </si>
  <si>
    <t>Ability to pay short term bills.  The no. of days operating expenses covered before running out of cash</t>
  </si>
  <si>
    <t>5. Liquidity Ratio  (days)</t>
  </si>
  <si>
    <t>Total %</t>
  </si>
  <si>
    <t>A measure of how efficient  the organisation is at turning income into surplus, after payment of dividend</t>
  </si>
  <si>
    <t>4. I &amp; E Surplus Margin</t>
  </si>
  <si>
    <t>The total Loan becomes part of Total Funds Employed at bottom of Balance sheet</t>
  </si>
  <si>
    <t xml:space="preserve">Total assets employed EXCLUDES total loans both &lt; and &gt; 1 year.  </t>
  </si>
  <si>
    <t>Provisions for liabilities and charges</t>
  </si>
  <si>
    <t>Finance leases</t>
  </si>
  <si>
    <t>Creditors &gt; 1 year</t>
  </si>
  <si>
    <t>Long term debtor</t>
  </si>
  <si>
    <t>/ Total Assets employed - YTD</t>
  </si>
  <si>
    <t>Total current liabilities</t>
  </si>
  <si>
    <t>/ Total Assets Employed - 1-Apr-10</t>
  </si>
  <si>
    <t>Total Current assets</t>
  </si>
  <si>
    <t>/ Number of Days</t>
  </si>
  <si>
    <t>Total fixed assets</t>
  </si>
  <si>
    <t>x 360</t>
  </si>
  <si>
    <t>Total assets employed =</t>
  </si>
  <si>
    <t>Link O/S</t>
  </si>
  <si>
    <t>A measure of how efficient the organisation is at using assets to generate earnings</t>
  </si>
  <si>
    <t>3.  ROA  -  Return on Assets Employed</t>
  </si>
  <si>
    <t>The profiling of the BSUH internal plans are revised during the year.</t>
  </si>
  <si>
    <t xml:space="preserve">Please note the plan used to calculate this ratio is based upon the initial 2009/10 Financial Plan submitted to SHA in March. </t>
  </si>
  <si>
    <t>2. EBITDA  % achieved of plan</t>
  </si>
  <si>
    <t>Interest receivable / payable on loans and leases, PDC dividend, Tax, Exceptional Income / Costs (ie Impairments)</t>
  </si>
  <si>
    <t xml:space="preserve">Depreciation / Amortisation, Loan repayments, Profit/loss on asset disposal, Interest receivable / payable, </t>
  </si>
  <si>
    <t>Total costs EXCLUDES:</t>
  </si>
  <si>
    <t>and to meet financing charges and dividends</t>
  </si>
  <si>
    <t>A good proxy for operating cashflow indicating ability to reinvest in asset replacement, service innovation</t>
  </si>
  <si>
    <t>The extent to which operating expenses use up income</t>
  </si>
  <si>
    <t>YTD links need to be amended each month.</t>
  </si>
  <si>
    <t>1.  EBITDA margin</t>
  </si>
  <si>
    <t>Rating 1-5 where 5 is good</t>
  </si>
  <si>
    <t>NB check calculations to LTFM.</t>
  </si>
  <si>
    <t>Plan FRR Calculations</t>
  </si>
  <si>
    <t>Actual FRR Calculations</t>
  </si>
  <si>
    <t>NB Impairments, etc.</t>
  </si>
  <si>
    <t>Clinical Divisions are reporting an overspend against budgets of £8.6m for the year. This is largely in the Medicine Division due to additional spend in A&amp;E as well as an increase in special nursing for patients with Mental Health conditions and additional spend in Surgery on Non Pay, particularly in T&amp;O.</t>
  </si>
  <si>
    <t>Clinical Divisions are reporting an overspend for the year, this is largely due to overspends in nursing, as well as some on Non Pay which are activity related. The overspend on nursing is £4.5m year to date, this is primarily in A&amp;E in Medicine and Cardiac in Specialised. The deterioration in Facilities is due to additional utility costs.</t>
  </si>
  <si>
    <r>
      <t xml:space="preserve">In summary, and within the context of the above caveats and prior to a formal reconciliation with the Sussex Commissioning Support Unit, the Trust is reporting an aggregated year to date over-performance of £28m against the consolidated commissioning plans of both local CCGs and NHS England. Of the over performance £19.7m relates to NHS England.  However, the Trust plans include contract variations and did not reflect demand management schemes in full. </t>
    </r>
    <r>
      <rPr>
        <b/>
        <sz val="10"/>
        <rFont val="Arial"/>
        <family val="2"/>
      </rPr>
      <t>Therefore the estimated over-performance against the Trust plan for March is £8.4m.</t>
    </r>
  </si>
  <si>
    <t>Table 2.  Month 11 by Point of Delivery - Including  SOTC (unadjusted)</t>
  </si>
  <si>
    <t>Cash balance at end of Q4 represents &gt;10 days of operating expenses.</t>
  </si>
  <si>
    <t>N/A</t>
  </si>
  <si>
    <t>Month-&gt;</t>
  </si>
  <si>
    <t>The Trust is reporting an overall Financial risk rating of '3'  for the year, this is in line with plan.</t>
  </si>
  <si>
    <t>2) YTD Report - based on month 11 contract monitoring data</t>
  </si>
  <si>
    <t>Carry Forward from 2013-14</t>
  </si>
  <si>
    <t>Loan Repayments/Revenue Shortfall</t>
  </si>
  <si>
    <t>Table 2.  Contract Performance by Point of Delivery</t>
  </si>
  <si>
    <t>Table 1. Total Financial Values By CCG, NHS England and Public Health</t>
  </si>
  <si>
    <t>Daycase Income</t>
  </si>
  <si>
    <t>Elective Spell</t>
  </si>
  <si>
    <t>Non Elective Spell</t>
  </si>
  <si>
    <t>Non Elective Spell - Short Stay</t>
  </si>
  <si>
    <t>Telemedicine</t>
  </si>
  <si>
    <t>MDT Meetings</t>
  </si>
  <si>
    <t>Outpatient New</t>
  </si>
  <si>
    <t>Outpatient F/up</t>
  </si>
  <si>
    <t>Outpatient Procedures</t>
  </si>
  <si>
    <t>Commissioning Income CCG's</t>
  </si>
  <si>
    <t>NHS ENGLAND (Specialised)</t>
  </si>
  <si>
    <t>PUBLIC HEALTH</t>
  </si>
  <si>
    <t>Direct Access - Imaging</t>
  </si>
  <si>
    <t>TOTAL COMMISSIONING INCOME</t>
  </si>
  <si>
    <t>Direct Access - Pathology</t>
  </si>
  <si>
    <t>Direct Access - Physio</t>
  </si>
  <si>
    <t>Direct Access - Dietetics</t>
  </si>
  <si>
    <t>Elective Excess Bed Days</t>
  </si>
  <si>
    <t>Non Elective Excess Bed Days</t>
  </si>
  <si>
    <t>PBR Exclusion Procedures</t>
  </si>
  <si>
    <t>Other PODs - Dev Inc</t>
  </si>
  <si>
    <t>Estimate</t>
  </si>
  <si>
    <t>Income from Commissioners as reported in Income Section</t>
  </si>
  <si>
    <t>Work is on-going to improve liquidity and clear outstanding NHS balances.</t>
  </si>
  <si>
    <t xml:space="preserve">Capital plans are closely reviewed by Capital Programme Review Group.  </t>
  </si>
  <si>
    <t>3Ts funding release in year will increase 3Ts spend and Operational Capital plans under review</t>
  </si>
  <si>
    <t>Back Office &amp; Commercial</t>
  </si>
  <si>
    <t>Clinical Workforce</t>
  </si>
  <si>
    <t>Major IT Programme</t>
  </si>
  <si>
    <t>Operational Estate</t>
  </si>
  <si>
    <t>Operational Productivity</t>
  </si>
  <si>
    <t>Transformation</t>
  </si>
  <si>
    <t>Themes</t>
  </si>
  <si>
    <t>Contract Agreement 2014/15</t>
  </si>
  <si>
    <r>
      <rPr>
        <b/>
        <sz val="11"/>
        <rFont val="Arial"/>
        <family val="2"/>
      </rPr>
      <t>Context</t>
    </r>
    <r>
      <rPr>
        <sz val="11"/>
        <rFont val="Arial"/>
        <family val="2"/>
      </rPr>
      <t xml:space="preserve">
A number of significant local and national changes to the commissioning and contracting environment happened in 2013/14 which are still having an impact on 2014/15 plans. These include the following:
• The disaggregation of Sussex PCTs and the formation of 7 local Sussex CCGs 
• The formation of the National Commissioning Board (NCB) and the disaggregation of the commissioning of ‘Specialist’ and ‘Public Health activity from the remit of CCGs. 
• Increasing mandated contract penalties and the application of PbR rules such as non payment for specific re-admissions and marginal payment rates for emergency activity over a set baseline.</t>
    </r>
  </si>
  <si>
    <t>Overall the Trust is reporting marginal variances from plan for Income both in the Year to Date and Forecast Positions. Contract Monitoring and Performance Information is reported monthly in arrears. Therefore, the Trust is reporting achievement of planned Income from patient activity in both the Year to Date and Forecast positions. The Trust has agreed PBR contracts with both Local Clinical Commissioning Groups and NHS England. ( Circa £400m). However, there is a significant difference between the Trust assessment of activity related income for 2014/15 and the Commissioners. (£25m). This mainly relates to Demand Management Schemes and planned repatriation of activity.</t>
  </si>
  <si>
    <t>After lengthy negotiations with Commissioners the Trust has agreed full 'PbR' contracts with both Local Clinical Commissioning Groups and NHS England. However, the Trusts estimate of activity related income is significantly higher that the Commissioning Intentions, the difference mainly relates to Commissioner demand management schemes and Repatriated Activity. The Trust and Commissioners have agreed the process for the inclusion of repatriated activity, which requires the agreement of all parties, including the current providers. This will increase the risk to the Trust of securing the levels of planned income. The Commissioners have indicated that there will be increased focus on performance, material variances to plan and in particular data quality. The Trust is in the process of agreeing a Data Quality Improvement Plan (DQuIP) with Commissioners.</t>
  </si>
  <si>
    <t xml:space="preserve"> Private Patients</t>
  </si>
  <si>
    <t>Radiotherapy</t>
  </si>
  <si>
    <t>Over 5%. Debtors over 90 days account for 15.6% of the total invoiced debts.</t>
  </si>
  <si>
    <t>Month 2</t>
  </si>
  <si>
    <t>Estimated Values for YTD May 2014</t>
  </si>
  <si>
    <t>The Trust is reporting on Plan for April 2014 as contract monitoring information is currently being validated by Divisions and Commissioners</t>
  </si>
  <si>
    <t xml:space="preserve">The Trust is reporting on Plan for May 2014 as contract monitoring information is currently being validated by Divisions and Commissioners </t>
  </si>
  <si>
    <t>Contract Monitoring is reported to the Board a month in arrears due to the external reporting timetable.  The Trust has recently reported the April position which is currently bein validated by Divisions and Commissioners .  At present the Trust is reporting delivery of the planned activity and income levels for Year to Date and  forecast position.</t>
  </si>
  <si>
    <t>Over 5%. Creditors over 90 days account for 23.5% of the total invoiced creditors.</t>
  </si>
  <si>
    <t xml:space="preserve">NHS creditors account for 52% of the 90 day balances, the remaining material balances relate to specific non NHS creditors. </t>
  </si>
  <si>
    <t>Surplus (Deficit) £k</t>
  </si>
  <si>
    <t>(Surplus)/Deficit</t>
  </si>
  <si>
    <t>Only requires updating when we decide to report on the Divisional positions</t>
  </si>
  <si>
    <t>2014/15</t>
  </si>
  <si>
    <t>BSUH I&amp;E Divisions</t>
  </si>
  <si>
    <t>NHS Financial Performance</t>
  </si>
  <si>
    <t>Capital and Cash</t>
  </si>
  <si>
    <t>Underlying Surplus / Deficit</t>
  </si>
  <si>
    <t>Trust Overall RAG Rating</t>
  </si>
  <si>
    <t>Total Strategic Capital</t>
  </si>
  <si>
    <t>Major Projects (&gt;£1m)</t>
  </si>
  <si>
    <t>Small Projects (&lt;£1m)</t>
  </si>
  <si>
    <t>Total Operational Capital</t>
  </si>
  <si>
    <t>(Under)/Overspend against CRL</t>
  </si>
  <si>
    <t>3Ts Project Team</t>
  </si>
  <si>
    <t>3Ts Main Scheme - Design and Works</t>
  </si>
  <si>
    <t xml:space="preserve">Income - (CRL excluding donated income) </t>
  </si>
  <si>
    <t xml:space="preserve">1) </t>
  </si>
  <si>
    <t>Adjs to ye forecast - to be actioned in Hyperion</t>
  </si>
  <si>
    <t>2)</t>
  </si>
  <si>
    <t>Operating costs</t>
  </si>
  <si>
    <t>Adj to other non-pay ytd budget of £97k to bring ytd plan in line with tda return</t>
  </si>
  <si>
    <t>3)</t>
  </si>
  <si>
    <t>4)</t>
  </si>
  <si>
    <t>5)</t>
  </si>
  <si>
    <t>Actual for June - Move the £853k from Drugs to Other Non _Pay - action in Oracle</t>
  </si>
  <si>
    <t>Post budget jnl for reserves entry for medicine supernumerary - have manually adjusted nursing pay budget for mth 4</t>
  </si>
  <si>
    <t>Cost Improvement Plan</t>
  </si>
  <si>
    <t>3Ts Decant (incl St Marys)</t>
  </si>
  <si>
    <t>Exchequer</t>
  </si>
  <si>
    <t>Rolling Cashflow</t>
  </si>
  <si>
    <t>For</t>
  </si>
  <si>
    <t>Act</t>
  </si>
  <si>
    <t>n/a</t>
  </si>
  <si>
    <t>Commissioning Income - Patient Activity</t>
  </si>
  <si>
    <t>Commissioning Devolved Income</t>
  </si>
  <si>
    <t>Department Of Health Income</t>
  </si>
  <si>
    <t>Private Patients Income</t>
  </si>
  <si>
    <t>Other Patient Related Income</t>
  </si>
  <si>
    <t>Income Generation</t>
  </si>
  <si>
    <t>Nursing &amp; Midwifery</t>
  </si>
  <si>
    <t>Ancillary Staff</t>
  </si>
  <si>
    <t>Maintenance &amp; Works</t>
  </si>
  <si>
    <t>Drugs &amp; Medical Gases</t>
  </si>
  <si>
    <t>Supplies and Services - Clinical</t>
  </si>
  <si>
    <t>Purchase of Healthcare from Non NHS provider</t>
  </si>
  <si>
    <t>CNST Premium</t>
  </si>
  <si>
    <t>Trading Pathology</t>
  </si>
  <si>
    <t>Trading Radiology</t>
  </si>
  <si>
    <t>TOTAL TRADING ACCOUNTS</t>
  </si>
  <si>
    <t>Depreciation &amp; Impairments</t>
  </si>
  <si>
    <t>Interest Payable</t>
  </si>
  <si>
    <t>Profit / Loss on Disposal of Fixed Assets</t>
  </si>
  <si>
    <t>PDC Dividend Payable</t>
  </si>
  <si>
    <t>TOTAL NON OPERATING INC &amp; EXP</t>
  </si>
  <si>
    <t>007410 - Fixed Asset Impairments</t>
  </si>
  <si>
    <t>007855 - Unallocated Growth Monies</t>
  </si>
  <si>
    <t>After Donated Income</t>
  </si>
  <si>
    <t>After Depreciation</t>
  </si>
  <si>
    <t>Control Total</t>
  </si>
  <si>
    <t>Control Total after IFRIC12</t>
  </si>
  <si>
    <t>Forecast Actuals</t>
  </si>
  <si>
    <t>Forecast Variance</t>
  </si>
  <si>
    <t>Phased for Board Report - not rounded</t>
  </si>
  <si>
    <t>�000</t>
  </si>
  <si>
    <t>Income from Donated Reserve</t>
  </si>
  <si>
    <t>Trading Theatres</t>
  </si>
  <si>
    <t>Compact LINACS</t>
  </si>
  <si>
    <t>Radiotherapy East</t>
  </si>
  <si>
    <t>Electrical Substation - TKT Services</t>
  </si>
  <si>
    <t>Key Performance Metrics</t>
  </si>
  <si>
    <t>The Trust has an overall RAG rating of RED.</t>
  </si>
  <si>
    <t>Year End Forecast 16/17</t>
  </si>
  <si>
    <t>Other Non Pay/Reserves</t>
  </si>
  <si>
    <t>Clinical Negligence Premium</t>
  </si>
  <si>
    <t xml:space="preserve">Finance Report Month 03 2013/14 </t>
  </si>
  <si>
    <t>Theme</t>
  </si>
  <si>
    <t>YTD Variance</t>
  </si>
  <si>
    <t>Row Labels</t>
  </si>
  <si>
    <t>Sum of YTD Plan</t>
  </si>
  <si>
    <t>Sum of YTD Actual</t>
  </si>
  <si>
    <t>Sum of YTD Variance</t>
  </si>
  <si>
    <t>Sum of Forecast</t>
  </si>
  <si>
    <t>Injury Cost Recovery</t>
  </si>
  <si>
    <t>Local Authority Income</t>
  </si>
  <si>
    <t>Overseas Visitors Income</t>
  </si>
  <si>
    <t>Education &amp; Training Income</t>
  </si>
  <si>
    <t>Research &amp; Development Income</t>
  </si>
  <si>
    <t>Trust Chair &amp; Non-Executive Directors</t>
  </si>
  <si>
    <t>Consultancy</t>
  </si>
  <si>
    <t>Audit Fees</t>
  </si>
  <si>
    <t>Year End Actual</t>
  </si>
  <si>
    <t>The plan and actual cash holding has been aligned to the TDA 10 days operating expenses level.</t>
  </si>
  <si>
    <t xml:space="preserve">Actual </t>
  </si>
  <si>
    <t>Year End Actual £k</t>
  </si>
  <si>
    <t>The capital report shows Strategic and Operational capital expenditure for year to date and the full year outturn compared to the TDA submitted plan.</t>
  </si>
  <si>
    <t>1 April 16</t>
  </si>
  <si>
    <t>The Trust has set an income plan higher than the value of the signed contracts by £4m. The difference is due to the assessment of QIPP plans &amp; the impact of the Clinical Networks workstream.</t>
  </si>
  <si>
    <t>The Trust is forecasting full delivery of CQUIN of £9.6m. Delivery will have challenges and the Trust may not receive the full value</t>
  </si>
  <si>
    <t>Some elements of the NHSE plan have still to be finalised such as RTT activity, the Radiotherapy plan and its QIPP program</t>
  </si>
  <si>
    <t>SPECT CT  Nuclear Medicine</t>
  </si>
  <si>
    <t>Replacement CT PRH</t>
  </si>
  <si>
    <t>The efficiency plan is phased over the year with stepped increases to the monthly plan in July, where the plan increases by £1.2m per month and another £1.2m per month in October on top of the July value. There will need to be significant focus to deliver these savings and the work that McKinseys are doing will support this. The current forecast assumes delivery of the efficiency programme in full.</t>
  </si>
  <si>
    <t>(mc 08)</t>
  </si>
  <si>
    <t>(mc 09)</t>
  </si>
  <si>
    <t>(mc 10)</t>
  </si>
  <si>
    <t>(mc 11)</t>
  </si>
  <si>
    <t>(mc 12)</t>
  </si>
  <si>
    <t>(mc 13)</t>
  </si>
  <si>
    <t>(mc 14)</t>
  </si>
  <si>
    <t>(mc 15)</t>
  </si>
  <si>
    <t>(mc 16)</t>
  </si>
  <si>
    <t>(mc 17)</t>
  </si>
  <si>
    <t>Description</t>
  </si>
  <si>
    <t>Status:  Fully Developed, Plans in Progress, Opportunity or Unidentified</t>
  </si>
  <si>
    <t>Recurrent (R) or Non recurrent (NR)</t>
  </si>
  <si>
    <t>Category:  Pay (Skill Mix), Pay (WTE reduction) , Non Pay and Income</t>
  </si>
  <si>
    <t>Risk Rating High (H), Medium (M), or Low (L)  (If Unidentified must be high risk)</t>
  </si>
  <si>
    <t>2016/17</t>
  </si>
  <si>
    <t>Plan Apr</t>
  </si>
  <si>
    <t>Plan May</t>
  </si>
  <si>
    <t>Plan Jun</t>
  </si>
  <si>
    <t>Plan Jul</t>
  </si>
  <si>
    <t>Plan Aug</t>
  </si>
  <si>
    <t>Plan Sep</t>
  </si>
  <si>
    <t>Plan Oct</t>
  </si>
  <si>
    <t>Plan Nov</t>
  </si>
  <si>
    <t>Plan Dec</t>
  </si>
  <si>
    <t>Plan Jan</t>
  </si>
  <si>
    <t>Plan Feb</t>
  </si>
  <si>
    <t>Plan Mar</t>
  </si>
  <si>
    <t>Full Year Variance</t>
  </si>
  <si>
    <t>Plans in Progress</t>
  </si>
  <si>
    <t>M</t>
  </si>
  <si>
    <t>Savings Non Pay</t>
  </si>
  <si>
    <t>Savings - Pay (Skill Mix)</t>
  </si>
  <si>
    <t>Major IT Programmes</t>
  </si>
  <si>
    <t>Opportunity</t>
  </si>
  <si>
    <t>Savings - Pay (WTE reductions)</t>
  </si>
  <si>
    <t>Sum of Full Year Plan</t>
  </si>
  <si>
    <t>Sum of Full Year Variance</t>
  </si>
  <si>
    <t>Pay Skill</t>
  </si>
  <si>
    <t>Pay WTE</t>
  </si>
  <si>
    <t>Forecast amended</t>
  </si>
  <si>
    <t>The Trust is currently over performing against the efficiency programme. There has been slippage in some schemes such as Workforce and Procurement but this has been mitigated by overperformance in Pharmacy. It is assumed that the full year plan will be achieved, but there are risks with this as there are stepped increases to delivery by £1.2m per month in July and another £1.2m per month in October.</t>
  </si>
  <si>
    <t xml:space="preserve">The Trust Statement of Financial position is produced on a monthly basis, and reflects changes in the asset values, as well as movement in liabilities. The plan is the TDA plan submitted in April 2015. </t>
  </si>
  <si>
    <t xml:space="preserve">The rolling cashflow spans two financial years and starts with the current month's actual results which are forecast forward another eleven months, to provide a full forward year cashflow forecast. </t>
  </si>
  <si>
    <t xml:space="preserve">Risks. </t>
  </si>
  <si>
    <t>The cashflow is based on the assumption that the forecast control total is achieved and the Trust is paid for the agreed level of performance.</t>
  </si>
  <si>
    <t xml:space="preserve">Finance Report Month 2 2016/17 </t>
  </si>
  <si>
    <t xml:space="preserve">The Trust debtors are a mixture of invoiced debtors, accrued income and prepayments. The level of invoiced debtors has increased by £0.5m since the end of April and overdue debts (those &gt; 30 days old) have increased decreased by £0.9m.  </t>
  </si>
  <si>
    <t xml:space="preserve">2. Trusts. The local organisations account for 91% of the total debt (April 93%). Back to back cash settlements of debtor and creditor balances with local organisations continue in order to manage the inter NHS indebtedness.  </t>
  </si>
  <si>
    <t>INCOME AND EXPENDITURE ACCOUNT: Rolling Trend Analysis  -  Total Entity  -  Y-T-D(May)  2016/17</t>
  </si>
  <si>
    <t>Y-T-D(May)</t>
  </si>
  <si>
    <t xml:space="preserve">Strategic Capital. Actual spend on 3Ts is slightly behind programme due to decant delays impacting on the main scheme. Work on Helideck and Trauma Lift has commenced and mobilisation payments have been made to complete detailed package design, secure prices and ensure supply chain engagement including offsite manufacturing slots.  The drawdown of funding for 3Ts continues on a monthly basis. The Radiotherapy East scheme is considerably behind plan.
Operational Capital. Work continues on schemes approved in 2015-16, many of which were deferred or started but not completed in that year. The SPECT Nuclear Medicine scheme is expected to take three months from June through to August. The Compact LINACS scheme is underway and expected to be completed in July.
 </t>
  </si>
  <si>
    <t xml:space="preserve">The May cash holding is below plan. </t>
  </si>
  <si>
    <t>The planned revenue deficit of £15.6m is to be cash backed by an increase in the Interim Revenue Support Loan (£17.9m at 31 March 2016). The current facility has headroom of a further £4.3m; it is expected that this will be increased by £5.6m for the full year.  
The 3Ts funding for this year is all PDC backed, and amounts to £64.2m, drawn down monthly based on actual expenditure incurred. Additionally the balance of the Radiotherapy East loan of  £11.2m will be drawn down in year.</t>
  </si>
  <si>
    <t>High Risk</t>
  </si>
  <si>
    <t>Medium Risk</t>
  </si>
  <si>
    <t>Low Risk</t>
  </si>
  <si>
    <r>
      <t>The Trust is behind plan in May by £5.2m. This is made up of £2.4m Sustainability &amp; Transformation Programme (STP) funding not being accrued in month 2, as advised by NHSI, but included in the year end position. The position also reflects a reduction in SIFT and R&amp;D Income, and increased spending on consumables, particularly disposable items as well as consultancy costs for the financial improvement programme</t>
    </r>
    <r>
      <rPr>
        <sz val="10"/>
        <color rgb="FFFF0000"/>
        <rFont val="Arial"/>
        <family val="2"/>
      </rPr>
      <t xml:space="preserve">. </t>
    </r>
    <r>
      <rPr>
        <sz val="10"/>
        <rFont val="Arial"/>
        <family val="2"/>
      </rPr>
      <t>The forecast position assumes that the sustainability funding will be receivable in full and that the other variances will be recovered through the financial improvement programme.</t>
    </r>
  </si>
  <si>
    <t>The forecast position assumes that the month 2 overspend on non pay is recovered over the next 10 months or as well as PbR excluded drugs &amp; devices which is offset with income.</t>
  </si>
  <si>
    <t>Overall the Trust is reporting a £2.3m overspend against operating costs. Pay expenditure is marginally underspent and non-pay expenditure is overspent by £2.33m.  The Trust has spent £1.8k on agency staff in the year to date against the annual ceiling of £12.8m.</t>
  </si>
  <si>
    <t>The Trust has an overall position that is behind plan, this is due partly to the £2.4m STP funding, plus SIFT income being lower then 15/16.  The Trust is £2.3m overspent on Non Pay budgets, with the highest levels of overspend on drugs, particularly PBR excluded drugs &amp; devices which is offset with income and partly due increases in consumables expenditure, particularly disposable items, outsourcing activity as well as consultants assisting with financial improvement</t>
  </si>
  <si>
    <t xml:space="preserve">The Trust is reporting a £11,088k year to date deficit at the end of May 2016.  This is a £5,238k adverse variance to plan caused by not recognising £2.4m of sustainability funding until eligibility for it becomes certain, by reduced education and research funding and by increased nursing and non-pay costs.  The  forecast for the year end is that the deficit plan of £15,570k will be met because the sustainability funding will be receivable in full, the other variances will be recovered through the financial improvement programme will support delivery to plan. There are significant risks to delivering the planned level of financial performance.  The phasing of the financial plan requires significant improvement in performance from quarter 2 on so achieving activity and income targets, controlling costs and meeting efficiency savings are all key risks. 
</t>
  </si>
  <si>
    <t xml:space="preserve">Overall the Trust is reporting a year to date position of £3.2m below plan.  The Trust plan assumes £1.2m per month from the Sustainability Transformation Programme. The Trust has been informed not to report any income for this YTD and that it is unlikely to receive any payment for this until at least July. The forecast has been amended to reflect this advice. There is a shortfall of £0.5m in SIFT funding. The Trust was expecting a reduction, but not to this level and is discussing this with HEE. The Trusts is forecasting a year end over performance of £2.2m on income, relating mainly to PbR excluded drugs and devices, which is offset by additional cost. </t>
  </si>
  <si>
    <t>The Trust is forecasting to over perform against the planned levels by £2.2m. The over performance on contract income is due to PbR exclusions and is offset by expenditure. The position assumes the reinvestment of contract adjustments and penalties and there is a risk to securing this level of income. The shortfall on other patient related income is due mainly to under performance on the pathology joint venture target.</t>
  </si>
  <si>
    <t>Overall the Trust is reporting under-achievement Year to Date of £3.2m. The impact of the change in the timing of STP payments is shown on the graph below. Income from activity is over performing for PbR excluded drugs/devices and this is offset by a provision for commissioner challenges. The shortfall in private patient income in mainly in Imaging, Pathology and Cardiology.</t>
  </si>
  <si>
    <t>The Trust is assuming full reinvestment of contract penalties by Commissioners who may have a different plan.</t>
  </si>
  <si>
    <t>The Trust has yet to finalise the payment of 15-16 year end contract income, with the value disputed up to £15m</t>
  </si>
  <si>
    <t>Report Run: 16-Jun-16  @  5:51:04</t>
  </si>
  <si>
    <t xml:space="preserve">The Strategic Capital programme is behind plan, with delays on both the decant programme and the Radiotherapy East scheme. The Operational Capital programme includes a significant amount of work approved in 2016 that has been carried over into 2017 due to the restrictions in 2016, and is also behind plan. The Operational Capital funding has been restricted in 2017 to £17m. The Operational Capital programme shows a forecast spend of £20,5m, which is at an over programming level consistent with previous years to allow for slippage and changed priorities in year.    </t>
  </si>
  <si>
    <t xml:space="preserve">The revenue deficit is £5.2m behind plan and accounts for the EBITDA variance. Both Strategic Capital (the Radiotherapy East Scheme) and Operational Capital expenditure is below plan, which has helped offset the revenue deficit for cash flow. Accrued income is high pending finalisation of the year end commission income. Overall for the month there has been a net cash inflow of £2.6m but with the backlog of overdue accounts there is an unrelenting pressure on creditor payments which has a continuing impact on day to day operations.
The variance on the drawdown on debt relates to the balance of the loan for Radiotherapy East which cannot be drawn while the scheme is behind schedule.
</t>
  </si>
  <si>
    <t>1. Capital expenditure is below plan due to slippage on the Radiotherapy East project and large operational capital schemes (SPECT Nuclear Medicine and Compact LINACS).   
2. Debtors (trade and other receivables) remain high with accrued income too high because of year end negotiations over commissioning income; creditors (trade and other payables) has improved since last month but is slightly higher than plan because of the continuing cash flow problems.  
3. The cash funding for the revenue deficit support, capital investment loans and PDC was received in May, easing the cashflow pressures in May, but with a worsening in the revenue position further pressure is building on cashflow for June. The final tranche of revenue deficit support will be drawn down in June, at which point the Trust will have reached the current limit on the Revolving Working Capital Facility.
4. The variance compared to plan for the Revaluation Reserve relates to the final valuation on the estate at last year end.</t>
  </si>
  <si>
    <t>1. The full year capital expenditure plan assumes that the agreed PDC funding of £64.2m is released in year, there are no delays to the 3Ts work programme, the Radiotherapy East programme is completed in year, the balance of the capital investment loan (£9.2m) is drawn down in year; and that there is no slippage in the operational programme in year.
2&amp;3. Debtors, creditors and cash are dependent on the Trust revenue performance for the year. The current forecasts are based on the achievement of the planned deficit and revenue funding of £15.6m being made available in year by an increase in the Revolving Working Capital Facility of £5.5 to £35.4m. 
5. The change in the revaluation reserve reflects the results of the annual estates valuation carried out at the end of last year by Gerald Eve and which includes this transfer from the revaluation reserve to retained earnings.</t>
  </si>
  <si>
    <t xml:space="preserve">3. Other NHS.  The only material debts that are overdue are the EPR funding (£627k) and the contract income shortfall for March 16 (518k) which is part of the year end commissioning income discussions. 
4. Other Debtors. The over 30 days balance has increased (£183k) and within this balance the PBR debt for £178k remains outstanding (which is a pass through payment from the CCG) , and debts with two other organisations that have invoices totalling £176k outstanding for services provided.   
5. Private Patient overdue debts have increased by £40k.  
6. Accrued income includes £24.6m in respect of commissioning income for 15-16 patient activity. </t>
  </si>
  <si>
    <r>
      <t>The key risks to forecast outturn for 2016/17 are
Income – the Trust has set a plan higher than Commissioner contracts on the basis that QIPP schemes will not materially reduce Trust activity</t>
    </r>
    <r>
      <rPr>
        <sz val="10"/>
        <color rgb="FFFF0000"/>
        <rFont val="Geneva"/>
      </rPr>
      <t>.</t>
    </r>
    <r>
      <rPr>
        <sz val="10"/>
        <rFont val="Geneva"/>
      </rPr>
      <t xml:space="preserve"> CQIUN payments are assumed at 100% and that penalties / fines are reinvested in the Trust. The Trust has yet to finalise the payment of 15-16 year end contract income, with the value disputed up to £15m.                                                                                                The full amount of SIFT income has been assumed, the latest schedule from HEE KSS advises that we will receive £3.6m less than last year.
Operational costs – there are risks around the nursing expenditure and the overspend cannot continue without having an impact on the full year position, if expenditure continues at the same rate for the rest of the year the overspend on nursing will be over £6m .                                                                                                                         Full delivery of the £25.1m Efficiency Programme has been forecast, work is ongoing with McKinsey's to ensure the plans are robust and will deliver.
If there is no improvement to the financial position the full year deficit could be in excess of £70m, this is based on an extrapolation of the current position plus expenditure on CQC improvements and the financial improvement programme.
</t>
    </r>
  </si>
  <si>
    <t>I&amp;E Margin rating</t>
  </si>
  <si>
    <t>I&amp;E Margin Variance From Plan rating</t>
  </si>
  <si>
    <t>Current Month Metrics</t>
  </si>
  <si>
    <t>Forecast Outturn Metrics</t>
  </si>
  <si>
    <t>TRU FORM REFERENCE</t>
  </si>
  <si>
    <t>Historic Year to 31-Mar-16</t>
  </si>
  <si>
    <t>Financial Sustainability Risk Rating</t>
  </si>
  <si>
    <t>The Financial Sustainability Risk Rating of 1 is the lowest possible rating and mirrors the revenue and liquidity pressures faced by the Trust.  The forecast calculation reflects the projection that the control total deficit will be met, hence the rating of 4 against the plan and 2 overall.</t>
  </si>
  <si>
    <t>The Trust is behind plan in April by £5.2m, this is made up of £2.4m sustainability &amp; transformation funding not being accrued in month 2, but included in the year end position following advice from NHS Improvement as well as a reduction in SIFT and R&amp;D Income. Additional expenditure in non pay including expenditure on financial improvement costs have been incurred in May. The forecast position assumes that the sustainability funding will be receivable in full for the year and that the other variances will be recovered through the Financial Improvement Programme (FIP).  The forecast will be revisited as the FIP plans develop.</t>
  </si>
  <si>
    <t>Revenue funding of £5.9m for April and May was received in month but the cash holding remains below plan. Further revenue funding of  £9.7m is included in the forecast which will require an increase in the existing Revolving Working Capital Support Facility which currently is set at £29.9m.
Capital funding for 3Ts and the Radiotherapy East scheme are in place for the year and is being drawn down to match capital expenditure. The year end level of cash holding is aligned with the TDA 10 days operating expenses which is the maximum cash holding assumed for an organisation with revenue support and is dependent on achievement of the planned control total and planned revenue funding.  A Cash Committee has been established to manage the risks around liquidity.</t>
  </si>
  <si>
    <t>Overall the Trust is £2.3m overspent against operating costs. Pay overall is slightly better than plan, however non-pay expenditure is overspent by £2.3m, which is partly attributable to drugs which are PbR excluded items and offset with income and partly due increases in consumables expenditure, particularly disposable items, outsourcing activity as well as consultants assisting with financial improvement. The forecast position assumes recovery of some of these overspends on non-pay. The agency spend year to date is £1.8m, against the annual ceiling for the Trust of £12.8m.</t>
  </si>
  <si>
    <t>The year end position assumes the recovery of the M2 position and the achievement of planned performance thereafter.  The plan is for a reducing level of monthly deficit over the year through delivery of the financial improvement programme.  The phased forecast reflects uncertainty around receipt of sustainability funding.  It is anticipated that performance against the first quarters targets will be agreed in month 4 with receipt of payment in month 5 - therfore the forecast doesn't recognise receipt of these funds until month 4.  Should this income not be recognisable in month 4 the reported performance for month 4 will be significant worse than shown.  There are also significant risks to the forecast for month 3.</t>
  </si>
  <si>
    <t>The plan reflects the April 2016 TDA submission and is based achievement of the planned control total for the year.  Revenue funding of £5.9m for April and May was received in month but the cash holding remains below planFurther revenue funding of  £9.7m is included in the forecast which will require an increase in the existing Revolving Working Capital Support Facility which currently is set at £29.9m.  Capital funding for 3Ts and the Radiotherapy East scheme are in place for the year and is being drawn down to match capital expenditure. The year end level of cash holding is aligned with the TDA 10 days operating expenses which is the maximum cash holding assumed for an organisation with revenue support and is dependent on achievement of the planned control total and planned revenue funding.  A Cash Committee has been established to manage the risks around liquidity.</t>
  </si>
  <si>
    <t xml:space="preserve">Overall the Trust is reporting a year to date position of £3.2m below plan. The YTD Trust plan assumes £2.4m from the Sustainability Transformation Programme. The Trust has been informed not to report any income for this YTD and that it is unlikely to receive any payment for this until at least July. The forecast has been amended to reflect this advice. Commissioner activity is broadly on plan with an over performance against PbR excluded items. This is prior to an assessment of CCG challenges and a provision of £750k has been made for these. There is a shortfall of £0.5m in SIFT funding. The Trust was expecting a reduction, but not to this level and is discussing this with HEE. The Trusts is forecasting a year end over performance of £2.2m on income relating to PbR excluded drugs/devices. </t>
  </si>
  <si>
    <t>The Trust is overspent by £2.3m on operating costs at month 2. There is a very small underspend on pay budgets of £0.025m, comprised of unders and overs across staff groups. The Trust is £2.3m overspent on Non Pay budgets, with the highest levels of overspend on drugs, which is partially due to PBR excluded drugs &amp; devices which is offset with income. The rest is a mixture of an increase in consumables, particularly disposable items, outsourcing activity as well as the costs of the financial improvement consultants approved by NHSI.</t>
  </si>
  <si>
    <t>1. CCGs. The CCGs overdue balance is a mixture of relatively small old year balances, £1.4m in respect of CQUIN (which was partially paid in 15-16), an element of the 3Ts transitional support (£451k), and PBR exclusions costs (£688k). The NCA debtors over 30 days have reduced slightly but are still high at £801k, and the debtors over 90 days have improved falling from £187k to £161k.</t>
  </si>
  <si>
    <t>The efficiency programme is ahead of plan for the year to date position and currently forecasting the to deliver the full year plans. The year to date position is  made up of the FYE from 15/16 as well as a few new schemes for 16/17, such as Procurement which feeds into the Back Office and Commercial theme. There has been slippage within the Workforce schemes, but this is offset by the Pharmacy savings which was not planned to deliver until July, but has started delivering in April and continued in May. Whilst the cost improvement plan is £25m the total savings plan, including the cessation of overspends is £37m.  The planned level of savings increases significantly from quarter 2 onward and there are substantial risks to the delivery of these.</t>
  </si>
  <si>
    <t xml:space="preserve">Strategic Capital. The Plan and Forecast of £64.25m for 3Ts is in line with the DH cashflow expectation and overall Capital requirement. Given changes to possession dates, a new programme is under review which will result in a revised forecast.  The forecast assumes key pieces of work are still to be completed in 2016/17 including completion of Stage 1 design, construction of Helideck and Trauma lift, demolitions and commencement of Stage 1 build. The variance on the Radiotherapy East scheme relates to the underspend carried forward from 15-16 which is funded by the carry forward on the loan.
Operational Capital. The funding available in 2016-17 is severely restricted, particularly as much of the funding is pre--committed to the completion of schemes approved and started in the previous year. This has meant that the funds available for equipment replacement, estates backlog and IT infrastructure are less than requested.  
The final CRL limit shows a forecast overspend of £3.6m, but this will be managed by changes and slippage in the programme so that the overall programme will be matched to the available capital funding (CRL).
</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</si>
</sst>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6" formatCode="&quot;£&quot;#,##0;[Red]\-&quot;£&quot;#,##0"/>
    <numFmt numFmtId="41" formatCode="_-* #,##0_-;\-* #,##0_-;_-* &quot;-&quot;_-;_-@_-"/>
    <numFmt numFmtId="44" formatCode="_-&quot;£&quot;* #,##0.00_-;\-&quot;£&quot;* #,##0.00_-;_-&quot;£&quot;* &quot;-&quot;??_-;_-@_-"/>
    <numFmt numFmtId="43" formatCode="_-* #,##0.00_-;\-* #,##0.00_-;_-* &quot;-&quot;??_-;_-@_-"/>
    <numFmt numFmtId="164" formatCode="#,##0;\(#,##0\)"/>
    <numFmt numFmtId="165" formatCode="mmm\ \-\ yy"/>
    <numFmt numFmtId="166" formatCode="_-* #,##0_-;[Red]* \(#,##0\);_-* &quot;-&quot;??_-;_-@_-"/>
    <numFmt numFmtId="167" formatCode="0.0%"/>
    <numFmt numFmtId="168" formatCode="_-* #,##0_-;\-* #,##0_-;_-* &quot;-&quot;??_-;_-@_-"/>
    <numFmt numFmtId="169" formatCode="0.0"/>
    <numFmt numFmtId="170" formatCode="#,##0.0"/>
    <numFmt numFmtId="171" formatCode="_-* #,##0.000_-;\-* #,##0.000_-;_-* &quot;-&quot;??_-;_-@_-"/>
    <numFmt numFmtId="172" formatCode="#,##0;[Red]\(#,##0\)"/>
    <numFmt numFmtId="173" formatCode="_(#,##0_);\(#,##0\)"/>
    <numFmt numFmtId="174" formatCode="#,##0;\(#,##0\);\-"/>
    <numFmt numFmtId="175" formatCode="[$-F800]dddd\,\ mmmm\ dd\,\ yyyy"/>
    <numFmt numFmtId="176" formatCode="_(#,##0_);[Red]\(#,##0\)"/>
    <numFmt numFmtId="177" formatCode="#,##0.0000"/>
    <numFmt numFmtId="178" formatCode="_-* #,##0.0_-;\-* #,##0.0_-;_-* &quot;-&quot;??_-;_-@_-"/>
    <numFmt numFmtId="179" formatCode="&quot;&quot;##,##0&quot;&quot;"/>
    <numFmt numFmtId="180" formatCode="#,##0.00;\(#,##0.00\);\-"/>
    <numFmt numFmtId="181" formatCode="\-* #,##0_-;[Red]* \(#,##0\);_-* &quot;-&quot;??_-;_-@_-"/>
    <numFmt numFmtId="182" formatCode="* #,##0;[Red]* \(#,##0\);_-* &quot;-&quot;??_-;_-@_-"/>
    <numFmt numFmtId="183" formatCode="#,##0_ ;[Red]\(#,##0\);\-"/>
    <numFmt numFmtId="184" formatCode="#,##0_);[Red]\(#,##0\);\-_)"/>
    <numFmt numFmtId="185" formatCode="#,##0.0_);\(#,##0.0\)"/>
    <numFmt numFmtId="186" formatCode="_([$€]* #,##0.00_);_([$€]* \(#,##0.00\);_([$€]* &quot;-&quot;??_);_(@_)"/>
    <numFmt numFmtId="187" formatCode="General\ &quot;.&quot;"/>
    <numFmt numFmtId="188" formatCode="0.0_)%;[Red]\(0.0%\);0.0_)%"/>
    <numFmt numFmtId="189" formatCode="0.00%;\(0.00%\)"/>
    <numFmt numFmtId="190" formatCode="0.00_)"/>
    <numFmt numFmtId="191" formatCode="\+\ #,##0.0_);\-\ #,##0.0_)"/>
    <numFmt numFmtId="192" formatCode="#,##0;\-#,##0;\-"/>
    <numFmt numFmtId="193" formatCode="&quot;(&quot;##,##0&quot;)&quot;"/>
    <numFmt numFmtId="194" formatCode="&quot;M&quot;0"/>
    <numFmt numFmtId="195" formatCode="_-&quot;£&quot;* #,##0_-;\-&quot;£&quot;* #,##0_-;_-&quot;£&quot;* &quot;-&quot;??_-;_-@_-"/>
    <numFmt numFmtId="196" formatCode="#,##0;[Red]\(#,##0\);\-"/>
    <numFmt numFmtId="197" formatCode="&quot;£&quot;#,##0"/>
    <numFmt numFmtId="198" formatCode="#,##0.0;[Red]\(#,##0.0\)"/>
    <numFmt numFmtId="199" formatCode="#,##0.0_ ;[Red]\(#,##0.0\);\-"/>
    <numFmt numFmtId="200" formatCode="#,##0.00_ ;[Red]\(#,##0.00\);\-"/>
    <numFmt numFmtId="201" formatCode="_-* #,##0.0_-;[Red]* \(#,##0.0\);_-* &quot;-&quot;??_-;_-@_-"/>
    <numFmt numFmtId="202" formatCode="_-* #,##0.00_-;[Red]* \(#,##0.00\);_-* &quot;-&quot;??_-;_-@_-"/>
    <numFmt numFmtId="203" formatCode="#,##0.00;[Red]#,##0.00"/>
    <numFmt numFmtId="204" formatCode="#,##0_);\(#,##0\)"/>
    <numFmt numFmtId="205" formatCode="#,##0.000;[Red]#,##0.000"/>
    <numFmt numFmtId="206" formatCode="#,##0.0;[Red]\-#,##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8"/>
      <name val="Arial"/>
      <family val="2"/>
    </font>
    <font>
      <sz val="11"/>
      <name val="Times New Roman"/>
      <family val="1"/>
    </font>
    <font>
      <b/>
      <sz val="10"/>
      <color indexed="10"/>
      <name val="Arial"/>
      <family val="2"/>
    </font>
    <font>
      <b/>
      <i/>
      <sz val="10"/>
      <name val="Arial"/>
      <family val="2"/>
    </font>
    <font>
      <b/>
      <u/>
      <sz val="10"/>
      <name val="Arial"/>
      <family val="2"/>
    </font>
    <font>
      <sz val="10"/>
      <name val="Arial"/>
      <family val="2"/>
    </font>
    <font>
      <b/>
      <i/>
      <sz val="10"/>
      <color indexed="10"/>
      <name val="Arial"/>
      <family val="2"/>
    </font>
    <font>
      <i/>
      <sz val="10"/>
      <name val="Arial"/>
      <family val="2"/>
    </font>
    <font>
      <b/>
      <sz val="9"/>
      <name val="Arial"/>
      <family val="2"/>
    </font>
    <font>
      <sz val="9"/>
      <name val="Arial"/>
      <family val="2"/>
    </font>
    <font>
      <b/>
      <sz val="9"/>
      <color indexed="12"/>
      <name val="Arial"/>
      <family val="2"/>
    </font>
    <font>
      <sz val="9"/>
      <name val="Arial"/>
      <family val="2"/>
    </font>
    <font>
      <b/>
      <sz val="9"/>
      <name val="Arial"/>
      <family val="2"/>
    </font>
    <font>
      <b/>
      <sz val="14"/>
      <name val="Arial"/>
      <family val="2"/>
    </font>
    <font>
      <b/>
      <sz val="10"/>
      <name val="Arial"/>
      <family val="2"/>
    </font>
    <font>
      <sz val="10"/>
      <name val="Arial"/>
      <family val="2"/>
    </font>
    <font>
      <sz val="10"/>
      <color indexed="8"/>
      <name val="Arial"/>
      <family val="2"/>
    </font>
    <font>
      <b/>
      <sz val="8"/>
      <name val="Arial"/>
      <family val="2"/>
    </font>
    <font>
      <sz val="10"/>
      <name val="Arial"/>
      <family val="2"/>
    </font>
    <font>
      <sz val="8"/>
      <name val="Arial"/>
      <family val="2"/>
    </font>
    <font>
      <sz val="8"/>
      <name val="Microsoft Sans Serif"/>
      <family val="2"/>
    </font>
    <font>
      <sz val="10"/>
      <name val="Arial"/>
      <family val="2"/>
    </font>
    <font>
      <b/>
      <sz val="8"/>
      <name val="Microsoft Sans Serif"/>
      <family val="2"/>
    </font>
    <font>
      <b/>
      <sz val="16"/>
      <color indexed="57"/>
      <name val="Arial"/>
      <family val="2"/>
    </font>
    <font>
      <b/>
      <sz val="16"/>
      <color indexed="10"/>
      <name val="Arial"/>
      <family val="2"/>
    </font>
    <font>
      <b/>
      <sz val="16"/>
      <name val="Arial"/>
      <family val="2"/>
    </font>
    <font>
      <b/>
      <sz val="10"/>
      <color indexed="57"/>
      <name val="Arial"/>
      <family val="2"/>
    </font>
    <font>
      <b/>
      <sz val="10"/>
      <color indexed="51"/>
      <name val="Arial"/>
      <family val="2"/>
    </font>
    <font>
      <sz val="12"/>
      <name val="Times New Roman"/>
      <family val="1"/>
    </font>
    <font>
      <sz val="11"/>
      <name val="Arial"/>
      <family val="2"/>
    </font>
    <font>
      <u/>
      <sz val="10"/>
      <color indexed="18"/>
      <name val="Arial"/>
      <family val="2"/>
    </font>
    <font>
      <sz val="10"/>
      <name val="Geneva"/>
    </font>
    <font>
      <sz val="8"/>
      <color indexed="8"/>
      <name val="Arial"/>
      <family val="2"/>
    </font>
    <font>
      <b/>
      <sz val="10"/>
      <color indexed="52"/>
      <name val="Arial"/>
      <family val="2"/>
    </font>
    <font>
      <b/>
      <sz val="16"/>
      <color indexed="52"/>
      <name val="Arial"/>
      <family val="2"/>
    </font>
    <font>
      <b/>
      <sz val="16"/>
      <color indexed="51"/>
      <name val="Arial"/>
      <family val="2"/>
    </font>
    <font>
      <b/>
      <sz val="10"/>
      <color indexed="8"/>
      <name val="Arial"/>
      <family val="2"/>
    </font>
    <font>
      <b/>
      <sz val="8"/>
      <color indexed="8"/>
      <name val="Arial"/>
      <family val="2"/>
    </font>
    <font>
      <b/>
      <sz val="10"/>
      <name val="Geneva"/>
    </font>
    <font>
      <sz val="8"/>
      <color indexed="23"/>
      <name val="Microsoft Sans Serif"/>
      <family val="2"/>
    </font>
    <font>
      <b/>
      <sz val="8"/>
      <color indexed="23"/>
      <name val="Arial"/>
      <family val="2"/>
    </font>
    <font>
      <sz val="8"/>
      <color indexed="8"/>
      <name val="Microsoft Sans Serif"/>
      <family val="2"/>
    </font>
    <font>
      <b/>
      <sz val="8"/>
      <color indexed="8"/>
      <name val="Microsoft Sans Serif"/>
      <family val="2"/>
    </font>
    <font>
      <b/>
      <sz val="8"/>
      <name val="Arial"/>
      <family val="2"/>
    </font>
    <font>
      <b/>
      <u/>
      <sz val="8"/>
      <name val="Arial"/>
      <family val="2"/>
    </font>
    <font>
      <i/>
      <sz val="8"/>
      <name val="Arial"/>
      <family val="2"/>
    </font>
    <font>
      <b/>
      <sz val="10"/>
      <color indexed="53"/>
      <name val="Arial"/>
      <family val="2"/>
    </font>
    <font>
      <b/>
      <sz val="12"/>
      <name val="Arial"/>
      <family val="2"/>
    </font>
    <font>
      <sz val="8"/>
      <color indexed="22"/>
      <name val="Microsoft Sans Serif"/>
      <family val="2"/>
    </font>
    <font>
      <b/>
      <sz val="8"/>
      <color indexed="22"/>
      <name val="Arial"/>
      <family val="2"/>
    </font>
    <font>
      <sz val="10"/>
      <color indexed="10"/>
      <name val="Arial"/>
      <family val="2"/>
    </font>
    <font>
      <sz val="10"/>
      <name val="Arial Unicode MS"/>
      <family val="2"/>
    </font>
    <font>
      <sz val="10"/>
      <color indexed="8"/>
      <name val="Dialog"/>
    </font>
    <font>
      <sz val="10"/>
      <color indexed="10"/>
      <name val="Dialog.plain"/>
    </font>
    <font>
      <sz val="10"/>
      <color indexed="8"/>
      <name val="Dialog.plain"/>
    </font>
    <font>
      <sz val="10"/>
      <name val="Dialog.plain"/>
    </font>
    <font>
      <sz val="10"/>
      <name val="Arial"/>
      <family val="2"/>
    </font>
    <font>
      <b/>
      <u/>
      <sz val="12"/>
      <color indexed="18"/>
      <name val="Arial"/>
      <family val="2"/>
    </font>
    <font>
      <b/>
      <sz val="11"/>
      <name val="Arial"/>
      <family val="2"/>
    </font>
    <font>
      <sz val="10"/>
      <color indexed="9"/>
      <name val="Arial"/>
      <family val="2"/>
    </font>
    <font>
      <sz val="12"/>
      <name val="Arial"/>
      <family val="2"/>
    </font>
    <font>
      <sz val="10"/>
      <color indexed="12"/>
      <name val="Arial"/>
      <family val="2"/>
    </font>
    <font>
      <b/>
      <sz val="9"/>
      <color indexed="12"/>
      <name val="Arial"/>
      <family val="2"/>
    </font>
    <font>
      <b/>
      <sz val="8"/>
      <color indexed="81"/>
      <name val="Tahoma"/>
      <family val="2"/>
    </font>
    <font>
      <sz val="8"/>
      <color indexed="81"/>
      <name val="Tahoma"/>
      <family val="2"/>
    </font>
    <font>
      <sz val="10"/>
      <color indexed="24"/>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8"/>
      <name val="Arial"/>
      <family val="2"/>
    </font>
    <font>
      <b/>
      <sz val="10.5"/>
      <color indexed="8"/>
      <name val="Arial"/>
      <family val="2"/>
    </font>
    <font>
      <sz val="10"/>
      <color indexed="8"/>
      <name val="MS Sans Serif"/>
      <family val="2"/>
    </font>
    <font>
      <sz val="10"/>
      <name val="Helv"/>
      <family val="2"/>
    </font>
    <font>
      <b/>
      <sz val="10"/>
      <color indexed="18"/>
      <name val="MS Sans Serif"/>
      <family val="2"/>
    </font>
    <font>
      <sz val="12"/>
      <name val="Arial"/>
      <family val="2"/>
    </font>
    <font>
      <u/>
      <sz val="10"/>
      <color indexed="12"/>
      <name val="Arial"/>
      <family val="2"/>
    </font>
    <font>
      <u/>
      <sz val="10"/>
      <color indexed="18"/>
      <name val="Arial"/>
      <family val="2"/>
    </font>
    <font>
      <sz val="18"/>
      <name val="Times New Roman"/>
      <family val="1"/>
    </font>
    <font>
      <b/>
      <sz val="13"/>
      <name val="Times New Roman"/>
      <family val="1"/>
    </font>
    <font>
      <b/>
      <i/>
      <sz val="12"/>
      <name val="Times New Roman"/>
      <family val="1"/>
    </font>
    <font>
      <i/>
      <sz val="12"/>
      <name val="Times New Roman"/>
      <family val="1"/>
    </font>
    <font>
      <b/>
      <i/>
      <sz val="16"/>
      <name val="Helv"/>
    </font>
    <font>
      <sz val="8"/>
      <name val="Tahom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8.5"/>
      <name val="Times New Roman"/>
      <family val="1"/>
    </font>
    <font>
      <b/>
      <sz val="16"/>
      <color indexed="9"/>
      <name val="Arial"/>
      <family val="2"/>
    </font>
    <font>
      <b/>
      <sz val="10"/>
      <color indexed="14"/>
      <name val="Arial"/>
      <family val="2"/>
    </font>
    <font>
      <sz val="10"/>
      <color indexed="10"/>
      <name val="Arial"/>
      <family val="2"/>
    </font>
    <font>
      <b/>
      <sz val="14"/>
      <color indexed="17"/>
      <name val="Arial"/>
      <family val="2"/>
    </font>
    <font>
      <b/>
      <sz val="16"/>
      <color indexed="17"/>
      <name val="Arial"/>
      <family val="2"/>
    </font>
    <font>
      <b/>
      <sz val="16"/>
      <color indexed="10"/>
      <name val="Arial"/>
      <family val="2"/>
    </font>
    <font>
      <b/>
      <sz val="14"/>
      <color indexed="17"/>
      <name val="Arial"/>
      <family val="2"/>
    </font>
    <font>
      <b/>
      <sz val="12"/>
      <name val="Times New Roman"/>
      <family val="1"/>
    </font>
    <font>
      <sz val="8"/>
      <name val="Arial"/>
      <family val="2"/>
    </font>
    <font>
      <sz val="10"/>
      <name val="Arial"/>
      <family val="2"/>
    </font>
    <font>
      <b/>
      <sz val="10"/>
      <color indexed="9"/>
      <name val="Arial"/>
      <family val="2"/>
    </font>
    <font>
      <sz val="8"/>
      <name val="Arial"/>
      <family val="2"/>
    </font>
    <font>
      <sz val="8"/>
      <name val="Arial"/>
      <family val="2"/>
    </font>
    <font>
      <sz val="8"/>
      <color indexed="8"/>
      <name val="Arial"/>
      <family val="2"/>
    </font>
    <font>
      <b/>
      <sz val="12"/>
      <color indexed="8"/>
      <name val="Arial"/>
      <family val="2"/>
    </font>
    <font>
      <sz val="8"/>
      <color indexed="8"/>
      <name val="Microsoft Sans Serif"/>
      <family val="2"/>
    </font>
    <font>
      <b/>
      <sz val="8"/>
      <color indexed="8"/>
      <name val="Arial"/>
      <family val="2"/>
    </font>
    <font>
      <i/>
      <sz val="8"/>
      <color indexed="8"/>
      <name val="Arial"/>
      <family val="2"/>
    </font>
    <font>
      <sz val="10"/>
      <color indexed="8"/>
      <name val="Calibri"/>
      <family val="2"/>
    </font>
    <font>
      <sz val="8"/>
      <name val="Arial"/>
      <family val="2"/>
    </font>
    <font>
      <sz val="8"/>
      <name val="Arial"/>
      <family val="2"/>
    </font>
    <font>
      <b/>
      <sz val="14"/>
      <color indexed="51"/>
      <name val="Arial"/>
      <family val="2"/>
    </font>
    <font>
      <sz val="10"/>
      <name val="Arial"/>
      <family val="2"/>
    </font>
    <font>
      <sz val="10"/>
      <name val="Arial"/>
      <family val="2"/>
    </font>
    <font>
      <sz val="8"/>
      <color indexed="8"/>
      <name val="Arial"/>
      <family val="2"/>
    </font>
    <font>
      <b/>
      <sz val="8"/>
      <color indexed="8"/>
      <name val="Arial"/>
      <family val="2"/>
    </font>
    <font>
      <sz val="8"/>
      <color indexed="8"/>
      <name val="Microsoft Sans Serif"/>
      <family val="2"/>
    </font>
    <font>
      <b/>
      <sz val="11"/>
      <color indexed="8"/>
      <name val="Calibri"/>
      <family val="2"/>
    </font>
    <font>
      <sz val="10"/>
      <color indexed="8"/>
      <name val="Calibri"/>
      <family val="2"/>
    </font>
    <font>
      <b/>
      <sz val="10"/>
      <name val="Calibri"/>
      <family val="2"/>
    </font>
    <font>
      <sz val="10"/>
      <name val="Calibri"/>
      <family val="2"/>
    </font>
    <font>
      <b/>
      <sz val="10"/>
      <color indexed="8"/>
      <name val="Calibri"/>
      <family val="2"/>
    </font>
    <font>
      <i/>
      <sz val="10"/>
      <name val="Calibri"/>
      <family val="2"/>
    </font>
    <font>
      <i/>
      <sz val="11"/>
      <color indexed="8"/>
      <name val="Calibri"/>
      <family val="2"/>
    </font>
    <font>
      <sz val="8"/>
      <name val="Arial"/>
      <family val="2"/>
    </font>
    <font>
      <b/>
      <sz val="11"/>
      <color indexed="8"/>
      <name val="Arial"/>
      <family val="2"/>
    </font>
    <font>
      <sz val="8"/>
      <color indexed="8"/>
      <name val="Microsoft Sans Serif"/>
      <family val="2"/>
    </font>
    <font>
      <b/>
      <sz val="8"/>
      <color indexed="8"/>
      <name val="Microsoft Sans Serif"/>
      <family val="2"/>
    </font>
    <font>
      <sz val="10"/>
      <color rgb="FF000000"/>
      <name val="Dialog"/>
    </font>
    <font>
      <sz val="10"/>
      <color rgb="FFFF3333"/>
      <name val="Dialog.plain"/>
    </font>
    <font>
      <sz val="10"/>
      <color rgb="FF000000"/>
      <name val="Dialog.plain"/>
    </font>
    <font>
      <b/>
      <sz val="10"/>
      <color rgb="FF00B050"/>
      <name val="Arial"/>
      <family val="2"/>
    </font>
    <font>
      <i/>
      <sz val="10"/>
      <color indexed="10"/>
      <name val="Arial"/>
      <family val="2"/>
    </font>
    <font>
      <sz val="10"/>
      <color rgb="FF00B050"/>
      <name val="Arial"/>
      <family val="2"/>
    </font>
    <font>
      <sz val="8"/>
      <color rgb="FF000000"/>
      <name val="Arial"/>
      <family val="2"/>
    </font>
    <font>
      <b/>
      <sz val="8"/>
      <color rgb="FF000000"/>
      <name val="Arial"/>
      <family val="2"/>
    </font>
    <font>
      <sz val="11"/>
      <name val="Geneva"/>
    </font>
    <font>
      <b/>
      <sz val="16"/>
      <color rgb="FF00B050"/>
      <name val="Arial"/>
      <family val="2"/>
    </font>
    <font>
      <b/>
      <sz val="16"/>
      <color rgb="FFFF0000"/>
      <name val="Arial"/>
      <family val="2"/>
    </font>
    <font>
      <sz val="10"/>
      <name val="Arial"/>
      <family val="2"/>
    </font>
    <font>
      <b/>
      <sz val="10"/>
      <color rgb="FF000000"/>
      <name val="Arial"/>
      <family val="2"/>
    </font>
    <font>
      <sz val="10"/>
      <color theme="1"/>
      <name val="Arial"/>
      <family val="2"/>
    </font>
    <font>
      <sz val="8"/>
      <color theme="1"/>
      <name val="Arial"/>
      <family val="2"/>
    </font>
    <font>
      <sz val="10"/>
      <color theme="1"/>
      <name val="Arial,Helvetica,sans-serif"/>
    </font>
    <font>
      <sz val="11"/>
      <color rgb="FFFF0000"/>
      <name val="Arial"/>
      <family val="2"/>
    </font>
    <font>
      <sz val="11"/>
      <color theme="1"/>
      <name val="Arial"/>
      <family val="2"/>
    </font>
    <font>
      <b/>
      <sz val="11"/>
      <color theme="1"/>
      <name val="Arial,Helvetica,sans-serif"/>
    </font>
    <font>
      <sz val="11"/>
      <color theme="1"/>
      <name val="Microsoft Sans Serif"/>
      <family val="2"/>
    </font>
    <font>
      <b/>
      <sz val="11"/>
      <color theme="1"/>
      <name val="Arial"/>
      <family val="2"/>
    </font>
    <font>
      <b/>
      <sz val="16"/>
      <color rgb="FFFFC000"/>
      <name val="Arial"/>
      <family val="2"/>
    </font>
    <font>
      <sz val="10"/>
      <color rgb="FFFF0000"/>
      <name val="Geneva"/>
    </font>
    <font>
      <sz val="11"/>
      <color theme="1"/>
      <name val="Arial,Helvetica,sans-serif"/>
    </font>
    <font>
      <sz val="10"/>
      <color rgb="FFFF0000"/>
      <name val="Arial"/>
      <family val="2"/>
    </font>
    <font>
      <sz val="10"/>
      <color rgb="FF000000"/>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indexed="61"/>
        <bgColor indexed="64"/>
      </patternFill>
    </fill>
    <fill>
      <patternFill patternType="solid">
        <fgColor indexed="41"/>
        <bgColor indexed="64"/>
      </patternFill>
    </fill>
    <fill>
      <patternFill patternType="solid">
        <fgColor indexed="11"/>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53"/>
        <bgColor indexed="64"/>
      </patternFill>
    </fill>
    <fill>
      <patternFill patternType="solid">
        <fgColor rgb="FFCBDAE7"/>
        <bgColor indexed="64"/>
      </patternFill>
    </fill>
    <fill>
      <patternFill patternType="solid">
        <fgColor rgb="FFCCFFFF"/>
        <bgColor indexed="64"/>
      </patternFill>
    </fill>
    <fill>
      <patternFill patternType="solid">
        <fgColor rgb="FFFFFFFF"/>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0C0C0"/>
        <bgColor indexed="64"/>
      </patternFill>
    </fill>
    <fill>
      <patternFill patternType="solid">
        <fgColor rgb="FFFF0000"/>
        <bgColor indexed="64"/>
      </patternFill>
    </fill>
    <fill>
      <patternFill patternType="solid">
        <fgColor theme="0"/>
        <bgColor indexed="64"/>
      </patternFill>
    </fill>
    <fill>
      <patternFill patternType="solid">
        <fgColor rgb="FFA6CAF0"/>
        <bgColor indexed="64"/>
      </patternFill>
    </fill>
    <fill>
      <patternFill patternType="solid">
        <fgColor rgb="FFFFFFC0"/>
        <bgColor indexed="64"/>
      </patternFill>
    </fill>
    <fill>
      <patternFill patternType="solid">
        <fgColor rgb="FF92D050"/>
        <bgColor indexed="64"/>
      </patternFill>
    </fill>
    <fill>
      <patternFill patternType="solid">
        <fgColor rgb="FFFF00FF"/>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right/>
      <top/>
      <bottom style="double">
        <color indexed="5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10"/>
      </right>
      <top style="medium">
        <color indexed="10"/>
      </top>
      <bottom style="medium">
        <color indexed="10"/>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9"/>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8"/>
      </top>
      <bottom/>
      <diagonal/>
    </border>
    <border>
      <left/>
      <right/>
      <top style="medium">
        <color indexed="52"/>
      </top>
      <bottom style="medium">
        <color indexed="52"/>
      </bottom>
      <diagonal/>
    </border>
    <border>
      <left style="medium">
        <color indexed="52"/>
      </left>
      <right/>
      <top style="medium">
        <color indexed="52"/>
      </top>
      <bottom style="medium">
        <color indexed="52"/>
      </bottom>
      <diagonal/>
    </border>
    <border>
      <left/>
      <right style="medium">
        <color indexed="52"/>
      </right>
      <top style="medium">
        <color indexed="52"/>
      </top>
      <bottom style="medium">
        <color indexed="52"/>
      </bottom>
      <diagonal/>
    </border>
    <border>
      <left/>
      <right/>
      <top style="thin">
        <color indexed="64"/>
      </top>
      <bottom style="double">
        <color indexed="64"/>
      </bottom>
      <diagonal/>
    </border>
    <border>
      <left/>
      <right style="medium">
        <color indexed="64"/>
      </right>
      <top/>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right/>
      <top style="medium">
        <color indexed="17"/>
      </top>
      <bottom style="medium">
        <color indexed="17"/>
      </bottom>
      <diagonal/>
    </border>
    <border>
      <left style="medium">
        <color indexed="17"/>
      </left>
      <right/>
      <top style="medium">
        <color indexed="17"/>
      </top>
      <bottom style="medium">
        <color indexed="17"/>
      </bottom>
      <diagonal/>
    </border>
    <border>
      <left style="thin">
        <color indexed="64"/>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51"/>
      </left>
      <right/>
      <top style="medium">
        <color indexed="51"/>
      </top>
      <bottom style="medium">
        <color indexed="51"/>
      </bottom>
      <diagonal/>
    </border>
    <border>
      <left/>
      <right/>
      <top style="medium">
        <color indexed="51"/>
      </top>
      <bottom style="medium">
        <color indexed="51"/>
      </bottom>
      <diagonal/>
    </border>
    <border>
      <left/>
      <right style="medium">
        <color indexed="51"/>
      </right>
      <top style="medium">
        <color indexed="51"/>
      </top>
      <bottom style="medium">
        <color indexed="51"/>
      </bottom>
      <diagonal/>
    </border>
    <border>
      <left/>
      <right style="medium">
        <color indexed="17"/>
      </right>
      <top style="medium">
        <color indexed="17"/>
      </top>
      <bottom style="medium">
        <color indexed="17"/>
      </bottom>
      <diagonal/>
    </border>
    <border>
      <left/>
      <right style="medium">
        <color indexed="53"/>
      </right>
      <top style="medium">
        <color indexed="17"/>
      </top>
      <bottom style="medium">
        <color indexed="17"/>
      </bottom>
      <diagonal/>
    </border>
    <border>
      <left style="medium">
        <color indexed="53"/>
      </left>
      <right/>
      <top style="medium">
        <color indexed="17"/>
      </top>
      <bottom style="medium">
        <color indexed="17"/>
      </bottom>
      <diagonal/>
    </border>
    <border>
      <left/>
      <right style="thin">
        <color indexed="64"/>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8"/>
      </right>
      <top style="thin">
        <color indexed="8"/>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double">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double">
        <color indexed="64"/>
      </right>
      <top/>
      <bottom style="medium">
        <color indexed="64"/>
      </bottom>
      <diagonal/>
    </border>
    <border>
      <left style="double">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double">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14"/>
      </left>
      <right/>
      <top style="medium">
        <color indexed="14"/>
      </top>
      <bottom style="medium">
        <color indexed="14"/>
      </bottom>
      <diagonal/>
    </border>
    <border>
      <left/>
      <right/>
      <top style="medium">
        <color indexed="14"/>
      </top>
      <bottom style="medium">
        <color indexed="14"/>
      </bottom>
      <diagonal/>
    </border>
    <border>
      <left/>
      <right style="medium">
        <color indexed="14"/>
      </right>
      <top style="medium">
        <color indexed="14"/>
      </top>
      <bottom style="medium">
        <color indexed="14"/>
      </bottom>
      <diagonal/>
    </border>
    <border>
      <left style="thin">
        <color rgb="FF000000"/>
      </left>
      <right style="thin">
        <color rgb="FF000000"/>
      </right>
      <top style="thin">
        <color rgb="FF000000"/>
      </top>
      <bottom style="thin">
        <color rgb="FF000000"/>
      </bottom>
      <diagonal/>
    </border>
    <border>
      <left style="mediumDashed">
        <color theme="6" tint="-0.24994659260841701"/>
      </left>
      <right style="mediumDashed">
        <color theme="6" tint="-0.24994659260841701"/>
      </right>
      <top style="mediumDashed">
        <color theme="6" tint="-0.24994659260841701"/>
      </top>
      <bottom style="mediumDashed">
        <color theme="6" tint="-0.24994659260841701"/>
      </bottom>
      <diagonal/>
    </border>
    <border>
      <left/>
      <right/>
      <top style="medium">
        <color rgb="FF000000"/>
      </top>
      <bottom style="medium">
        <color rgb="FF000000"/>
      </bottom>
      <diagonal/>
    </border>
    <border>
      <left/>
      <right style="thin">
        <color rgb="FF000000"/>
      </right>
      <top style="thin">
        <color rgb="FF000000"/>
      </top>
      <bottom/>
      <diagonal/>
    </border>
    <border>
      <left/>
      <right/>
      <top/>
      <bottom style="double">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thin">
        <color indexed="64"/>
      </left>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rgb="FFFF0000"/>
      </top>
      <bottom/>
      <diagonal/>
    </border>
    <border>
      <left style="medium">
        <color auto="1"/>
      </left>
      <right/>
      <top/>
      <bottom/>
      <diagonal/>
    </border>
    <border>
      <left/>
      <right style="medium">
        <color auto="1"/>
      </right>
      <top/>
      <bottom/>
      <diagonal/>
    </border>
    <border>
      <left/>
      <right style="medium">
        <color indexed="64"/>
      </right>
      <top/>
      <bottom style="thin">
        <color indexed="64"/>
      </bottom>
      <diagonal/>
    </border>
  </borders>
  <cellStyleXfs count="545">
    <xf numFmtId="0" fontId="0" fillId="0" borderId="0"/>
    <xf numFmtId="0" fontId="39" fillId="0" borderId="0"/>
    <xf numFmtId="0" fontId="36" fillId="0" borderId="0"/>
    <xf numFmtId="0" fontId="92" fillId="0" borderId="0"/>
    <xf numFmtId="0" fontId="36" fillId="0" borderId="0"/>
    <xf numFmtId="0" fontId="93" fillId="0" borderId="0"/>
    <xf numFmtId="0" fontId="93" fillId="0" borderId="0"/>
    <xf numFmtId="0" fontId="93" fillId="0" borderId="0"/>
    <xf numFmtId="0" fontId="36" fillId="0" borderId="0"/>
    <xf numFmtId="0" fontId="92" fillId="0" borderId="0"/>
    <xf numFmtId="0" fontId="93" fillId="0" borderId="0"/>
    <xf numFmtId="0" fontId="92" fillId="0" borderId="0"/>
    <xf numFmtId="0" fontId="92"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27" fillId="0" borderId="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185" fontId="13" fillId="0" borderId="0" applyNumberFormat="0" applyFon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6" fillId="20" borderId="1"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94" fillId="0" borderId="0"/>
    <xf numFmtId="37" fontId="27" fillId="0" borderId="3" applyFill="0" applyBorder="0">
      <alignment horizontal="center" vertical="top" wrapText="1"/>
    </xf>
    <xf numFmtId="43" fontId="6" fillId="0" borderId="0" applyFont="0" applyFill="0" applyBorder="0" applyAlignment="0" applyProtection="0"/>
    <xf numFmtId="44" fontId="6" fillId="0" borderId="0" applyFont="0" applyFill="0" applyBorder="0" applyAlignment="0" applyProtection="0"/>
    <xf numFmtId="186" fontId="13" fillId="0" borderId="0" applyFont="0" applyFill="0" applyBorder="0" applyAlignment="0" applyProtection="0"/>
    <xf numFmtId="37" fontId="27" fillId="0" borderId="4" applyNumberFormat="0">
      <alignment horizontal="centerContinuous" vertical="top"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6" fillId="21" borderId="0" applyNumberFormat="0" applyFont="0" applyBorder="0" applyAlignment="0" applyProtection="0"/>
    <xf numFmtId="15" fontId="24" fillId="0" borderId="0" applyFill="0" applyBorder="0" applyProtection="0">
      <alignment horizontal="center"/>
    </xf>
    <xf numFmtId="187" fontId="90" fillId="20" borderId="5" applyAlignment="0" applyProtection="0"/>
    <xf numFmtId="184" fontId="91" fillId="0" borderId="0" applyNumberFormat="0" applyFill="0" applyBorder="0" applyAlignment="0" applyProtection="0"/>
    <xf numFmtId="188" fontId="69" fillId="22" borderId="6" applyAlignment="0">
      <protection locked="0"/>
    </xf>
    <xf numFmtId="184" fontId="69" fillId="22" borderId="7" applyAlignment="0">
      <protection locked="0"/>
    </xf>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37" fontId="25" fillId="23" borderId="8" applyBorder="0" applyAlignment="0"/>
    <xf numFmtId="189" fontId="25" fillId="24" borderId="9" applyNumberFormat="0" applyFont="0" applyAlignment="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1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164" fontId="73" fillId="25" borderId="13" applyNumberFormat="0">
      <alignment vertical="center"/>
    </xf>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83" fillId="7" borderId="1" applyNumberFormat="0" applyAlignment="0" applyProtection="0"/>
    <xf numFmtId="0" fontId="73" fillId="25" borderId="13" applyNumberFormat="0">
      <alignment vertical="center"/>
    </xf>
    <xf numFmtId="38" fontId="98" fillId="0" borderId="0"/>
    <xf numFmtId="38" fontId="99" fillId="0" borderId="0"/>
    <xf numFmtId="38" fontId="100" fillId="0" borderId="0"/>
    <xf numFmtId="38" fontId="101" fillId="0" borderId="0"/>
    <xf numFmtId="0" fontId="9" fillId="0" borderId="0"/>
    <xf numFmtId="0" fontId="9" fillId="0" borderId="0"/>
    <xf numFmtId="37" fontId="13" fillId="0" borderId="0" applyBorder="0" applyAlignment="0">
      <alignment horizontal="left"/>
      <protection locked="0"/>
    </xf>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84" fillId="0" borderId="14" applyNumberFormat="0" applyFill="0" applyAlignment="0" applyProtection="0"/>
    <xf numFmtId="0" fontId="13" fillId="0" borderId="15" applyBorder="0">
      <alignment horizontal="center" vertical="center" wrapText="1"/>
    </xf>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190" fontId="102"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6"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6" fillId="0" borderId="0"/>
    <xf numFmtId="0" fontId="6" fillId="0" borderId="0"/>
    <xf numFmtId="0" fontId="13" fillId="0" borderId="0"/>
    <xf numFmtId="0" fontId="6" fillId="0" borderId="0"/>
    <xf numFmtId="0" fontId="95" fillId="0" borderId="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5" fillId="26" borderId="16" applyNumberFormat="0" applyFont="0" applyAlignment="0" applyProtection="0"/>
    <xf numFmtId="0" fontId="103" fillId="0" borderId="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0" fontId="86" fillId="20" borderId="17" applyNumberFormat="0" applyAlignment="0" applyProtection="0"/>
    <xf numFmtId="40" fontId="104" fillId="27" borderId="0">
      <alignment horizontal="right"/>
    </xf>
    <xf numFmtId="0" fontId="105" fillId="27" borderId="0">
      <alignment horizontal="right"/>
    </xf>
    <xf numFmtId="0" fontId="106" fillId="27" borderId="18"/>
    <xf numFmtId="0" fontId="106" fillId="0" borderId="0" applyBorder="0">
      <alignment horizontal="centerContinuous"/>
    </xf>
    <xf numFmtId="0" fontId="107" fillId="0" borderId="0" applyBorder="0">
      <alignment horizontal="centerContinuous"/>
    </xf>
    <xf numFmtId="9" fontId="6" fillId="0" borderId="0" applyFont="0" applyFill="0" applyBorder="0" applyAlignment="0" applyProtection="0"/>
    <xf numFmtId="191" fontId="108" fillId="0" borderId="0" applyFont="0" applyFill="0" applyBorder="0" applyProtection="0">
      <alignment horizontal="center"/>
      <protection locked="0"/>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23" borderId="19" applyBorder="0" applyAlignment="0">
      <alignment horizontal="center" vertical="top"/>
    </xf>
    <xf numFmtId="0" fontId="95" fillId="0" borderId="0"/>
    <xf numFmtId="192" fontId="109" fillId="0" borderId="0" applyNumberFormat="0" applyFill="0" applyBorder="0" applyAlignment="0" applyProtection="0"/>
    <xf numFmtId="0" fontId="36" fillId="0" borderId="0"/>
    <xf numFmtId="164" fontId="110" fillId="28" borderId="0" applyNumberFormat="0">
      <alignment vertical="center"/>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3" fillId="0" borderId="15" applyBorder="0">
      <alignment horizontal="center" vertical="top" wrapText="1"/>
    </xf>
    <xf numFmtId="185" fontId="13" fillId="0" borderId="20" applyNumberFormat="0" applyFont="0" applyFill="0" applyAlignment="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1" fontId="13" fillId="0" borderId="0" applyFont="0" applyFill="0" applyBorder="0" applyAlignment="0" applyProtection="0"/>
    <xf numFmtId="0" fontId="4" fillId="0" borderId="0"/>
    <xf numFmtId="0" fontId="4" fillId="0" borderId="0"/>
    <xf numFmtId="0" fontId="3" fillId="0" borderId="0"/>
    <xf numFmtId="0" fontId="159"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8" fillId="0" borderId="0"/>
    <xf numFmtId="185" fontId="6" fillId="0" borderId="0"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186" fontId="6" fillId="0" borderId="0" applyFont="0" applyFill="0" applyBorder="0" applyAlignment="0" applyProtection="0"/>
    <xf numFmtId="37" fontId="8" fillId="0" borderId="4" applyNumberFormat="0">
      <alignment horizontal="centerContinuous" vertical="top" wrapText="1"/>
    </xf>
    <xf numFmtId="0" fontId="38" fillId="0" borderId="0" applyNumberFormat="0" applyFill="0" applyBorder="0" applyAlignment="0" applyProtection="0">
      <alignment vertical="top"/>
      <protection locked="0"/>
    </xf>
    <xf numFmtId="37" fontId="6" fillId="0" borderId="0" applyBorder="0" applyAlignment="0">
      <alignment horizontal="lef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23" borderId="19" applyBorder="0" applyAlignment="0">
      <alignment horizontal="center" vertical="top"/>
    </xf>
    <xf numFmtId="0" fontId="68" fillId="0" borderId="0"/>
    <xf numFmtId="185" fontId="6" fillId="0" borderId="20" applyNumberFormat="0" applyFont="0" applyFill="0" applyAlignment="0"/>
    <xf numFmtId="0" fontId="1" fillId="0" borderId="0"/>
    <xf numFmtId="41"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cellStyleXfs>
  <cellXfs count="2403">
    <xf numFmtId="0" fontId="0" fillId="0" borderId="0" xfId="0"/>
    <xf numFmtId="0" fontId="7" fillId="0" borderId="0" xfId="0" applyFont="1"/>
    <xf numFmtId="165" fontId="7" fillId="0" borderId="0" xfId="420" applyNumberFormat="1" applyFont="1" applyFill="1" applyAlignment="1" applyProtection="1">
      <alignment horizontal="center" wrapText="1"/>
    </xf>
    <xf numFmtId="0" fontId="6" fillId="0" borderId="0" xfId="422" applyBorder="1"/>
    <xf numFmtId="0" fontId="16" fillId="0" borderId="22" xfId="422" applyFont="1" applyBorder="1" applyAlignment="1">
      <alignment wrapText="1"/>
    </xf>
    <xf numFmtId="0" fontId="16" fillId="0" borderId="20" xfId="422" applyFont="1" applyBorder="1" applyAlignment="1">
      <alignment horizontal="center"/>
    </xf>
    <xf numFmtId="0" fontId="16" fillId="0" borderId="19" xfId="422" applyFont="1" applyBorder="1"/>
    <xf numFmtId="0" fontId="16" fillId="0" borderId="4" xfId="422" applyFont="1" applyBorder="1" applyAlignment="1">
      <alignment horizontal="center"/>
    </xf>
    <xf numFmtId="0" fontId="6" fillId="0" borderId="4" xfId="422" applyBorder="1"/>
    <xf numFmtId="0" fontId="16" fillId="0" borderId="4" xfId="422" applyFont="1" applyBorder="1"/>
    <xf numFmtId="0" fontId="16" fillId="0" borderId="23" xfId="422" applyFont="1" applyBorder="1" applyAlignment="1">
      <alignment horizontal="center"/>
    </xf>
    <xf numFmtId="0" fontId="17" fillId="0" borderId="3" xfId="422" applyFont="1" applyBorder="1"/>
    <xf numFmtId="0" fontId="17" fillId="0" borderId="0" xfId="422" applyFont="1" applyBorder="1" applyAlignment="1">
      <alignment horizontal="center"/>
    </xf>
    <xf numFmtId="0" fontId="17" fillId="0" borderId="0" xfId="422" applyFont="1" applyBorder="1"/>
    <xf numFmtId="0" fontId="6" fillId="0" borderId="0" xfId="422" applyBorder="1" applyAlignment="1">
      <alignment vertical="top" wrapText="1"/>
    </xf>
    <xf numFmtId="0" fontId="17" fillId="0" borderId="18" xfId="422" applyFont="1" applyBorder="1"/>
    <xf numFmtId="0" fontId="18" fillId="0" borderId="3" xfId="422" applyFont="1" applyFill="1" applyBorder="1"/>
    <xf numFmtId="43" fontId="17" fillId="0" borderId="0" xfId="267" applyFont="1" applyBorder="1"/>
    <xf numFmtId="0" fontId="17" fillId="0" borderId="18" xfId="422" applyFont="1" applyBorder="1" applyAlignment="1">
      <alignment horizontal="center"/>
    </xf>
    <xf numFmtId="0" fontId="18" fillId="0" borderId="3" xfId="422" applyFont="1" applyBorder="1"/>
    <xf numFmtId="0" fontId="18" fillId="0" borderId="3" xfId="422" applyFont="1" applyBorder="1" applyAlignment="1">
      <alignment vertical="center"/>
    </xf>
    <xf numFmtId="0" fontId="17" fillId="0" borderId="0" xfId="422" applyFont="1" applyBorder="1" applyAlignment="1">
      <alignment horizontal="center" vertical="center"/>
    </xf>
    <xf numFmtId="1" fontId="7" fillId="0" borderId="0" xfId="422" applyNumberFormat="1" applyFont="1" applyBorder="1" applyAlignment="1">
      <alignment horizontal="center"/>
    </xf>
    <xf numFmtId="0" fontId="6" fillId="0" borderId="3" xfId="422" applyBorder="1"/>
    <xf numFmtId="0" fontId="18" fillId="0" borderId="0" xfId="422" applyFont="1" applyBorder="1"/>
    <xf numFmtId="0" fontId="20" fillId="0" borderId="19" xfId="422" applyFont="1" applyBorder="1"/>
    <xf numFmtId="0" fontId="17" fillId="0" borderId="4" xfId="422" applyFont="1" applyBorder="1"/>
    <xf numFmtId="0" fontId="17" fillId="0" borderId="4" xfId="422" applyFont="1" applyBorder="1" applyAlignment="1">
      <alignment horizontal="center"/>
    </xf>
    <xf numFmtId="0" fontId="17" fillId="0" borderId="23" xfId="422" applyFont="1" applyBorder="1"/>
    <xf numFmtId="0" fontId="0" fillId="0" borderId="0" xfId="0" applyFill="1"/>
    <xf numFmtId="0" fontId="0" fillId="0" borderId="0" xfId="0" applyBorder="1"/>
    <xf numFmtId="0" fontId="6" fillId="0" borderId="0" xfId="0" applyFont="1" applyFill="1" applyBorder="1"/>
    <xf numFmtId="0" fontId="13" fillId="0" borderId="0" xfId="0" applyFont="1" applyFill="1" applyBorder="1" applyAlignment="1">
      <alignment horizontal="center"/>
    </xf>
    <xf numFmtId="0" fontId="7" fillId="0" borderId="0" xfId="0" applyFont="1" applyFill="1" applyBorder="1" applyAlignment="1">
      <alignment horizontal="center"/>
    </xf>
    <xf numFmtId="0" fontId="0" fillId="0" borderId="0" xfId="0" applyFill="1" applyBorder="1" applyAlignment="1">
      <alignment horizontal="center"/>
    </xf>
    <xf numFmtId="3" fontId="0" fillId="0" borderId="0" xfId="0" applyNumberFormat="1"/>
    <xf numFmtId="0" fontId="0" fillId="0" borderId="22" xfId="0" applyBorder="1"/>
    <xf numFmtId="0" fontId="0" fillId="0" borderId="3" xfId="0" applyBorder="1"/>
    <xf numFmtId="0" fontId="0" fillId="0" borderId="19" xfId="0" applyBorder="1"/>
    <xf numFmtId="0" fontId="0" fillId="0" borderId="3" xfId="0" applyFill="1" applyBorder="1"/>
    <xf numFmtId="0" fontId="0" fillId="0" borderId="20" xfId="0" applyBorder="1"/>
    <xf numFmtId="0" fontId="0" fillId="0" borderId="4" xfId="0" applyBorder="1"/>
    <xf numFmtId="0" fontId="7" fillId="0" borderId="0" xfId="0" applyFont="1" applyFill="1" applyBorder="1"/>
    <xf numFmtId="0" fontId="0" fillId="0" borderId="0" xfId="0" applyFill="1" applyBorder="1"/>
    <xf numFmtId="0" fontId="13" fillId="0" borderId="0" xfId="0" applyFont="1" applyFill="1" applyBorder="1"/>
    <xf numFmtId="0" fontId="0" fillId="0" borderId="9" xfId="0" applyFill="1" applyBorder="1" applyAlignment="1">
      <alignment horizontal="left" vertical="top" wrapText="1"/>
    </xf>
    <xf numFmtId="0" fontId="13" fillId="0" borderId="9" xfId="0" applyFont="1" applyFill="1" applyBorder="1" applyAlignment="1">
      <alignment horizontal="left" vertical="top" wrapText="1"/>
    </xf>
    <xf numFmtId="0" fontId="21" fillId="0" borderId="0" xfId="0" applyFont="1"/>
    <xf numFmtId="0" fontId="7" fillId="0" borderId="20" xfId="0" applyFont="1" applyBorder="1"/>
    <xf numFmtId="0" fontId="7" fillId="0" borderId="24" xfId="0" applyFont="1" applyBorder="1"/>
    <xf numFmtId="0" fontId="7" fillId="0" borderId="0" xfId="0" applyFont="1" applyBorder="1" applyAlignment="1">
      <alignment horizontal="center"/>
    </xf>
    <xf numFmtId="0" fontId="7" fillId="0" borderId="18" xfId="0" applyFont="1" applyBorder="1" applyAlignment="1">
      <alignment horizontal="center"/>
    </xf>
    <xf numFmtId="0" fontId="23" fillId="0" borderId="0" xfId="0" applyFont="1"/>
    <xf numFmtId="0" fontId="22" fillId="0" borderId="0" xfId="0" applyFont="1" applyAlignment="1">
      <alignment horizontal="left" vertical="top" wrapText="1"/>
    </xf>
    <xf numFmtId="0" fontId="23" fillId="0" borderId="20" xfId="0" applyFont="1" applyBorder="1"/>
    <xf numFmtId="0" fontId="23" fillId="0" borderId="3" xfId="0" applyFont="1" applyBorder="1"/>
    <xf numFmtId="0" fontId="22" fillId="0" borderId="0" xfId="0" applyFont="1" applyBorder="1" applyAlignment="1">
      <alignment horizontal="center"/>
    </xf>
    <xf numFmtId="0" fontId="22" fillId="0" borderId="0" xfId="0" applyFont="1" applyFill="1" applyBorder="1" applyAlignment="1">
      <alignment horizontal="center" vertical="center"/>
    </xf>
    <xf numFmtId="0" fontId="22" fillId="0" borderId="19" xfId="0" applyFont="1" applyBorder="1" applyAlignment="1">
      <alignment horizontal="left" vertical="top" wrapText="1"/>
    </xf>
    <xf numFmtId="0" fontId="0" fillId="0" borderId="24" xfId="0" applyBorder="1"/>
    <xf numFmtId="0" fontId="0" fillId="0" borderId="23" xfId="0" applyBorder="1"/>
    <xf numFmtId="170" fontId="23" fillId="0" borderId="0" xfId="0" applyNumberFormat="1" applyFont="1" applyBorder="1" applyAlignment="1">
      <alignment horizontal="center"/>
    </xf>
    <xf numFmtId="170" fontId="23" fillId="0" borderId="0" xfId="422" applyNumberFormat="1" applyFont="1" applyFill="1" applyBorder="1" applyAlignment="1">
      <alignment horizontal="center"/>
    </xf>
    <xf numFmtId="0" fontId="23" fillId="0" borderId="3" xfId="422" applyFont="1" applyFill="1" applyBorder="1"/>
    <xf numFmtId="0" fontId="7" fillId="0" borderId="20" xfId="0" applyFont="1" applyBorder="1" applyAlignment="1">
      <alignment horizontal="center"/>
    </xf>
    <xf numFmtId="0" fontId="23" fillId="0" borderId="3" xfId="422" applyFont="1" applyFill="1" applyBorder="1" applyAlignment="1">
      <alignment horizontal="right"/>
    </xf>
    <xf numFmtId="2" fontId="0" fillId="0" borderId="0" xfId="0" applyNumberFormat="1"/>
    <xf numFmtId="0" fontId="22" fillId="0" borderId="20" xfId="0" applyFont="1" applyBorder="1" applyAlignment="1">
      <alignment horizontal="center"/>
    </xf>
    <xf numFmtId="0" fontId="23" fillId="0" borderId="24" xfId="0" applyFont="1" applyBorder="1"/>
    <xf numFmtId="0" fontId="7" fillId="0" borderId="22" xfId="0" applyFont="1" applyBorder="1"/>
    <xf numFmtId="0" fontId="0" fillId="0" borderId="18" xfId="0" applyBorder="1"/>
    <xf numFmtId="0" fontId="7" fillId="0" borderId="0" xfId="422" applyFont="1" applyFill="1" applyBorder="1" applyAlignment="1">
      <alignment horizontal="center"/>
    </xf>
    <xf numFmtId="0" fontId="7" fillId="0" borderId="0" xfId="0" applyFont="1" applyBorder="1"/>
    <xf numFmtId="3" fontId="0" fillId="0" borderId="0" xfId="0" applyNumberFormat="1" applyBorder="1"/>
    <xf numFmtId="3" fontId="7" fillId="0" borderId="0" xfId="0" applyNumberFormat="1" applyFont="1" applyBorder="1"/>
    <xf numFmtId="0" fontId="7" fillId="0" borderId="19" xfId="0" applyFont="1" applyBorder="1"/>
    <xf numFmtId="3" fontId="7" fillId="0" borderId="4" xfId="0" applyNumberFormat="1" applyFont="1" applyBorder="1" applyAlignment="1">
      <alignment horizontal="center"/>
    </xf>
    <xf numFmtId="0" fontId="0" fillId="0" borderId="0" xfId="0" applyBorder="1" applyAlignment="1">
      <alignment horizontal="center"/>
    </xf>
    <xf numFmtId="0" fontId="7" fillId="0" borderId="3" xfId="0" applyFont="1" applyBorder="1"/>
    <xf numFmtId="3" fontId="0" fillId="0" borderId="18" xfId="0" applyNumberFormat="1" applyBorder="1"/>
    <xf numFmtId="0" fontId="7" fillId="0" borderId="3" xfId="0" applyFont="1" applyBorder="1" applyAlignment="1">
      <alignment horizontal="right"/>
    </xf>
    <xf numFmtId="0" fontId="22" fillId="0" borderId="18" xfId="0" applyFont="1" applyBorder="1" applyAlignment="1">
      <alignment horizontal="center"/>
    </xf>
    <xf numFmtId="0" fontId="0" fillId="0" borderId="24" xfId="0" applyFill="1" applyBorder="1"/>
    <xf numFmtId="0" fontId="7" fillId="0" borderId="20" xfId="0" applyFont="1" applyFill="1" applyBorder="1" applyAlignment="1">
      <alignment horizontal="center"/>
    </xf>
    <xf numFmtId="0" fontId="0" fillId="0" borderId="20" xfId="0" applyFill="1" applyBorder="1"/>
    <xf numFmtId="0" fontId="22" fillId="0" borderId="18" xfId="0" applyFont="1" applyFill="1" applyBorder="1" applyAlignment="1">
      <alignment horizontal="center"/>
    </xf>
    <xf numFmtId="0" fontId="22" fillId="0" borderId="23" xfId="0" applyFont="1" applyFill="1" applyBorder="1" applyAlignment="1">
      <alignment horizontal="center" vertical="center"/>
    </xf>
    <xf numFmtId="0" fontId="22" fillId="0" borderId="0" xfId="0" applyFont="1" applyFill="1" applyBorder="1" applyAlignment="1">
      <alignment horizontal="left" vertical="top" wrapText="1"/>
    </xf>
    <xf numFmtId="0" fontId="7" fillId="0" borderId="24" xfId="0" applyFont="1" applyFill="1" applyBorder="1" applyAlignment="1">
      <alignment horizontal="center"/>
    </xf>
    <xf numFmtId="0" fontId="7" fillId="0" borderId="18" xfId="0" applyFont="1" applyFill="1" applyBorder="1" applyAlignment="1">
      <alignment horizontal="center"/>
    </xf>
    <xf numFmtId="0" fontId="22" fillId="0" borderId="4" xfId="0" applyFont="1" applyFill="1" applyBorder="1" applyAlignment="1">
      <alignment horizontal="center" vertical="center"/>
    </xf>
    <xf numFmtId="0" fontId="7" fillId="0" borderId="23" xfId="0" applyFont="1" applyFill="1" applyBorder="1"/>
    <xf numFmtId="0" fontId="7" fillId="0" borderId="22" xfId="0" applyFont="1" applyFill="1" applyBorder="1"/>
    <xf numFmtId="0" fontId="22" fillId="0" borderId="20" xfId="0" applyFont="1" applyFill="1" applyBorder="1" applyAlignment="1">
      <alignment horizontal="center"/>
    </xf>
    <xf numFmtId="0" fontId="23" fillId="0" borderId="3" xfId="0" applyFont="1" applyFill="1" applyBorder="1"/>
    <xf numFmtId="172" fontId="15" fillId="0" borderId="0" xfId="0" applyNumberFormat="1" applyFont="1" applyFill="1" applyBorder="1"/>
    <xf numFmtId="0" fontId="22" fillId="0" borderId="0" xfId="0" applyFont="1" applyFill="1" applyBorder="1" applyAlignment="1">
      <alignment horizontal="center"/>
    </xf>
    <xf numFmtId="37" fontId="25" fillId="0" borderId="0" xfId="0" quotePrefix="1" applyNumberFormat="1" applyFont="1" applyFill="1" applyBorder="1" applyAlignment="1">
      <alignment horizontal="left" wrapText="1"/>
    </xf>
    <xf numFmtId="0" fontId="26" fillId="0" borderId="0" xfId="0" applyFont="1" applyFill="1" applyBorder="1"/>
    <xf numFmtId="173" fontId="28" fillId="0" borderId="0" xfId="0" applyNumberFormat="1" applyFont="1" applyFill="1" applyBorder="1" applyAlignment="1">
      <alignment horizontal="right" wrapText="1"/>
    </xf>
    <xf numFmtId="0" fontId="29" fillId="0" borderId="0" xfId="0" applyFont="1" applyFill="1" applyBorder="1"/>
    <xf numFmtId="0" fontId="22" fillId="0" borderId="24" xfId="0" applyFont="1" applyFill="1" applyBorder="1" applyAlignment="1">
      <alignment horizontal="center"/>
    </xf>
    <xf numFmtId="37" fontId="25" fillId="0" borderId="3" xfId="0" quotePrefix="1" applyNumberFormat="1" applyFont="1" applyFill="1" applyBorder="1" applyAlignment="1">
      <alignment horizontal="left" wrapText="1"/>
    </xf>
    <xf numFmtId="0" fontId="26" fillId="0" borderId="18" xfId="0" applyFont="1" applyFill="1" applyBorder="1"/>
    <xf numFmtId="37" fontId="27" fillId="0" borderId="3" xfId="0" quotePrefix="1" applyNumberFormat="1" applyFont="1" applyFill="1" applyBorder="1" applyAlignment="1">
      <alignment horizontal="left" wrapText="1"/>
    </xf>
    <xf numFmtId="173" fontId="28" fillId="0" borderId="18" xfId="0" applyNumberFormat="1" applyFont="1" applyFill="1" applyBorder="1" applyAlignment="1">
      <alignment horizontal="right" wrapText="1"/>
    </xf>
    <xf numFmtId="37" fontId="25" fillId="0" borderId="19" xfId="0" quotePrefix="1" applyNumberFormat="1" applyFont="1" applyFill="1" applyBorder="1" applyAlignment="1">
      <alignment horizontal="left" wrapText="1"/>
    </xf>
    <xf numFmtId="173" fontId="30" fillId="0" borderId="4" xfId="0" applyNumberFormat="1" applyFont="1" applyFill="1" applyBorder="1" applyAlignment="1">
      <alignment horizontal="right" wrapText="1"/>
    </xf>
    <xf numFmtId="0" fontId="8" fillId="0" borderId="0" xfId="0" applyFont="1"/>
    <xf numFmtId="0" fontId="8" fillId="0" borderId="0" xfId="0" applyFont="1" applyAlignment="1">
      <alignment horizontal="center"/>
    </xf>
    <xf numFmtId="0" fontId="21" fillId="0" borderId="0" xfId="0" applyFont="1" applyAlignment="1">
      <alignment horizontal="right"/>
    </xf>
    <xf numFmtId="173" fontId="30" fillId="0" borderId="0" xfId="0" applyNumberFormat="1" applyFont="1" applyFill="1" applyBorder="1" applyAlignment="1">
      <alignment horizontal="right" wrapText="1"/>
    </xf>
    <xf numFmtId="0" fontId="7" fillId="0" borderId="20" xfId="0" applyFont="1" applyFill="1" applyBorder="1"/>
    <xf numFmtId="0" fontId="22" fillId="0" borderId="3" xfId="0" applyFont="1" applyBorder="1" applyAlignment="1">
      <alignment horizontal="left" vertical="top" wrapText="1"/>
    </xf>
    <xf numFmtId="0" fontId="7" fillId="0" borderId="3" xfId="0" applyFont="1" applyFill="1" applyBorder="1"/>
    <xf numFmtId="0" fontId="0" fillId="0" borderId="5" xfId="0" applyBorder="1"/>
    <xf numFmtId="0" fontId="7" fillId="0" borderId="0" xfId="0" applyFont="1" applyBorder="1" applyAlignment="1">
      <alignment horizontal="right"/>
    </xf>
    <xf numFmtId="0" fontId="21" fillId="0" borderId="0" xfId="0" applyFont="1" applyAlignment="1">
      <alignment horizontal="center"/>
    </xf>
    <xf numFmtId="0" fontId="0" fillId="0" borderId="26" xfId="0" applyBorder="1"/>
    <xf numFmtId="0" fontId="0" fillId="0" borderId="28" xfId="0" applyBorder="1"/>
    <xf numFmtId="0" fontId="0" fillId="0" borderId="28" xfId="0" applyFill="1" applyBorder="1"/>
    <xf numFmtId="0" fontId="0" fillId="0" borderId="27" xfId="0" applyBorder="1" applyAlignment="1">
      <alignment horizontal="center"/>
    </xf>
    <xf numFmtId="0" fontId="0" fillId="0" borderId="27" xfId="0" applyFill="1" applyBorder="1"/>
    <xf numFmtId="0" fontId="22" fillId="0" borderId="27" xfId="0" applyFont="1" applyFill="1" applyBorder="1" applyAlignment="1">
      <alignment horizontal="left" vertical="top" wrapText="1"/>
    </xf>
    <xf numFmtId="0" fontId="25" fillId="0" borderId="0" xfId="0" applyFont="1" applyBorder="1" applyAlignment="1">
      <alignment horizontal="center"/>
    </xf>
    <xf numFmtId="0" fontId="25" fillId="0" borderId="0" xfId="0" applyFont="1"/>
    <xf numFmtId="0" fontId="8" fillId="0" borderId="22" xfId="0" applyFont="1" applyBorder="1"/>
    <xf numFmtId="0" fontId="25" fillId="0" borderId="20" xfId="0" applyFont="1" applyBorder="1" applyAlignment="1">
      <alignment horizontal="center"/>
    </xf>
    <xf numFmtId="0" fontId="25" fillId="0" borderId="24" xfId="0" applyFont="1" applyBorder="1" applyAlignment="1">
      <alignment horizontal="center"/>
    </xf>
    <xf numFmtId="0" fontId="8" fillId="0" borderId="3" xfId="0" applyFont="1" applyBorder="1"/>
    <xf numFmtId="0" fontId="25" fillId="0" borderId="18" xfId="0" applyFont="1" applyBorder="1" applyAlignment="1">
      <alignment horizontal="center"/>
    </xf>
    <xf numFmtId="0" fontId="25" fillId="0" borderId="3" xfId="0" applyFont="1" applyBorder="1"/>
    <xf numFmtId="0" fontId="25" fillId="0" borderId="19" xfId="0" applyFont="1" applyBorder="1"/>
    <xf numFmtId="0" fontId="7" fillId="0" borderId="4" xfId="0" applyFont="1" applyBorder="1" applyAlignment="1">
      <alignment horizontal="center"/>
    </xf>
    <xf numFmtId="0" fontId="7" fillId="0" borderId="23" xfId="0" applyFont="1" applyBorder="1"/>
    <xf numFmtId="0" fontId="7" fillId="0" borderId="19" xfId="0" applyFont="1" applyFill="1" applyBorder="1"/>
    <xf numFmtId="0" fontId="7" fillId="0" borderId="4" xfId="0" applyFont="1" applyFill="1" applyBorder="1" applyAlignment="1">
      <alignment horizontal="right"/>
    </xf>
    <xf numFmtId="0" fontId="7" fillId="0" borderId="23" xfId="0" applyFont="1" applyFill="1" applyBorder="1" applyAlignment="1">
      <alignment horizontal="right"/>
    </xf>
    <xf numFmtId="0" fontId="7" fillId="0" borderId="3" xfId="0" applyFont="1" applyBorder="1" applyAlignment="1">
      <alignment horizontal="right" vertical="top" wrapText="1"/>
    </xf>
    <xf numFmtId="0" fontId="7" fillId="0" borderId="19" xfId="0" applyFont="1" applyBorder="1" applyAlignment="1">
      <alignment horizontal="right" vertical="top" wrapText="1"/>
    </xf>
    <xf numFmtId="3" fontId="7" fillId="0" borderId="4" xfId="0" applyNumberFormat="1" applyFont="1" applyFill="1" applyBorder="1" applyAlignment="1">
      <alignment horizontal="center" vertical="center"/>
    </xf>
    <xf numFmtId="3" fontId="7" fillId="0" borderId="23" xfId="0" applyNumberFormat="1" applyFont="1" applyFill="1" applyBorder="1"/>
    <xf numFmtId="0" fontId="7" fillId="0" borderId="19" xfId="0" applyFont="1" applyBorder="1" applyAlignment="1">
      <alignment horizontal="left" vertical="top" wrapText="1"/>
    </xf>
    <xf numFmtId="0" fontId="7" fillId="0" borderId="4" xfId="0" applyFont="1" applyFill="1" applyBorder="1" applyAlignment="1">
      <alignment horizontal="center" vertical="center"/>
    </xf>
    <xf numFmtId="173" fontId="7" fillId="0" borderId="18" xfId="0" applyNumberFormat="1" applyFont="1" applyFill="1" applyBorder="1" applyAlignment="1">
      <alignment horizontal="right"/>
    </xf>
    <xf numFmtId="0" fontId="7" fillId="0" borderId="19" xfId="0" applyFont="1" applyFill="1" applyBorder="1" applyAlignment="1">
      <alignment horizontal="left" vertical="top" wrapText="1"/>
    </xf>
    <xf numFmtId="0" fontId="7" fillId="0" borderId="4" xfId="0" applyFont="1" applyFill="1" applyBorder="1"/>
    <xf numFmtId="167" fontId="23" fillId="0" borderId="0" xfId="0" applyNumberFormat="1" applyFont="1" applyBorder="1" applyAlignment="1">
      <alignment horizontal="center"/>
    </xf>
    <xf numFmtId="167" fontId="23" fillId="0" borderId="0" xfId="422" applyNumberFormat="1" applyFont="1" applyFill="1" applyBorder="1" applyAlignment="1">
      <alignment horizontal="center"/>
    </xf>
    <xf numFmtId="0" fontId="0" fillId="0" borderId="9" xfId="0" applyFill="1" applyBorder="1" applyAlignment="1">
      <alignment horizontal="center" vertical="center"/>
    </xf>
    <xf numFmtId="0" fontId="32" fillId="0" borderId="9" xfId="0" applyFont="1" applyFill="1" applyBorder="1" applyAlignment="1">
      <alignment horizontal="center" vertical="center"/>
    </xf>
    <xf numFmtId="0" fontId="31" fillId="0" borderId="9" xfId="0" applyFont="1" applyFill="1" applyBorder="1" applyAlignment="1">
      <alignment horizontal="center" vertical="center"/>
    </xf>
    <xf numFmtId="0" fontId="7" fillId="0" borderId="9" xfId="0" applyFont="1" applyBorder="1" applyAlignment="1">
      <alignment horizontal="center" vertical="top"/>
    </xf>
    <xf numFmtId="0" fontId="7" fillId="0" borderId="0" xfId="0" applyFont="1" applyBorder="1" applyAlignment="1">
      <alignment horizontal="left"/>
    </xf>
    <xf numFmtId="0" fontId="25" fillId="0" borderId="22" xfId="0" applyFont="1" applyFill="1" applyBorder="1"/>
    <xf numFmtId="0" fontId="25" fillId="0" borderId="20" xfId="0" applyFont="1" applyFill="1" applyBorder="1" applyAlignment="1">
      <alignment horizontal="center"/>
    </xf>
    <xf numFmtId="0" fontId="27" fillId="0" borderId="20" xfId="0" applyFont="1" applyFill="1" applyBorder="1"/>
    <xf numFmtId="0" fontId="25" fillId="0" borderId="24" xfId="0" applyFont="1" applyFill="1" applyBorder="1" applyAlignment="1">
      <alignment horizontal="center"/>
    </xf>
    <xf numFmtId="0" fontId="27" fillId="0" borderId="3" xfId="0" applyFont="1" applyBorder="1"/>
    <xf numFmtId="0" fontId="27" fillId="0" borderId="0" xfId="0" applyFont="1" applyBorder="1"/>
    <xf numFmtId="0" fontId="27" fillId="0" borderId="18" xfId="0" applyFont="1" applyBorder="1"/>
    <xf numFmtId="0" fontId="25" fillId="0" borderId="3" xfId="0" applyFont="1" applyBorder="1" applyAlignment="1">
      <alignment horizontal="right"/>
    </xf>
    <xf numFmtId="0" fontId="25" fillId="0" borderId="3" xfId="0" applyFont="1" applyBorder="1" applyAlignment="1">
      <alignment horizontal="left"/>
    </xf>
    <xf numFmtId="0" fontId="25" fillId="0" borderId="19" xfId="0" applyFont="1" applyBorder="1" applyAlignment="1">
      <alignment horizontal="right"/>
    </xf>
    <xf numFmtId="0" fontId="25" fillId="0" borderId="22" xfId="0" applyFont="1" applyBorder="1"/>
    <xf numFmtId="0" fontId="27" fillId="0" borderId="20" xfId="0" applyFont="1" applyBorder="1"/>
    <xf numFmtId="0" fontId="27" fillId="0" borderId="24" xfId="0" applyFont="1" applyBorder="1"/>
    <xf numFmtId="173" fontId="30" fillId="0" borderId="18" xfId="0" applyNumberFormat="1" applyFont="1" applyFill="1" applyBorder="1" applyAlignment="1">
      <alignment horizontal="right" wrapText="1"/>
    </xf>
    <xf numFmtId="3" fontId="7" fillId="0" borderId="0" xfId="0" applyNumberFormat="1" applyFont="1"/>
    <xf numFmtId="3" fontId="7" fillId="0" borderId="0" xfId="0" applyNumberFormat="1" applyFont="1" applyBorder="1" applyAlignment="1">
      <alignment horizontal="center" vertical="top" wrapText="1"/>
    </xf>
    <xf numFmtId="3" fontId="7" fillId="0" borderId="0" xfId="0" quotePrefix="1" applyNumberFormat="1" applyFont="1" applyBorder="1" applyAlignment="1">
      <alignment horizontal="center" vertical="top" wrapText="1"/>
    </xf>
    <xf numFmtId="174" fontId="6" fillId="0" borderId="0" xfId="267" applyNumberFormat="1" applyFont="1" applyFill="1" applyBorder="1" applyAlignment="1">
      <alignment vertical="top" wrapText="1"/>
    </xf>
    <xf numFmtId="3" fontId="7" fillId="0" borderId="3" xfId="0" applyNumberFormat="1" applyFont="1" applyBorder="1" applyAlignment="1">
      <alignment vertical="top" wrapText="1"/>
    </xf>
    <xf numFmtId="174" fontId="6" fillId="0" borderId="4" xfId="267" applyNumberFormat="1" applyFont="1" applyFill="1" applyBorder="1" applyAlignment="1">
      <alignment vertical="top" wrapText="1"/>
    </xf>
    <xf numFmtId="174" fontId="7" fillId="0" borderId="0" xfId="267" applyNumberFormat="1" applyFont="1" applyFill="1" applyBorder="1" applyAlignment="1">
      <alignment vertical="top" wrapText="1"/>
    </xf>
    <xf numFmtId="174" fontId="6" fillId="0" borderId="0" xfId="267" applyNumberFormat="1" applyFont="1" applyFill="1" applyAlignment="1">
      <alignment vertical="top" wrapText="1"/>
    </xf>
    <xf numFmtId="3" fontId="6" fillId="0" borderId="0" xfId="267" applyNumberFormat="1" applyFont="1" applyFill="1" applyBorder="1" applyAlignment="1">
      <alignment vertical="top" wrapText="1"/>
    </xf>
    <xf numFmtId="3" fontId="0" fillId="0" borderId="0" xfId="0" applyNumberFormat="1" applyBorder="1" applyAlignment="1">
      <alignment vertical="top" wrapText="1"/>
    </xf>
    <xf numFmtId="0" fontId="0" fillId="0" borderId="0" xfId="0" applyBorder="1" applyAlignment="1"/>
    <xf numFmtId="3" fontId="6" fillId="0" borderId="0" xfId="0" applyNumberFormat="1" applyFont="1" applyFill="1" applyBorder="1"/>
    <xf numFmtId="0" fontId="0" fillId="0" borderId="29" xfId="0" applyFill="1" applyBorder="1"/>
    <xf numFmtId="3" fontId="13" fillId="0" borderId="0" xfId="0" applyNumberFormat="1" applyFont="1" applyBorder="1" applyAlignment="1">
      <alignment vertical="top" wrapText="1"/>
    </xf>
    <xf numFmtId="3" fontId="0" fillId="0" borderId="0" xfId="0" applyNumberFormat="1" applyBorder="1" applyAlignment="1">
      <alignment horizontal="center"/>
    </xf>
    <xf numFmtId="3" fontId="13" fillId="0" borderId="0" xfId="0" applyNumberFormat="1" applyFont="1" applyFill="1" applyBorder="1" applyAlignment="1">
      <alignment vertical="top" wrapText="1"/>
    </xf>
    <xf numFmtId="3" fontId="7" fillId="0" borderId="22" xfId="0" applyNumberFormat="1" applyFont="1" applyBorder="1" applyAlignment="1">
      <alignment vertical="top" wrapText="1"/>
    </xf>
    <xf numFmtId="3" fontId="0" fillId="0" borderId="0" xfId="0" applyNumberFormat="1" applyAlignment="1">
      <alignment vertical="top" wrapText="1"/>
    </xf>
    <xf numFmtId="174" fontId="0" fillId="0" borderId="0" xfId="0" applyNumberFormat="1"/>
    <xf numFmtId="3" fontId="6" fillId="0" borderId="0" xfId="267" applyNumberFormat="1" applyFont="1" applyFill="1" applyAlignment="1">
      <alignment vertical="top" wrapText="1"/>
    </xf>
    <xf numFmtId="174" fontId="13" fillId="0" borderId="0" xfId="267" applyNumberFormat="1" applyFont="1" applyFill="1" applyBorder="1" applyAlignment="1">
      <alignment vertical="top" wrapText="1"/>
    </xf>
    <xf numFmtId="3" fontId="35" fillId="0" borderId="0" xfId="0" applyNumberFormat="1" applyFont="1" applyAlignment="1">
      <alignment horizontal="center"/>
    </xf>
    <xf numFmtId="3" fontId="22" fillId="0" borderId="0" xfId="0" applyNumberFormat="1" applyFont="1" applyFill="1" applyBorder="1" applyAlignment="1">
      <alignment horizontal="center" vertical="top" wrapText="1"/>
    </xf>
    <xf numFmtId="174" fontId="23" fillId="0" borderId="0" xfId="267" applyNumberFormat="1" applyFont="1" applyFill="1" applyBorder="1" applyAlignment="1">
      <alignment vertical="top" wrapText="1"/>
    </xf>
    <xf numFmtId="164" fontId="23" fillId="0" borderId="0" xfId="267" applyNumberFormat="1" applyFont="1" applyFill="1" applyBorder="1" applyAlignment="1">
      <alignment vertical="top" wrapText="1"/>
    </xf>
    <xf numFmtId="0" fontId="21" fillId="0" borderId="15" xfId="0" applyFont="1" applyBorder="1"/>
    <xf numFmtId="0" fontId="21" fillId="0" borderId="30" xfId="0" applyFont="1" applyBorder="1" applyAlignment="1">
      <alignment horizontal="right"/>
    </xf>
    <xf numFmtId="0" fontId="21" fillId="0" borderId="31" xfId="0" applyFont="1" applyBorder="1"/>
    <xf numFmtId="174" fontId="7" fillId="0" borderId="0" xfId="0" applyNumberFormat="1" applyFont="1" applyBorder="1" applyAlignment="1">
      <alignment horizontal="center"/>
    </xf>
    <xf numFmtId="174" fontId="7" fillId="0" borderId="0" xfId="0" applyNumberFormat="1" applyFont="1" applyFill="1" applyBorder="1" applyAlignment="1">
      <alignment horizontal="right"/>
    </xf>
    <xf numFmtId="174" fontId="7" fillId="0" borderId="18" xfId="0" applyNumberFormat="1" applyFont="1" applyFill="1" applyBorder="1" applyAlignment="1">
      <alignment horizontal="right"/>
    </xf>
    <xf numFmtId="174" fontId="8" fillId="0" borderId="0" xfId="0" applyNumberFormat="1" applyFont="1" applyBorder="1"/>
    <xf numFmtId="174" fontId="8" fillId="0" borderId="18" xfId="0" applyNumberFormat="1" applyFont="1" applyBorder="1"/>
    <xf numFmtId="174" fontId="25" fillId="0" borderId="0" xfId="0" applyNumberFormat="1" applyFont="1" applyBorder="1"/>
    <xf numFmtId="174" fontId="25" fillId="0" borderId="18" xfId="0" applyNumberFormat="1" applyFont="1" applyBorder="1"/>
    <xf numFmtId="174" fontId="7" fillId="0" borderId="0" xfId="0" applyNumberFormat="1" applyFont="1" applyFill="1" applyBorder="1" applyAlignment="1">
      <alignment horizontal="center" vertical="center"/>
    </xf>
    <xf numFmtId="174" fontId="0" fillId="0" borderId="0" xfId="0" applyNumberFormat="1" applyBorder="1"/>
    <xf numFmtId="174" fontId="7" fillId="0" borderId="0" xfId="0" applyNumberFormat="1" applyFont="1" applyBorder="1"/>
    <xf numFmtId="174" fontId="7" fillId="0" borderId="18" xfId="0" applyNumberFormat="1" applyFont="1" applyBorder="1" applyAlignment="1">
      <alignment horizontal="center"/>
    </xf>
    <xf numFmtId="174" fontId="27" fillId="0" borderId="0" xfId="0" applyNumberFormat="1" applyFont="1" applyBorder="1"/>
    <xf numFmtId="174" fontId="27" fillId="0" borderId="18" xfId="0" applyNumberFormat="1" applyFont="1" applyBorder="1"/>
    <xf numFmtId="174" fontId="25" fillId="0" borderId="4" xfId="0" applyNumberFormat="1" applyFont="1" applyBorder="1"/>
    <xf numFmtId="174" fontId="25" fillId="0" borderId="23" xfId="0" applyNumberFormat="1" applyFont="1" applyBorder="1"/>
    <xf numFmtId="174" fontId="7" fillId="0" borderId="4" xfId="0" applyNumberFormat="1" applyFont="1" applyFill="1" applyBorder="1" applyAlignment="1">
      <alignment horizontal="right"/>
    </xf>
    <xf numFmtId="174" fontId="7" fillId="0" borderId="23" xfId="0" applyNumberFormat="1" applyFont="1" applyFill="1" applyBorder="1" applyAlignment="1">
      <alignment horizontal="right"/>
    </xf>
    <xf numFmtId="174" fontId="15" fillId="0" borderId="0" xfId="0" applyNumberFormat="1" applyFont="1" applyFill="1" applyBorder="1" applyAlignment="1">
      <alignment vertical="top" wrapText="1"/>
    </xf>
    <xf numFmtId="174" fontId="13" fillId="0" borderId="0" xfId="0" applyNumberFormat="1" applyFont="1" applyFill="1" applyBorder="1" applyAlignment="1">
      <alignment vertical="top"/>
    </xf>
    <xf numFmtId="174" fontId="13" fillId="0" borderId="0" xfId="0" applyNumberFormat="1" applyFont="1" applyFill="1" applyBorder="1" applyAlignment="1">
      <alignment vertical="top" wrapText="1"/>
    </xf>
    <xf numFmtId="174" fontId="15" fillId="0" borderId="0" xfId="0" applyNumberFormat="1" applyFont="1" applyBorder="1"/>
    <xf numFmtId="174" fontId="7" fillId="0" borderId="4" xfId="0" applyNumberFormat="1" applyFont="1" applyFill="1" applyBorder="1" applyAlignment="1">
      <alignment horizontal="right" vertical="center"/>
    </xf>
    <xf numFmtId="3" fontId="22" fillId="0" borderId="0" xfId="0" applyNumberFormat="1" applyFont="1" applyFill="1" applyBorder="1" applyAlignment="1">
      <alignment horizontal="center" vertical="center"/>
    </xf>
    <xf numFmtId="0" fontId="22" fillId="0" borderId="3" xfId="0" applyFont="1" applyFill="1" applyBorder="1" applyAlignment="1">
      <alignment horizontal="left" vertical="top" wrapText="1"/>
    </xf>
    <xf numFmtId="174" fontId="7" fillId="0" borderId="0" xfId="0" applyNumberFormat="1" applyFont="1" applyBorder="1" applyAlignment="1">
      <alignment horizontal="right"/>
    </xf>
    <xf numFmtId="0" fontId="7" fillId="0" borderId="4" xfId="0" applyFont="1" applyBorder="1"/>
    <xf numFmtId="174" fontId="7" fillId="0" borderId="4" xfId="0" applyNumberFormat="1" applyFont="1" applyBorder="1" applyAlignment="1">
      <alignment horizontal="right"/>
    </xf>
    <xf numFmtId="174" fontId="7" fillId="0" borderId="0" xfId="0" applyNumberFormat="1" applyFont="1" applyBorder="1" applyAlignment="1"/>
    <xf numFmtId="174" fontId="7" fillId="0" borderId="4" xfId="0" applyNumberFormat="1" applyFont="1" applyFill="1" applyBorder="1" applyAlignment="1"/>
    <xf numFmtId="0" fontId="6" fillId="0" borderId="3" xfId="0" applyFont="1" applyBorder="1" applyAlignment="1">
      <alignment horizontal="right"/>
    </xf>
    <xf numFmtId="0" fontId="6" fillId="0" borderId="18" xfId="0" applyFont="1" applyBorder="1" applyAlignment="1">
      <alignment horizontal="center"/>
    </xf>
    <xf numFmtId="0" fontId="13" fillId="0" borderId="30" xfId="0" applyFont="1" applyFill="1" applyBorder="1" applyAlignment="1">
      <alignment horizontal="left" vertical="top" wrapText="1"/>
    </xf>
    <xf numFmtId="0" fontId="13" fillId="0" borderId="32" xfId="0" applyFont="1" applyFill="1" applyBorder="1" applyAlignment="1">
      <alignment horizontal="left" vertical="top" wrapText="1"/>
    </xf>
    <xf numFmtId="0" fontId="7" fillId="0" borderId="30" xfId="0" applyFont="1" applyBorder="1" applyAlignment="1">
      <alignment horizontal="center" vertical="top"/>
    </xf>
    <xf numFmtId="0" fontId="7" fillId="0" borderId="32" xfId="0" applyFont="1" applyBorder="1" applyAlignment="1">
      <alignment horizontal="center" vertical="top"/>
    </xf>
    <xf numFmtId="0" fontId="0" fillId="25" borderId="0" xfId="0" applyFill="1"/>
    <xf numFmtId="169" fontId="25" fillId="0" borderId="0" xfId="0" applyNumberFormat="1" applyFont="1" applyBorder="1"/>
    <xf numFmtId="0" fontId="25" fillId="0" borderId="3" xfId="0" applyFont="1" applyFill="1" applyBorder="1" applyAlignment="1">
      <alignment horizontal="right"/>
    </xf>
    <xf numFmtId="0" fontId="13" fillId="0" borderId="3" xfId="0" applyFont="1" applyBorder="1"/>
    <xf numFmtId="0" fontId="7" fillId="0" borderId="0" xfId="0" applyFont="1" applyAlignment="1">
      <alignment horizontal="center"/>
    </xf>
    <xf numFmtId="0" fontId="0" fillId="23" borderId="0" xfId="0" applyFill="1"/>
    <xf numFmtId="0" fontId="0" fillId="0" borderId="9" xfId="0" applyBorder="1"/>
    <xf numFmtId="0" fontId="7" fillId="23" borderId="0" xfId="0" applyFont="1" applyFill="1"/>
    <xf numFmtId="17" fontId="7" fillId="0" borderId="0" xfId="0" applyNumberFormat="1" applyFont="1"/>
    <xf numFmtId="174" fontId="7" fillId="0" borderId="0" xfId="0" applyNumberFormat="1" applyFont="1"/>
    <xf numFmtId="0" fontId="13" fillId="0" borderId="0" xfId="0" applyFont="1"/>
    <xf numFmtId="10" fontId="8" fillId="0" borderId="18" xfId="0" applyNumberFormat="1" applyFont="1" applyBorder="1"/>
    <xf numFmtId="3" fontId="0" fillId="25" borderId="0" xfId="0" applyNumberFormat="1" applyFill="1"/>
    <xf numFmtId="0" fontId="7" fillId="0" borderId="0" xfId="0" applyFont="1" applyAlignment="1"/>
    <xf numFmtId="0" fontId="7" fillId="0" borderId="19" xfId="422" applyFont="1" applyFill="1" applyBorder="1" applyAlignment="1">
      <alignment horizontal="right"/>
    </xf>
    <xf numFmtId="170" fontId="7" fillId="0" borderId="4" xfId="0" applyNumberFormat="1" applyFont="1" applyBorder="1" applyAlignment="1">
      <alignment horizontal="center"/>
    </xf>
    <xf numFmtId="3" fontId="7" fillId="0" borderId="4" xfId="422" applyNumberFormat="1" applyFont="1" applyFill="1" applyBorder="1" applyAlignment="1">
      <alignment horizontal="center"/>
    </xf>
    <xf numFmtId="3" fontId="7" fillId="0" borderId="23" xfId="0" applyNumberFormat="1" applyFont="1" applyFill="1" applyBorder="1" applyAlignment="1">
      <alignment horizontal="center"/>
    </xf>
    <xf numFmtId="3" fontId="7" fillId="0" borderId="0" xfId="0" applyNumberFormat="1" applyFont="1" applyFill="1" applyBorder="1" applyAlignment="1">
      <alignment vertical="top" wrapText="1"/>
    </xf>
    <xf numFmtId="174" fontId="13" fillId="25" borderId="0" xfId="267" applyNumberFormat="1" applyFont="1" applyFill="1" applyBorder="1" applyAlignment="1">
      <alignment vertical="top" wrapText="1"/>
    </xf>
    <xf numFmtId="174" fontId="13" fillId="25" borderId="0" xfId="267" applyNumberFormat="1" applyFont="1" applyFill="1" applyBorder="1" applyAlignment="1">
      <alignment horizontal="right" vertical="top" wrapText="1"/>
    </xf>
    <xf numFmtId="0" fontId="0" fillId="0" borderId="33" xfId="0" applyBorder="1"/>
    <xf numFmtId="0" fontId="33" fillId="0" borderId="33" xfId="0" applyFont="1" applyBorder="1" applyAlignment="1">
      <alignment horizontal="center"/>
    </xf>
    <xf numFmtId="0" fontId="33" fillId="0" borderId="34" xfId="0" applyFont="1" applyBorder="1" applyAlignment="1">
      <alignment horizontal="right"/>
    </xf>
    <xf numFmtId="3" fontId="7" fillId="0" borderId="20" xfId="0" applyNumberFormat="1" applyFont="1" applyBorder="1" applyAlignment="1">
      <alignment vertical="top" wrapText="1"/>
    </xf>
    <xf numFmtId="3" fontId="13" fillId="0" borderId="0" xfId="0" applyNumberFormat="1" applyFont="1" applyFill="1" applyBorder="1" applyAlignment="1">
      <alignment vertical="top"/>
    </xf>
    <xf numFmtId="0" fontId="0" fillId="23" borderId="0" xfId="0" applyFill="1" applyBorder="1"/>
    <xf numFmtId="0" fontId="0" fillId="0" borderId="27" xfId="0" applyBorder="1"/>
    <xf numFmtId="3" fontId="6" fillId="0" borderId="0" xfId="0" applyNumberFormat="1" applyFont="1" applyFill="1" applyBorder="1" applyAlignment="1">
      <alignment vertical="top" wrapText="1"/>
    </xf>
    <xf numFmtId="3" fontId="23" fillId="0" borderId="0" xfId="0" applyNumberFormat="1" applyFont="1" applyFill="1" applyBorder="1" applyAlignment="1">
      <alignment vertical="top" wrapText="1"/>
    </xf>
    <xf numFmtId="3" fontId="22" fillId="0" borderId="0" xfId="0" applyNumberFormat="1" applyFont="1" applyFill="1" applyBorder="1" applyAlignment="1">
      <alignment vertical="top" wrapText="1"/>
    </xf>
    <xf numFmtId="164" fontId="7" fillId="0" borderId="0" xfId="267" applyNumberFormat="1" applyFont="1" applyFill="1" applyBorder="1" applyAlignment="1">
      <alignment vertical="top" wrapText="1"/>
    </xf>
    <xf numFmtId="174" fontId="23" fillId="25" borderId="0" xfId="267" applyNumberFormat="1" applyFont="1" applyFill="1" applyBorder="1" applyAlignment="1">
      <alignment vertical="top" wrapText="1"/>
    </xf>
    <xf numFmtId="0" fontId="7" fillId="23" borderId="0" xfId="0" applyFont="1" applyFill="1" applyBorder="1"/>
    <xf numFmtId="3" fontId="22" fillId="0" borderId="20" xfId="0" applyNumberFormat="1" applyFont="1" applyFill="1" applyBorder="1" applyAlignment="1">
      <alignment horizontal="center" vertical="top" wrapText="1"/>
    </xf>
    <xf numFmtId="3" fontId="22" fillId="0" borderId="20" xfId="0" applyNumberFormat="1" applyFont="1" applyFill="1" applyBorder="1" applyAlignment="1">
      <alignment horizontal="center" vertical="top"/>
    </xf>
    <xf numFmtId="3" fontId="22" fillId="0" borderId="24" xfId="0" applyNumberFormat="1" applyFont="1" applyFill="1" applyBorder="1" applyAlignment="1">
      <alignment horizontal="center" vertical="top" wrapText="1"/>
    </xf>
    <xf numFmtId="3" fontId="23" fillId="0" borderId="3" xfId="0" applyNumberFormat="1" applyFont="1" applyFill="1" applyBorder="1" applyAlignment="1">
      <alignment vertical="top" wrapText="1"/>
    </xf>
    <xf numFmtId="3" fontId="22" fillId="0" borderId="3" xfId="0" applyNumberFormat="1" applyFont="1" applyFill="1" applyBorder="1" applyAlignment="1">
      <alignment vertical="top" wrapText="1"/>
    </xf>
    <xf numFmtId="3" fontId="13" fillId="0" borderId="3" xfId="0" applyNumberFormat="1" applyFont="1" applyFill="1" applyBorder="1" applyAlignment="1">
      <alignment vertical="top"/>
    </xf>
    <xf numFmtId="3" fontId="13" fillId="0" borderId="3" xfId="0" applyNumberFormat="1" applyFont="1" applyFill="1" applyBorder="1" applyAlignment="1">
      <alignment vertical="top" wrapText="1"/>
    </xf>
    <xf numFmtId="164" fontId="23" fillId="0" borderId="4" xfId="267" applyNumberFormat="1" applyFont="1" applyFill="1" applyBorder="1" applyAlignment="1">
      <alignment vertical="top" wrapText="1"/>
    </xf>
    <xf numFmtId="164" fontId="7" fillId="0" borderId="4" xfId="267" applyNumberFormat="1" applyFont="1" applyFill="1" applyBorder="1" applyAlignment="1">
      <alignment vertical="top" wrapText="1"/>
    </xf>
    <xf numFmtId="0" fontId="0" fillId="0" borderId="18" xfId="0" applyBorder="1" applyAlignment="1">
      <alignment horizontal="center"/>
    </xf>
    <xf numFmtId="174" fontId="23" fillId="0" borderId="18" xfId="267" applyNumberFormat="1" applyFont="1" applyFill="1" applyBorder="1" applyAlignment="1">
      <alignment horizontal="center" vertical="top" wrapText="1"/>
    </xf>
    <xf numFmtId="164" fontId="23" fillId="0" borderId="23" xfId="267" applyNumberFormat="1" applyFont="1" applyFill="1" applyBorder="1" applyAlignment="1">
      <alignment horizontal="center" vertical="top" wrapText="1"/>
    </xf>
    <xf numFmtId="0" fontId="7" fillId="0" borderId="22" xfId="0" applyFont="1" applyBorder="1" applyAlignment="1">
      <alignment horizontal="left" vertical="top"/>
    </xf>
    <xf numFmtId="0" fontId="7" fillId="0" borderId="0" xfId="0" applyFont="1" applyFill="1" applyBorder="1" applyAlignment="1">
      <alignment horizontal="right"/>
    </xf>
    <xf numFmtId="3" fontId="0" fillId="25" borderId="0" xfId="0" applyNumberFormat="1" applyFill="1" applyBorder="1"/>
    <xf numFmtId="17" fontId="7" fillId="0" borderId="0" xfId="0" applyNumberFormat="1" applyFont="1" applyBorder="1" applyAlignment="1">
      <alignment horizontal="center"/>
    </xf>
    <xf numFmtId="3" fontId="0" fillId="0" borderId="0" xfId="0" applyNumberFormat="1" applyFill="1" applyBorder="1"/>
    <xf numFmtId="0" fontId="15" fillId="0" borderId="0" xfId="0" applyFont="1"/>
    <xf numFmtId="0" fontId="0" fillId="0" borderId="9" xfId="0" applyBorder="1" applyAlignment="1">
      <alignment horizontal="center"/>
    </xf>
    <xf numFmtId="3" fontId="15" fillId="0" borderId="0" xfId="0" applyNumberFormat="1" applyFont="1"/>
    <xf numFmtId="3" fontId="7" fillId="0" borderId="9" xfId="0" applyNumberFormat="1" applyFont="1" applyFill="1" applyBorder="1"/>
    <xf numFmtId="3" fontId="7" fillId="0" borderId="0" xfId="0" applyNumberFormat="1" applyFont="1" applyBorder="1" applyAlignment="1">
      <alignment vertical="top" wrapText="1"/>
    </xf>
    <xf numFmtId="3" fontId="0" fillId="0" borderId="0" xfId="0" applyNumberFormat="1" applyFill="1" applyBorder="1" applyAlignment="1">
      <alignment vertical="top" wrapText="1"/>
    </xf>
    <xf numFmtId="3" fontId="7" fillId="0" borderId="0" xfId="0" applyNumberFormat="1" applyFont="1" applyFill="1" applyBorder="1" applyAlignment="1">
      <alignment horizontal="right" vertical="top" wrapText="1"/>
    </xf>
    <xf numFmtId="174" fontId="7" fillId="0" borderId="0" xfId="267" applyNumberFormat="1" applyFont="1" applyFill="1" applyBorder="1" applyAlignment="1">
      <alignment horizontal="center" vertical="top" wrapText="1"/>
    </xf>
    <xf numFmtId="3" fontId="15" fillId="0" borderId="0" xfId="0" applyNumberFormat="1" applyFont="1" applyFill="1" applyBorder="1" applyAlignment="1">
      <alignment horizontal="right" vertical="top" wrapText="1"/>
    </xf>
    <xf numFmtId="3" fontId="13" fillId="0" borderId="0" xfId="0" applyNumberFormat="1" applyFont="1" applyFill="1" applyBorder="1" applyAlignment="1">
      <alignment horizontal="right" vertical="top" wrapText="1"/>
    </xf>
    <xf numFmtId="3" fontId="7" fillId="0" borderId="0" xfId="0" applyNumberFormat="1" applyFont="1" applyBorder="1" applyAlignment="1">
      <alignment horizontal="left" vertical="top" wrapText="1"/>
    </xf>
    <xf numFmtId="174" fontId="0" fillId="0" borderId="0" xfId="0" applyNumberFormat="1" applyBorder="1" applyAlignment="1">
      <alignment vertical="top" wrapText="1"/>
    </xf>
    <xf numFmtId="0" fontId="0" fillId="0" borderId="35" xfId="0" applyFill="1" applyBorder="1"/>
    <xf numFmtId="0" fontId="21" fillId="0" borderId="4" xfId="0" applyFont="1" applyBorder="1"/>
    <xf numFmtId="0" fontId="21" fillId="0" borderId="4" xfId="0" applyFont="1" applyBorder="1" applyAlignment="1">
      <alignment horizontal="right"/>
    </xf>
    <xf numFmtId="174" fontId="7" fillId="0" borderId="18" xfId="267" applyNumberFormat="1" applyFont="1" applyFill="1" applyBorder="1" applyAlignment="1">
      <alignment horizontal="center" vertical="top" wrapText="1"/>
    </xf>
    <xf numFmtId="174" fontId="34" fillId="0" borderId="18" xfId="0" applyNumberFormat="1" applyFont="1" applyBorder="1" applyAlignment="1">
      <alignment horizontal="center"/>
    </xf>
    <xf numFmtId="174" fontId="10" fillId="0" borderId="0" xfId="267" applyNumberFormat="1" applyFont="1" applyFill="1" applyBorder="1" applyAlignment="1">
      <alignment horizontal="center" vertical="top" wrapText="1"/>
    </xf>
    <xf numFmtId="3" fontId="6" fillId="0" borderId="24" xfId="267" applyNumberFormat="1" applyFont="1" applyFill="1" applyBorder="1" applyAlignment="1">
      <alignment vertical="top" wrapText="1"/>
    </xf>
    <xf numFmtId="3" fontId="6" fillId="0" borderId="18" xfId="267" applyNumberFormat="1" applyFont="1" applyFill="1" applyBorder="1" applyAlignment="1">
      <alignment vertical="top" wrapText="1"/>
    </xf>
    <xf numFmtId="174" fontId="6" fillId="0" borderId="18" xfId="267" applyNumberFormat="1" applyFont="1" applyFill="1" applyBorder="1" applyAlignment="1">
      <alignment vertical="top" wrapText="1"/>
    </xf>
    <xf numFmtId="0" fontId="0" fillId="0" borderId="19" xfId="0" applyFill="1" applyBorder="1"/>
    <xf numFmtId="0" fontId="0" fillId="0" borderId="4" xfId="0" applyFill="1" applyBorder="1"/>
    <xf numFmtId="174" fontId="0" fillId="0" borderId="5" xfId="0" applyNumberFormat="1" applyBorder="1"/>
    <xf numFmtId="0" fontId="0" fillId="0" borderId="27" xfId="0" applyFill="1" applyBorder="1" applyAlignment="1">
      <alignment horizontal="center"/>
    </xf>
    <xf numFmtId="3" fontId="0" fillId="0" borderId="0" xfId="0" applyNumberFormat="1" applyFill="1" applyBorder="1" applyAlignment="1">
      <alignment horizontal="center"/>
    </xf>
    <xf numFmtId="0" fontId="0" fillId="29" borderId="0" xfId="0" applyFill="1"/>
    <xf numFmtId="0" fontId="43" fillId="0" borderId="9" xfId="0" applyFont="1" applyFill="1" applyBorder="1" applyAlignment="1">
      <alignment horizontal="center" vertical="center"/>
    </xf>
    <xf numFmtId="0" fontId="39" fillId="0" borderId="0" xfId="0" applyFont="1" applyFill="1" applyAlignment="1"/>
    <xf numFmtId="0" fontId="13" fillId="0" borderId="0" xfId="0" applyFont="1" applyBorder="1"/>
    <xf numFmtId="3" fontId="13" fillId="0" borderId="0" xfId="0" applyNumberFormat="1" applyFont="1"/>
    <xf numFmtId="174" fontId="27" fillId="0" borderId="18" xfId="0" applyNumberFormat="1" applyFont="1" applyFill="1" applyBorder="1"/>
    <xf numFmtId="171" fontId="7" fillId="0" borderId="3" xfId="267" applyNumberFormat="1" applyFont="1" applyFill="1" applyBorder="1"/>
    <xf numFmtId="0" fontId="39" fillId="0" borderId="0" xfId="0" applyFont="1" applyBorder="1"/>
    <xf numFmtId="0" fontId="39" fillId="0" borderId="18" xfId="0" applyFont="1" applyBorder="1"/>
    <xf numFmtId="0" fontId="39" fillId="0" borderId="0" xfId="0" applyFont="1"/>
    <xf numFmtId="0" fontId="39" fillId="0" borderId="3" xfId="0" applyFont="1" applyBorder="1"/>
    <xf numFmtId="3" fontId="7" fillId="0" borderId="0" xfId="0" applyNumberFormat="1" applyFont="1" applyBorder="1" applyAlignment="1">
      <alignment vertical="center" wrapText="1"/>
    </xf>
    <xf numFmtId="0" fontId="0" fillId="0" borderId="0" xfId="0" applyBorder="1" applyAlignment="1">
      <alignment horizontal="right" vertical="center"/>
    </xf>
    <xf numFmtId="0" fontId="0" fillId="0" borderId="18" xfId="0" applyBorder="1" applyAlignment="1">
      <alignment horizontal="right" vertical="center"/>
    </xf>
    <xf numFmtId="3" fontId="7" fillId="0" borderId="0" xfId="0" applyNumberFormat="1" applyFont="1" applyBorder="1" applyAlignment="1">
      <alignment horizontal="right" vertical="center"/>
    </xf>
    <xf numFmtId="0" fontId="0" fillId="0" borderId="0" xfId="0" applyAlignment="1">
      <alignment horizontal="right" vertical="center"/>
    </xf>
    <xf numFmtId="174" fontId="34" fillId="0" borderId="0" xfId="267" applyNumberFormat="1" applyFont="1" applyFill="1" applyBorder="1" applyAlignment="1">
      <alignment horizontal="center" vertical="top" wrapText="1"/>
    </xf>
    <xf numFmtId="177" fontId="0" fillId="0" borderId="0" xfId="0" applyNumberFormat="1"/>
    <xf numFmtId="172" fontId="0" fillId="0" borderId="0" xfId="0" applyNumberFormat="1" applyBorder="1" applyAlignment="1">
      <alignment horizontal="center"/>
    </xf>
    <xf numFmtId="172" fontId="13" fillId="0" borderId="27" xfId="0" applyNumberFormat="1" applyFont="1" applyFill="1" applyBorder="1" applyAlignment="1">
      <alignment horizontal="center"/>
    </xf>
    <xf numFmtId="0" fontId="16" fillId="0" borderId="20" xfId="422" applyFont="1" applyBorder="1" applyAlignment="1">
      <alignment horizontal="center" wrapText="1"/>
    </xf>
    <xf numFmtId="0" fontId="16" fillId="0" borderId="24" xfId="422" applyFont="1" applyBorder="1" applyAlignment="1">
      <alignment horizontal="center"/>
    </xf>
    <xf numFmtId="9" fontId="19" fillId="0" borderId="0" xfId="450" applyFont="1" applyFill="1" applyBorder="1" applyAlignment="1">
      <alignment horizontal="center"/>
    </xf>
    <xf numFmtId="3" fontId="7" fillId="0" borderId="22" xfId="0" applyNumberFormat="1" applyFont="1" applyFill="1" applyBorder="1" applyAlignment="1">
      <alignment vertical="top" wrapText="1"/>
    </xf>
    <xf numFmtId="3" fontId="22" fillId="0" borderId="19" xfId="0" applyNumberFormat="1" applyFont="1" applyFill="1" applyBorder="1" applyAlignment="1">
      <alignment vertical="top"/>
    </xf>
    <xf numFmtId="169" fontId="17" fillId="0" borderId="0" xfId="422" applyNumberFormat="1" applyFont="1" applyBorder="1" applyAlignment="1">
      <alignment horizontal="center"/>
    </xf>
    <xf numFmtId="180" fontId="23" fillId="0" borderId="0" xfId="267" applyNumberFormat="1" applyFont="1" applyFill="1" applyBorder="1" applyAlignment="1">
      <alignment vertical="top" wrapText="1"/>
    </xf>
    <xf numFmtId="174" fontId="7" fillId="0" borderId="0" xfId="0" applyNumberFormat="1" applyFont="1" applyFill="1" applyBorder="1"/>
    <xf numFmtId="0" fontId="8" fillId="0" borderId="3" xfId="0" applyFont="1" applyFill="1" applyBorder="1"/>
    <xf numFmtId="174" fontId="8" fillId="0" borderId="0" xfId="0" applyNumberFormat="1" applyFont="1" applyFill="1" applyBorder="1"/>
    <xf numFmtId="167" fontId="23" fillId="0" borderId="0" xfId="0" applyNumberFormat="1" applyFont="1" applyFill="1" applyBorder="1" applyAlignment="1">
      <alignment horizontal="center"/>
    </xf>
    <xf numFmtId="175" fontId="7" fillId="0" borderId="20" xfId="0" applyNumberFormat="1" applyFont="1" applyBorder="1" applyAlignment="1">
      <alignment horizontal="center" vertical="top" wrapText="1"/>
    </xf>
    <xf numFmtId="175" fontId="7" fillId="0" borderId="0" xfId="0" quotePrefix="1" applyNumberFormat="1" applyFont="1" applyBorder="1" applyAlignment="1">
      <alignment horizontal="center" vertical="top" wrapText="1"/>
    </xf>
    <xf numFmtId="3" fontId="7" fillId="0" borderId="0" xfId="0" applyNumberFormat="1" applyFont="1" applyFill="1" applyBorder="1" applyAlignment="1">
      <alignment horizontal="center" vertical="top" wrapText="1"/>
    </xf>
    <xf numFmtId="0" fontId="39" fillId="27" borderId="0" xfId="0" applyFont="1" applyFill="1"/>
    <xf numFmtId="176" fontId="40" fillId="27" borderId="0" xfId="0" applyNumberFormat="1" applyFont="1" applyFill="1" applyAlignment="1">
      <alignment horizontal="right" vertical="center" wrapText="1"/>
    </xf>
    <xf numFmtId="176" fontId="45" fillId="23" borderId="43" xfId="0" quotePrefix="1" applyNumberFormat="1" applyFont="1" applyFill="1" applyBorder="1" applyAlignment="1">
      <alignment horizontal="left" vertical="center" wrapText="1"/>
    </xf>
    <xf numFmtId="176" fontId="45" fillId="23" borderId="43" xfId="0" applyNumberFormat="1" applyFont="1" applyFill="1" applyBorder="1" applyAlignment="1">
      <alignment horizontal="right" vertical="center" wrapText="1"/>
    </xf>
    <xf numFmtId="37" fontId="40" fillId="27" borderId="0" xfId="0" applyNumberFormat="1" applyFont="1" applyFill="1" applyAlignment="1">
      <alignment horizontal="left" vertical="center"/>
    </xf>
    <xf numFmtId="37" fontId="45" fillId="27" borderId="44" xfId="0" quotePrefix="1" applyNumberFormat="1" applyFont="1" applyFill="1" applyBorder="1" applyAlignment="1">
      <alignment horizontal="center"/>
    </xf>
    <xf numFmtId="37" fontId="45" fillId="27" borderId="26" xfId="0" quotePrefix="1" applyNumberFormat="1" applyFont="1" applyFill="1" applyBorder="1" applyAlignment="1">
      <alignment horizontal="center"/>
    </xf>
    <xf numFmtId="37" fontId="45" fillId="27" borderId="45" xfId="0" quotePrefix="1" applyNumberFormat="1" applyFont="1" applyFill="1" applyBorder="1" applyAlignment="1">
      <alignment horizontal="center"/>
    </xf>
    <xf numFmtId="37" fontId="45" fillId="27" borderId="43" xfId="0" quotePrefix="1" applyNumberFormat="1" applyFont="1" applyFill="1" applyBorder="1" applyAlignment="1">
      <alignment horizontal="center"/>
    </xf>
    <xf numFmtId="0" fontId="0" fillId="0" borderId="0" xfId="0" applyFill="1" applyAlignment="1"/>
    <xf numFmtId="37" fontId="45" fillId="27" borderId="44" xfId="0" quotePrefix="1" applyNumberFormat="1" applyFont="1" applyFill="1" applyBorder="1" applyAlignment="1">
      <alignment horizontal="center" vertical="center"/>
    </xf>
    <xf numFmtId="37" fontId="45" fillId="27" borderId="26" xfId="0" quotePrefix="1" applyNumberFormat="1" applyFont="1" applyFill="1" applyBorder="1" applyAlignment="1">
      <alignment horizontal="center" vertical="center"/>
    </xf>
    <xf numFmtId="37" fontId="45" fillId="27" borderId="46" xfId="0" quotePrefix="1" applyNumberFormat="1" applyFont="1" applyFill="1" applyBorder="1" applyAlignment="1">
      <alignment horizontal="center" vertical="center"/>
    </xf>
    <xf numFmtId="37" fontId="45" fillId="27" borderId="47" xfId="0" quotePrefix="1" applyNumberFormat="1" applyFont="1" applyFill="1" applyBorder="1" applyAlignment="1">
      <alignment horizontal="center" vertical="center"/>
    </xf>
    <xf numFmtId="37" fontId="40" fillId="27" borderId="0" xfId="0" applyNumberFormat="1" applyFont="1" applyFill="1" applyAlignment="1">
      <alignment horizontal="left"/>
    </xf>
    <xf numFmtId="37" fontId="45" fillId="27" borderId="48" xfId="0" quotePrefix="1" applyNumberFormat="1" applyFont="1" applyFill="1" applyBorder="1" applyAlignment="1">
      <alignment horizontal="center"/>
    </xf>
    <xf numFmtId="37" fontId="45" fillId="27" borderId="46" xfId="0" quotePrefix="1" applyNumberFormat="1" applyFont="1" applyFill="1" applyBorder="1" applyAlignment="1">
      <alignment horizontal="center"/>
    </xf>
    <xf numFmtId="37" fontId="45" fillId="27" borderId="47" xfId="0" quotePrefix="1" applyNumberFormat="1" applyFont="1" applyFill="1" applyBorder="1" applyAlignment="1">
      <alignment horizontal="center"/>
    </xf>
    <xf numFmtId="176" fontId="40" fillId="27" borderId="0" xfId="0" applyNumberFormat="1" applyFont="1" applyFill="1" applyAlignment="1">
      <alignment horizontal="left" vertical="center"/>
    </xf>
    <xf numFmtId="176" fontId="40" fillId="27" borderId="0" xfId="0" applyNumberFormat="1" applyFont="1" applyFill="1" applyAlignment="1">
      <alignment horizontal="right" vertical="center"/>
    </xf>
    <xf numFmtId="0" fontId="39" fillId="27" borderId="0" xfId="0" applyFont="1" applyFill="1" applyAlignment="1">
      <alignment wrapText="1"/>
    </xf>
    <xf numFmtId="0" fontId="8" fillId="0" borderId="0" xfId="0" applyFont="1" applyBorder="1"/>
    <xf numFmtId="0" fontId="51" fillId="0" borderId="3" xfId="0" applyFont="1" applyFill="1" applyBorder="1" applyAlignment="1">
      <alignment horizontal="right"/>
    </xf>
    <xf numFmtId="174" fontId="51" fillId="0" borderId="0" xfId="0" applyNumberFormat="1" applyFont="1" applyBorder="1"/>
    <xf numFmtId="174" fontId="51" fillId="0" borderId="18" xfId="0" applyNumberFormat="1" applyFont="1" applyBorder="1"/>
    <xf numFmtId="0" fontId="51" fillId="0" borderId="3" xfId="0" applyFont="1" applyBorder="1" applyAlignment="1">
      <alignment horizontal="right"/>
    </xf>
    <xf numFmtId="0" fontId="51" fillId="0" borderId="3" xfId="0" applyFont="1" applyBorder="1"/>
    <xf numFmtId="0" fontId="8" fillId="0" borderId="19" xfId="0" applyFont="1" applyBorder="1"/>
    <xf numFmtId="174" fontId="8" fillId="0" borderId="4" xfId="0" applyNumberFormat="1" applyFont="1" applyBorder="1"/>
    <xf numFmtId="174" fontId="8" fillId="0" borderId="23" xfId="0" applyNumberFormat="1" applyFont="1" applyBorder="1"/>
    <xf numFmtId="0" fontId="51" fillId="0" borderId="19" xfId="0" applyFont="1" applyBorder="1"/>
    <xf numFmtId="174" fontId="51" fillId="0" borderId="4" xfId="0" applyNumberFormat="1" applyFont="1" applyBorder="1"/>
    <xf numFmtId="174" fontId="51" fillId="0" borderId="23" xfId="0" applyNumberFormat="1" applyFont="1" applyBorder="1"/>
    <xf numFmtId="0" fontId="51" fillId="0" borderId="0" xfId="0" applyFont="1"/>
    <xf numFmtId="3" fontId="25" fillId="0" borderId="22" xfId="0" applyNumberFormat="1" applyFont="1" applyBorder="1" applyAlignment="1">
      <alignment vertical="top" wrapText="1"/>
    </xf>
    <xf numFmtId="3" fontId="25" fillId="0" borderId="20" xfId="0" quotePrefix="1" applyNumberFormat="1" applyFont="1" applyBorder="1" applyAlignment="1">
      <alignment horizontal="center" vertical="top" wrapText="1"/>
    </xf>
    <xf numFmtId="3" fontId="25" fillId="0" borderId="24" xfId="0" applyNumberFormat="1" applyFont="1" applyBorder="1" applyAlignment="1">
      <alignment horizontal="center" vertical="top" wrapText="1"/>
    </xf>
    <xf numFmtId="3" fontId="25" fillId="0" borderId="0" xfId="0" applyNumberFormat="1" applyFont="1" applyBorder="1" applyAlignment="1">
      <alignment horizontal="center" vertical="top" wrapText="1"/>
    </xf>
    <xf numFmtId="3" fontId="25" fillId="0" borderId="20" xfId="0" applyNumberFormat="1" applyFont="1" applyBorder="1" applyAlignment="1">
      <alignment vertical="top" wrapText="1"/>
    </xf>
    <xf numFmtId="3" fontId="27" fillId="0" borderId="3" xfId="0" applyNumberFormat="1" applyFont="1" applyBorder="1" applyAlignment="1">
      <alignment vertical="top" wrapText="1"/>
    </xf>
    <xf numFmtId="3" fontId="25" fillId="0" borderId="18" xfId="0" applyNumberFormat="1" applyFont="1" applyBorder="1" applyAlignment="1">
      <alignment horizontal="center" vertical="top" wrapText="1"/>
    </xf>
    <xf numFmtId="3" fontId="27" fillId="0" borderId="0" xfId="0" applyNumberFormat="1" applyFont="1" applyBorder="1" applyAlignment="1">
      <alignment vertical="top" wrapText="1"/>
    </xf>
    <xf numFmtId="3" fontId="25" fillId="0" borderId="18" xfId="0" applyNumberFormat="1" applyFont="1" applyFill="1" applyBorder="1" applyAlignment="1">
      <alignment horizontal="center" vertical="top" wrapText="1"/>
    </xf>
    <xf numFmtId="3" fontId="25" fillId="0" borderId="18" xfId="0" quotePrefix="1" applyNumberFormat="1" applyFont="1" applyBorder="1" applyAlignment="1">
      <alignment horizontal="center" vertical="top" wrapText="1"/>
    </xf>
    <xf numFmtId="3" fontId="52" fillId="0" borderId="0" xfId="0" quotePrefix="1" applyNumberFormat="1" applyFont="1" applyBorder="1" applyAlignment="1">
      <alignment horizontal="center" vertical="top" wrapText="1"/>
    </xf>
    <xf numFmtId="174" fontId="27" fillId="0" borderId="0" xfId="267" applyNumberFormat="1" applyFont="1" applyFill="1" applyBorder="1" applyAlignment="1">
      <alignment vertical="top" wrapText="1"/>
    </xf>
    <xf numFmtId="3" fontId="27" fillId="0" borderId="18" xfId="267" applyNumberFormat="1" applyFont="1" applyFill="1" applyBorder="1" applyAlignment="1">
      <alignment horizontal="center" vertical="top" wrapText="1"/>
    </xf>
    <xf numFmtId="3" fontId="27" fillId="0" borderId="0" xfId="267" applyNumberFormat="1" applyFont="1" applyFill="1" applyAlignment="1">
      <alignment horizontal="left" vertical="top" wrapText="1"/>
    </xf>
    <xf numFmtId="3" fontId="27" fillId="0" borderId="3" xfId="0" applyNumberFormat="1" applyFont="1" applyBorder="1" applyAlignment="1">
      <alignment horizontal="left" vertical="top"/>
    </xf>
    <xf numFmtId="3" fontId="27" fillId="0" borderId="0" xfId="0" applyNumberFormat="1" applyFont="1" applyBorder="1" applyAlignment="1">
      <alignment horizontal="left" vertical="top"/>
    </xf>
    <xf numFmtId="3" fontId="27" fillId="0" borderId="3" xfId="0" applyNumberFormat="1" applyFont="1" applyFill="1" applyBorder="1" applyAlignment="1">
      <alignment vertical="top" wrapText="1"/>
    </xf>
    <xf numFmtId="3" fontId="27" fillId="0" borderId="0" xfId="267" applyNumberFormat="1" applyFont="1" applyFill="1" applyAlignment="1">
      <alignment vertical="top" wrapText="1"/>
    </xf>
    <xf numFmtId="3" fontId="27" fillId="0" borderId="3" xfId="0" applyNumberFormat="1" applyFont="1" applyFill="1" applyBorder="1" applyAlignment="1">
      <alignment horizontal="left" vertical="top"/>
    </xf>
    <xf numFmtId="3" fontId="27" fillId="0" borderId="0" xfId="0" applyNumberFormat="1" applyFont="1" applyFill="1" applyBorder="1" applyAlignment="1">
      <alignment horizontal="left" vertical="top"/>
    </xf>
    <xf numFmtId="3" fontId="27" fillId="0" borderId="0" xfId="0" applyNumberFormat="1" applyFont="1" applyFill="1" applyBorder="1" applyAlignment="1">
      <alignment vertical="top" wrapText="1"/>
    </xf>
    <xf numFmtId="3" fontId="25" fillId="0" borderId="3" xfId="0" applyNumberFormat="1" applyFont="1" applyFill="1" applyBorder="1" applyAlignment="1">
      <alignment vertical="top" wrapText="1"/>
    </xf>
    <xf numFmtId="174" fontId="25" fillId="0" borderId="0" xfId="267" applyNumberFormat="1" applyFont="1" applyFill="1" applyBorder="1" applyAlignment="1">
      <alignment vertical="top" wrapText="1"/>
    </xf>
    <xf numFmtId="3" fontId="25" fillId="0" borderId="18" xfId="267" applyNumberFormat="1" applyFont="1" applyFill="1" applyBorder="1" applyAlignment="1">
      <alignment horizontal="center" vertical="top" wrapText="1"/>
    </xf>
    <xf numFmtId="3" fontId="25" fillId="0" borderId="0" xfId="267" applyNumberFormat="1" applyFont="1" applyFill="1" applyBorder="1" applyAlignment="1">
      <alignment vertical="top" wrapText="1"/>
    </xf>
    <xf numFmtId="3" fontId="25" fillId="0" borderId="3" xfId="0" applyNumberFormat="1" applyFont="1" applyFill="1" applyBorder="1" applyAlignment="1">
      <alignment horizontal="left" vertical="top"/>
    </xf>
    <xf numFmtId="3" fontId="25" fillId="0" borderId="0" xfId="0" applyNumberFormat="1" applyFont="1" applyFill="1" applyBorder="1" applyAlignment="1">
      <alignment horizontal="left" vertical="top"/>
    </xf>
    <xf numFmtId="3" fontId="25" fillId="0" borderId="0" xfId="0" applyNumberFormat="1" applyFont="1" applyFill="1" applyBorder="1" applyAlignment="1">
      <alignment vertical="top" wrapText="1"/>
    </xf>
    <xf numFmtId="3" fontId="27" fillId="0" borderId="0" xfId="267" applyNumberFormat="1" applyFont="1" applyFill="1" applyBorder="1" applyAlignment="1">
      <alignment vertical="top" wrapText="1"/>
    </xf>
    <xf numFmtId="174" fontId="25" fillId="0" borderId="0" xfId="0" applyNumberFormat="1" applyFont="1" applyFill="1" applyBorder="1"/>
    <xf numFmtId="3" fontId="25" fillId="0" borderId="18" xfId="0" applyNumberFormat="1" applyFont="1" applyBorder="1" applyAlignment="1">
      <alignment horizontal="center"/>
    </xf>
    <xf numFmtId="3" fontId="25" fillId="0" borderId="0" xfId="0" applyNumberFormat="1" applyFont="1"/>
    <xf numFmtId="174" fontId="53" fillId="0" borderId="0" xfId="0" applyNumberFormat="1" applyFont="1" applyFill="1" applyBorder="1" applyAlignment="1">
      <alignment vertical="top" wrapText="1"/>
    </xf>
    <xf numFmtId="3" fontId="53" fillId="0" borderId="18" xfId="0" applyNumberFormat="1" applyFont="1" applyFill="1" applyBorder="1" applyAlignment="1">
      <alignment horizontal="center" vertical="top" wrapText="1"/>
    </xf>
    <xf numFmtId="3" fontId="53" fillId="0" borderId="0" xfId="0" applyNumberFormat="1" applyFont="1" applyFill="1" applyBorder="1" applyAlignment="1">
      <alignment vertical="top" wrapText="1"/>
    </xf>
    <xf numFmtId="174" fontId="27" fillId="0" borderId="0" xfId="0" applyNumberFormat="1" applyFont="1" applyFill="1" applyBorder="1" applyAlignment="1">
      <alignment vertical="top"/>
    </xf>
    <xf numFmtId="174" fontId="27" fillId="0" borderId="0" xfId="0" applyNumberFormat="1" applyFont="1" applyFill="1" applyBorder="1" applyAlignment="1">
      <alignment vertical="top" wrapText="1"/>
    </xf>
    <xf numFmtId="3" fontId="27" fillId="0" borderId="3" xfId="0" applyNumberFormat="1" applyFont="1" applyFill="1" applyBorder="1" applyAlignment="1">
      <alignment vertical="top"/>
    </xf>
    <xf numFmtId="3" fontId="27" fillId="0" borderId="0" xfId="0" applyNumberFormat="1" applyFont="1" applyFill="1" applyBorder="1" applyAlignment="1">
      <alignment vertical="top"/>
    </xf>
    <xf numFmtId="3" fontId="25" fillId="0" borderId="19" xfId="0" applyNumberFormat="1" applyFont="1" applyFill="1" applyBorder="1" applyAlignment="1">
      <alignment vertical="top" wrapText="1"/>
    </xf>
    <xf numFmtId="3" fontId="25" fillId="0" borderId="23" xfId="0" applyNumberFormat="1" applyFont="1" applyBorder="1" applyAlignment="1">
      <alignment horizontal="center"/>
    </xf>
    <xf numFmtId="3" fontId="25" fillId="0" borderId="4" xfId="0" applyNumberFormat="1" applyFont="1" applyFill="1" applyBorder="1" applyAlignment="1">
      <alignment vertical="top" wrapText="1"/>
    </xf>
    <xf numFmtId="0" fontId="27" fillId="0" borderId="23" xfId="0" applyFont="1" applyBorder="1" applyAlignment="1">
      <alignment horizontal="center"/>
    </xf>
    <xf numFmtId="0" fontId="39" fillId="0" borderId="0" xfId="0" applyFont="1" applyAlignment="1"/>
    <xf numFmtId="172" fontId="7" fillId="30" borderId="0" xfId="0" applyNumberFormat="1" applyFont="1" applyFill="1" applyAlignment="1">
      <alignment horizontal="center"/>
    </xf>
    <xf numFmtId="0" fontId="6" fillId="0" borderId="0" xfId="421" applyBorder="1"/>
    <xf numFmtId="0" fontId="6" fillId="0" borderId="0" xfId="421"/>
    <xf numFmtId="0" fontId="21" fillId="0" borderId="0" xfId="421" applyFont="1" applyBorder="1"/>
    <xf numFmtId="0" fontId="7" fillId="0" borderId="22" xfId="421" applyFont="1" applyBorder="1"/>
    <xf numFmtId="0" fontId="6" fillId="0" borderId="20" xfId="421" applyBorder="1"/>
    <xf numFmtId="0" fontId="6" fillId="0" borderId="0" xfId="421" applyFont="1" applyBorder="1"/>
    <xf numFmtId="0" fontId="7" fillId="0" borderId="0" xfId="421" applyFont="1" applyBorder="1"/>
    <xf numFmtId="0" fontId="7" fillId="0" borderId="3" xfId="421" applyFont="1" applyBorder="1" applyAlignment="1">
      <alignment horizontal="left" vertical="top" wrapText="1"/>
    </xf>
    <xf numFmtId="0" fontId="7" fillId="0" borderId="19" xfId="421" applyFont="1" applyBorder="1"/>
    <xf numFmtId="174" fontId="7" fillId="0" borderId="4" xfId="421" applyNumberFormat="1" applyFont="1" applyBorder="1" applyAlignment="1">
      <alignment horizontal="center"/>
    </xf>
    <xf numFmtId="174" fontId="7" fillId="0" borderId="23" xfId="421" applyNumberFormat="1" applyFont="1" applyBorder="1" applyAlignment="1">
      <alignment horizontal="center"/>
    </xf>
    <xf numFmtId="0" fontId="6" fillId="0" borderId="22" xfId="421" applyFont="1" applyBorder="1"/>
    <xf numFmtId="171" fontId="6" fillId="0" borderId="3" xfId="267" applyNumberFormat="1" applyFont="1" applyFill="1" applyBorder="1"/>
    <xf numFmtId="174" fontId="24" fillId="0" borderId="0" xfId="421" applyNumberFormat="1" applyFont="1" applyFill="1" applyBorder="1"/>
    <xf numFmtId="174" fontId="6" fillId="0" borderId="18" xfId="267" applyNumberFormat="1" applyFont="1" applyFill="1" applyBorder="1"/>
    <xf numFmtId="174" fontId="44" fillId="0" borderId="0" xfId="421" applyNumberFormat="1" applyFont="1" applyFill="1" applyBorder="1"/>
    <xf numFmtId="174" fontId="7" fillId="0" borderId="4" xfId="267" applyNumberFormat="1" applyFont="1" applyFill="1" applyBorder="1"/>
    <xf numFmtId="0" fontId="7" fillId="0" borderId="0" xfId="421" applyFont="1"/>
    <xf numFmtId="0" fontId="7" fillId="0" borderId="3" xfId="421" applyFont="1" applyBorder="1"/>
    <xf numFmtId="176" fontId="47" fillId="27" borderId="35" xfId="0" applyNumberFormat="1" applyFont="1" applyFill="1" applyBorder="1" applyAlignment="1">
      <alignment horizontal="left"/>
    </xf>
    <xf numFmtId="176" fontId="49" fillId="27" borderId="0" xfId="0" applyNumberFormat="1" applyFont="1" applyFill="1" applyAlignment="1">
      <alignment horizontal="left"/>
    </xf>
    <xf numFmtId="176" fontId="56" fillId="27" borderId="0" xfId="0" applyNumberFormat="1" applyFont="1" applyFill="1" applyAlignment="1">
      <alignment horizontal="left"/>
    </xf>
    <xf numFmtId="176" fontId="45" fillId="23" borderId="43" xfId="0" quotePrefix="1" applyNumberFormat="1" applyFont="1" applyFill="1" applyBorder="1" applyAlignment="1">
      <alignment horizontal="left" vertical="center"/>
    </xf>
    <xf numFmtId="176" fontId="45" fillId="27" borderId="0" xfId="0" applyNumberFormat="1" applyFont="1" applyFill="1" applyAlignment="1">
      <alignment horizontal="left" vertical="center"/>
    </xf>
    <xf numFmtId="176" fontId="40" fillId="27" borderId="0" xfId="0" quotePrefix="1" applyNumberFormat="1" applyFont="1" applyFill="1" applyAlignment="1">
      <alignment horizontal="left" vertical="center"/>
    </xf>
    <xf numFmtId="0" fontId="0" fillId="0" borderId="0" xfId="0" applyBorder="1" applyAlignment="1">
      <alignment horizontal="center" wrapText="1"/>
    </xf>
    <xf numFmtId="176" fontId="0" fillId="0" borderId="0" xfId="0" applyNumberFormat="1" applyFill="1" applyAlignment="1"/>
    <xf numFmtId="176" fontId="40" fillId="25" borderId="0" xfId="0" applyNumberFormat="1" applyFont="1" applyFill="1" applyAlignment="1">
      <alignment horizontal="right" vertical="center" wrapText="1"/>
    </xf>
    <xf numFmtId="176" fontId="45" fillId="25" borderId="43" xfId="0" applyNumberFormat="1" applyFont="1" applyFill="1" applyBorder="1" applyAlignment="1">
      <alignment horizontal="right" vertical="center" wrapText="1"/>
    </xf>
    <xf numFmtId="10" fontId="0" fillId="0" borderId="0" xfId="450" applyNumberFormat="1" applyFont="1" applyFill="1" applyAlignment="1"/>
    <xf numFmtId="0" fontId="39" fillId="0" borderId="0" xfId="0" applyFont="1" applyAlignment="1">
      <alignment horizontal="left"/>
    </xf>
    <xf numFmtId="174" fontId="27" fillId="0" borderId="0" xfId="267" applyNumberFormat="1" applyFont="1" applyFill="1" applyBorder="1" applyAlignment="1">
      <alignment horizontal="right" vertical="top" wrapText="1"/>
    </xf>
    <xf numFmtId="0" fontId="13" fillId="0" borderId="0" xfId="423" applyProtection="1"/>
    <xf numFmtId="0" fontId="7" fillId="0" borderId="0" xfId="423" applyFont="1" applyProtection="1"/>
    <xf numFmtId="0" fontId="13" fillId="0" borderId="0" xfId="423" applyFont="1" applyAlignment="1" applyProtection="1">
      <alignment horizontal="right" indent="1"/>
    </xf>
    <xf numFmtId="0" fontId="13" fillId="0" borderId="0" xfId="423" applyFont="1" applyProtection="1"/>
    <xf numFmtId="0" fontId="13" fillId="0" borderId="0" xfId="423" applyFont="1" applyFill="1" applyProtection="1"/>
    <xf numFmtId="0" fontId="13" fillId="0" borderId="0" xfId="423" applyFill="1" applyProtection="1"/>
    <xf numFmtId="0" fontId="7" fillId="0" borderId="0" xfId="423" applyFont="1" applyFill="1" applyProtection="1"/>
    <xf numFmtId="2" fontId="67" fillId="27" borderId="0" xfId="423" applyNumberFormat="1" applyFont="1" applyFill="1" applyProtection="1"/>
    <xf numFmtId="1" fontId="13" fillId="0" borderId="0" xfId="423" applyNumberFormat="1" applyFont="1" applyAlignment="1" applyProtection="1">
      <alignment horizontal="right" indent="1"/>
    </xf>
    <xf numFmtId="169" fontId="13" fillId="0" borderId="0" xfId="423" applyNumberFormat="1" applyFont="1" applyAlignment="1" applyProtection="1">
      <alignment horizontal="right" indent="1"/>
    </xf>
    <xf numFmtId="169" fontId="7" fillId="0" borderId="0" xfId="423" applyNumberFormat="1" applyFont="1" applyAlignment="1" applyProtection="1">
      <alignment horizontal="right" indent="1"/>
    </xf>
    <xf numFmtId="1" fontId="7" fillId="0" borderId="0" xfId="423" applyNumberFormat="1" applyFont="1" applyAlignment="1" applyProtection="1">
      <alignment horizontal="right" indent="1"/>
    </xf>
    <xf numFmtId="0" fontId="27" fillId="0" borderId="0" xfId="423" applyFont="1" applyProtection="1"/>
    <xf numFmtId="0" fontId="13" fillId="0" borderId="0" xfId="423" applyAlignment="1" applyProtection="1">
      <alignment horizontal="center"/>
    </xf>
    <xf numFmtId="0" fontId="13" fillId="0" borderId="0" xfId="423" applyBorder="1" applyProtection="1"/>
    <xf numFmtId="0" fontId="13" fillId="0" borderId="0" xfId="423" quotePrefix="1" applyBorder="1" applyAlignment="1" applyProtection="1">
      <alignment horizontal="left"/>
    </xf>
    <xf numFmtId="0" fontId="12" fillId="0" borderId="0" xfId="423" applyFont="1" applyFill="1" applyBorder="1" applyProtection="1"/>
    <xf numFmtId="0" fontId="12" fillId="0" borderId="0" xfId="423" applyFont="1" applyFill="1" applyBorder="1" applyAlignment="1" applyProtection="1"/>
    <xf numFmtId="166" fontId="13" fillId="0" borderId="0" xfId="423" applyNumberFormat="1" applyAlignment="1" applyProtection="1">
      <alignment horizontal="right" indent="1"/>
    </xf>
    <xf numFmtId="0" fontId="13" fillId="0" borderId="0" xfId="423" applyAlignment="1" applyProtection="1"/>
    <xf numFmtId="0" fontId="13" fillId="0" borderId="0" xfId="423" applyFont="1" applyAlignment="1" applyProtection="1"/>
    <xf numFmtId="0" fontId="13" fillId="0" borderId="0" xfId="423" quotePrefix="1" applyFont="1" applyProtection="1"/>
    <xf numFmtId="166" fontId="13" fillId="0" borderId="0" xfId="423" applyNumberFormat="1" applyAlignment="1" applyProtection="1"/>
    <xf numFmtId="0" fontId="13" fillId="0" borderId="0" xfId="423" quotePrefix="1" applyFont="1" applyAlignment="1" applyProtection="1"/>
    <xf numFmtId="0" fontId="13" fillId="0" borderId="0" xfId="423" quotePrefix="1" applyFont="1" applyFill="1" applyProtection="1"/>
    <xf numFmtId="1" fontId="7" fillId="0" borderId="0" xfId="423" applyNumberFormat="1" applyFont="1" applyFill="1" applyBorder="1" applyAlignment="1" applyProtection="1">
      <alignment horizontal="left"/>
    </xf>
    <xf numFmtId="178" fontId="13" fillId="23" borderId="1" xfId="267" applyNumberFormat="1" applyFont="1" applyFill="1" applyBorder="1" applyAlignment="1" applyProtection="1">
      <alignment horizontal="right" indent="1"/>
    </xf>
    <xf numFmtId="178" fontId="13" fillId="0" borderId="0" xfId="267" applyNumberFormat="1" applyFont="1" applyAlignment="1" applyProtection="1">
      <alignment horizontal="right" indent="1"/>
    </xf>
    <xf numFmtId="0" fontId="7" fillId="0" borderId="0" xfId="423" applyFont="1" applyAlignment="1" applyProtection="1"/>
    <xf numFmtId="0" fontId="13" fillId="0" borderId="0" xfId="423" applyAlignment="1" applyProtection="1">
      <alignment horizontal="left"/>
    </xf>
    <xf numFmtId="167" fontId="13" fillId="0" borderId="0" xfId="450" applyNumberFormat="1" applyFont="1" applyBorder="1" applyProtection="1"/>
    <xf numFmtId="1" fontId="7" fillId="0" borderId="0" xfId="423" applyNumberFormat="1" applyFont="1" applyAlignment="1" applyProtection="1">
      <alignment horizontal="center"/>
    </xf>
    <xf numFmtId="168" fontId="13" fillId="32" borderId="1" xfId="267" applyNumberFormat="1" applyFont="1" applyFill="1" applyBorder="1" applyAlignment="1" applyProtection="1">
      <alignment horizontal="right" indent="1"/>
    </xf>
    <xf numFmtId="168" fontId="13" fillId="0" borderId="0" xfId="267" applyNumberFormat="1" applyFont="1" applyAlignment="1" applyProtection="1">
      <alignment horizontal="right" indent="1"/>
    </xf>
    <xf numFmtId="0" fontId="7" fillId="0" borderId="0" xfId="423" applyFont="1" applyAlignment="1" applyProtection="1">
      <alignment horizontal="left"/>
    </xf>
    <xf numFmtId="1" fontId="7" fillId="0" borderId="0" xfId="423" applyNumberFormat="1" applyFont="1" applyAlignment="1" applyProtection="1">
      <alignment horizontal="left"/>
    </xf>
    <xf numFmtId="0" fontId="13" fillId="0" borderId="0" xfId="423" quotePrefix="1" applyFill="1" applyBorder="1" applyAlignment="1" applyProtection="1">
      <alignment horizontal="left"/>
    </xf>
    <xf numFmtId="0" fontId="13" fillId="0" borderId="0" xfId="423" applyFill="1" applyAlignment="1" applyProtection="1">
      <alignment horizontal="left"/>
    </xf>
    <xf numFmtId="0" fontId="13" fillId="0" borderId="0" xfId="423" applyFont="1" applyFill="1" applyAlignment="1" applyProtection="1"/>
    <xf numFmtId="0" fontId="15" fillId="0" borderId="0" xfId="423" applyFont="1" applyFill="1" applyProtection="1"/>
    <xf numFmtId="165" fontId="7" fillId="0" borderId="4" xfId="420" applyNumberFormat="1" applyFont="1" applyFill="1" applyBorder="1" applyAlignment="1" applyProtection="1">
      <alignment horizontal="center" wrapText="1"/>
    </xf>
    <xf numFmtId="0" fontId="13" fillId="0" borderId="0" xfId="423" quotePrefix="1" applyProtection="1"/>
    <xf numFmtId="166" fontId="13" fillId="0" borderId="0" xfId="423" applyNumberFormat="1" applyBorder="1" applyAlignment="1" applyProtection="1"/>
    <xf numFmtId="0" fontId="13" fillId="0" borderId="0" xfId="423" applyAlignment="1" applyProtection="1">
      <alignment vertical="top" wrapText="1"/>
    </xf>
    <xf numFmtId="0" fontId="13" fillId="0" borderId="0" xfId="423" quotePrefix="1" applyAlignment="1" applyProtection="1"/>
    <xf numFmtId="0" fontId="13" fillId="0" borderId="0" xfId="423" quotePrefix="1" applyFill="1" applyProtection="1"/>
    <xf numFmtId="0" fontId="13" fillId="0" borderId="0" xfId="423" applyFill="1" applyAlignment="1" applyProtection="1">
      <alignment vertical="top" wrapText="1"/>
    </xf>
    <xf numFmtId="0" fontId="7" fillId="0" borderId="0" xfId="423" applyFont="1" applyFill="1" applyAlignment="1" applyProtection="1">
      <alignment horizontal="left"/>
    </xf>
    <xf numFmtId="1" fontId="7" fillId="0" borderId="0" xfId="423" applyNumberFormat="1" applyFont="1" applyFill="1" applyAlignment="1" applyProtection="1">
      <alignment horizontal="left"/>
    </xf>
    <xf numFmtId="0" fontId="19" fillId="0" borderId="0" xfId="423" applyFont="1" applyBorder="1" applyAlignment="1" applyProtection="1">
      <alignment horizontal="center"/>
    </xf>
    <xf numFmtId="0" fontId="13" fillId="0" borderId="0" xfId="423" applyFill="1" applyAlignment="1" applyProtection="1"/>
    <xf numFmtId="1" fontId="7" fillId="0" borderId="0" xfId="423" applyNumberFormat="1" applyFont="1" applyAlignment="1" applyProtection="1"/>
    <xf numFmtId="0" fontId="13" fillId="0" borderId="0" xfId="423" quotePrefix="1" applyFont="1" applyFill="1" applyBorder="1" applyProtection="1"/>
    <xf numFmtId="0" fontId="13" fillId="0" borderId="0" xfId="423" applyFont="1" applyFill="1" applyBorder="1" applyProtection="1"/>
    <xf numFmtId="0" fontId="13" fillId="0" borderId="50" xfId="423" applyFill="1" applyBorder="1" applyAlignment="1" applyProtection="1"/>
    <xf numFmtId="0" fontId="7" fillId="0" borderId="0" xfId="423" applyFont="1" applyFill="1" applyBorder="1" applyProtection="1"/>
    <xf numFmtId="0" fontId="13" fillId="0" borderId="50" xfId="423" applyBorder="1" applyAlignment="1" applyProtection="1"/>
    <xf numFmtId="0" fontId="15" fillId="0" borderId="0" xfId="423" applyFont="1" applyBorder="1" applyProtection="1"/>
    <xf numFmtId="0" fontId="15" fillId="0" borderId="0" xfId="423" applyFont="1" applyAlignment="1" applyProtection="1"/>
    <xf numFmtId="0" fontId="15" fillId="0" borderId="0" xfId="423" applyFont="1" applyBorder="1" applyAlignment="1" applyProtection="1"/>
    <xf numFmtId="0" fontId="69" fillId="0" borderId="50" xfId="423" applyFont="1" applyBorder="1" applyAlignment="1" applyProtection="1"/>
    <xf numFmtId="1" fontId="15" fillId="0" borderId="0" xfId="423" applyNumberFormat="1" applyFont="1" applyFill="1" applyBorder="1" applyAlignment="1" applyProtection="1">
      <alignment horizontal="left"/>
    </xf>
    <xf numFmtId="0" fontId="15" fillId="0" borderId="51" xfId="423" applyFont="1" applyBorder="1" applyAlignment="1" applyProtection="1"/>
    <xf numFmtId="166" fontId="15" fillId="0" borderId="51" xfId="423" applyNumberFormat="1" applyFont="1" applyBorder="1" applyAlignment="1" applyProtection="1"/>
    <xf numFmtId="0" fontId="13" fillId="0" borderId="0" xfId="423" applyBorder="1" applyAlignment="1" applyProtection="1"/>
    <xf numFmtId="166" fontId="7" fillId="0" borderId="51" xfId="423" applyNumberFormat="1" applyFont="1" applyBorder="1" applyProtection="1"/>
    <xf numFmtId="0" fontId="13" fillId="0" borderId="0" xfId="423" applyAlignment="1" applyProtection="1">
      <alignment vertical="top"/>
    </xf>
    <xf numFmtId="4" fontId="7" fillId="0" borderId="0" xfId="423" applyNumberFormat="1" applyFont="1" applyFill="1" applyBorder="1" applyProtection="1"/>
    <xf numFmtId="0" fontId="7" fillId="0" borderId="0" xfId="423" applyFont="1" applyFill="1" applyAlignment="1" applyProtection="1"/>
    <xf numFmtId="0" fontId="20" fillId="0" borderId="15" xfId="423" applyFont="1" applyBorder="1" applyProtection="1"/>
    <xf numFmtId="0" fontId="20" fillId="0" borderId="5" xfId="423" applyFont="1" applyBorder="1" applyProtection="1"/>
    <xf numFmtId="0" fontId="13" fillId="0" borderId="20" xfId="423" applyFill="1" applyBorder="1" applyProtection="1"/>
    <xf numFmtId="43" fontId="20" fillId="0" borderId="20" xfId="267" applyFont="1" applyBorder="1" applyAlignment="1" applyProtection="1"/>
    <xf numFmtId="0" fontId="13" fillId="0" borderId="3" xfId="423" applyBorder="1" applyProtection="1"/>
    <xf numFmtId="0" fontId="13" fillId="0" borderId="18" xfId="423" applyBorder="1" applyProtection="1"/>
    <xf numFmtId="0" fontId="20" fillId="0" borderId="19" xfId="423" applyFont="1" applyBorder="1" applyProtection="1"/>
    <xf numFmtId="0" fontId="13" fillId="0" borderId="4" xfId="423" applyFill="1" applyBorder="1" applyProtection="1"/>
    <xf numFmtId="0" fontId="20" fillId="0" borderId="4" xfId="423" applyFont="1" applyBorder="1" applyAlignment="1" applyProtection="1">
      <alignment horizontal="center"/>
    </xf>
    <xf numFmtId="0" fontId="70" fillId="0" borderId="3" xfId="423" applyFont="1" applyFill="1" applyBorder="1" applyProtection="1"/>
    <xf numFmtId="0" fontId="70" fillId="0" borderId="0" xfId="423" applyFont="1" applyFill="1" applyBorder="1" applyProtection="1"/>
    <xf numFmtId="0" fontId="70" fillId="0" borderId="18" xfId="423" applyFont="1" applyFill="1" applyBorder="1" applyAlignment="1" applyProtection="1">
      <alignment horizontal="center"/>
    </xf>
    <xf numFmtId="0" fontId="13" fillId="0" borderId="20" xfId="423" applyBorder="1" applyProtection="1"/>
    <xf numFmtId="0" fontId="19" fillId="0" borderId="20" xfId="423" applyFont="1" applyBorder="1" applyAlignment="1" applyProtection="1">
      <alignment horizontal="center"/>
    </xf>
    <xf numFmtId="0" fontId="19" fillId="0" borderId="20" xfId="423" applyFont="1" applyBorder="1" applyProtection="1"/>
    <xf numFmtId="43" fontId="19" fillId="0" borderId="3" xfId="267" applyFont="1" applyBorder="1" applyProtection="1"/>
    <xf numFmtId="9" fontId="19" fillId="0" borderId="0" xfId="450" applyFont="1" applyFill="1" applyBorder="1" applyAlignment="1" applyProtection="1">
      <alignment horizontal="center"/>
    </xf>
    <xf numFmtId="1" fontId="19" fillId="0" borderId="0" xfId="423" applyNumberFormat="1" applyFont="1" applyBorder="1" applyAlignment="1" applyProtection="1">
      <alignment horizontal="center"/>
    </xf>
    <xf numFmtId="0" fontId="19" fillId="0" borderId="18" xfId="423" applyFont="1" applyBorder="1" applyAlignment="1" applyProtection="1">
      <alignment horizontal="center"/>
    </xf>
    <xf numFmtId="43" fontId="19" fillId="0" borderId="3" xfId="267" applyFont="1" applyFill="1" applyBorder="1" applyProtection="1"/>
    <xf numFmtId="1" fontId="19" fillId="0" borderId="0" xfId="423" applyNumberFormat="1" applyFont="1" applyFill="1" applyBorder="1" applyAlignment="1" applyProtection="1">
      <alignment horizontal="center"/>
    </xf>
    <xf numFmtId="0" fontId="19" fillId="0" borderId="18" xfId="423" applyFont="1" applyFill="1" applyBorder="1" applyAlignment="1" applyProtection="1">
      <alignment horizontal="center"/>
    </xf>
    <xf numFmtId="0" fontId="70" fillId="0" borderId="19" xfId="423" applyFont="1" applyFill="1" applyBorder="1" applyProtection="1"/>
    <xf numFmtId="0" fontId="70" fillId="0" borderId="4" xfId="423" applyFont="1" applyFill="1" applyBorder="1" applyProtection="1"/>
    <xf numFmtId="43" fontId="19" fillId="0" borderId="19" xfId="267" applyFont="1" applyBorder="1" applyProtection="1"/>
    <xf numFmtId="0" fontId="13" fillId="0" borderId="4" xfId="423" applyBorder="1" applyProtection="1"/>
    <xf numFmtId="9" fontId="19" fillId="0" borderId="4" xfId="450" applyFont="1" applyFill="1" applyBorder="1" applyAlignment="1" applyProtection="1">
      <alignment horizontal="center"/>
    </xf>
    <xf numFmtId="1" fontId="19" fillId="0" borderId="4" xfId="423" applyNumberFormat="1" applyFont="1" applyBorder="1" applyAlignment="1" applyProtection="1">
      <alignment horizontal="center"/>
    </xf>
    <xf numFmtId="0" fontId="7" fillId="0" borderId="15" xfId="0" applyFont="1" applyBorder="1" applyAlignment="1">
      <alignment horizontal="center" vertical="top"/>
    </xf>
    <xf numFmtId="165" fontId="7" fillId="0" borderId="0" xfId="0" applyNumberFormat="1" applyFont="1" applyAlignment="1">
      <alignment horizontal="center"/>
    </xf>
    <xf numFmtId="183" fontId="39" fillId="0" borderId="0" xfId="0" applyNumberFormat="1" applyFont="1"/>
    <xf numFmtId="183" fontId="39" fillId="23" borderId="0" xfId="0" applyNumberFormat="1" applyFont="1" applyFill="1"/>
    <xf numFmtId="183" fontId="39" fillId="0" borderId="5" xfId="0" applyNumberFormat="1" applyFont="1" applyBorder="1"/>
    <xf numFmtId="183" fontId="46" fillId="0" borderId="39" xfId="0" applyNumberFormat="1" applyFont="1" applyBorder="1"/>
    <xf numFmtId="183" fontId="0" fillId="0" borderId="0" xfId="0" applyNumberFormat="1"/>
    <xf numFmtId="0" fontId="43" fillId="0" borderId="15" xfId="0" applyFont="1" applyFill="1" applyBorder="1" applyAlignment="1">
      <alignment horizontal="center" vertical="center"/>
    </xf>
    <xf numFmtId="0" fontId="7" fillId="0" borderId="15" xfId="0" applyFont="1" applyBorder="1" applyAlignment="1">
      <alignment horizontal="center" vertical="top" wrapText="1"/>
    </xf>
    <xf numFmtId="0" fontId="0" fillId="0" borderId="20" xfId="0" applyBorder="1" applyAlignment="1">
      <alignment horizontal="center"/>
    </xf>
    <xf numFmtId="0" fontId="6" fillId="0" borderId="0" xfId="0" applyFont="1" applyBorder="1" applyAlignment="1">
      <alignment horizontal="center"/>
    </xf>
    <xf numFmtId="0" fontId="22" fillId="0" borderId="24" xfId="0" applyFont="1" applyBorder="1" applyAlignment="1">
      <alignment horizontal="center"/>
    </xf>
    <xf numFmtId="0" fontId="7" fillId="0" borderId="18" xfId="422" applyFont="1" applyFill="1" applyBorder="1" applyAlignment="1">
      <alignment horizontal="center"/>
    </xf>
    <xf numFmtId="170" fontId="23" fillId="0" borderId="0" xfId="0" applyNumberFormat="1" applyFont="1" applyFill="1" applyBorder="1" applyAlignment="1">
      <alignment horizontal="center"/>
    </xf>
    <xf numFmtId="3" fontId="7" fillId="0" borderId="4" xfId="0" applyNumberFormat="1" applyFont="1" applyFill="1" applyBorder="1" applyAlignment="1">
      <alignment horizontal="center"/>
    </xf>
    <xf numFmtId="183" fontId="39" fillId="0" borderId="52" xfId="424" applyNumberFormat="1" applyFont="1" applyBorder="1" applyAlignment="1">
      <alignment horizontal="center"/>
    </xf>
    <xf numFmtId="183" fontId="46" fillId="0" borderId="52" xfId="424" applyNumberFormat="1" applyFont="1" applyBorder="1" applyAlignment="1">
      <alignment horizontal="center"/>
    </xf>
    <xf numFmtId="0" fontId="65" fillId="27" borderId="0" xfId="425" applyFont="1" applyFill="1" applyAlignment="1" applyProtection="1">
      <alignment vertical="top"/>
    </xf>
    <xf numFmtId="0" fontId="65" fillId="27" borderId="0" xfId="425" applyFont="1" applyFill="1" applyProtection="1"/>
    <xf numFmtId="0" fontId="65" fillId="27" borderId="0" xfId="425" applyFont="1" applyFill="1" applyAlignment="1" applyProtection="1">
      <alignment horizontal="center" wrapText="1"/>
    </xf>
    <xf numFmtId="0" fontId="66" fillId="0" borderId="0" xfId="425" applyFont="1" applyFill="1" applyBorder="1" applyAlignment="1" applyProtection="1"/>
    <xf numFmtId="169" fontId="13" fillId="23" borderId="53" xfId="425" applyNumberFormat="1" applyFont="1" applyFill="1" applyBorder="1" applyAlignment="1" applyProtection="1">
      <alignment horizontal="right" indent="1"/>
    </xf>
    <xf numFmtId="169" fontId="13" fillId="23" borderId="54" xfId="425" applyNumberFormat="1" applyFont="1" applyFill="1" applyBorder="1" applyAlignment="1" applyProtection="1">
      <alignment horizontal="right" indent="1"/>
    </xf>
    <xf numFmtId="1" fontId="13" fillId="23" borderId="55" xfId="425" applyNumberFormat="1" applyFont="1" applyFill="1" applyBorder="1" applyAlignment="1" applyProtection="1">
      <alignment horizontal="right" indent="1"/>
    </xf>
    <xf numFmtId="1" fontId="13" fillId="23" borderId="53" xfId="425" applyNumberFormat="1" applyFont="1" applyFill="1" applyBorder="1" applyAlignment="1" applyProtection="1">
      <alignment horizontal="right" indent="1"/>
    </xf>
    <xf numFmtId="1" fontId="13" fillId="23" borderId="54" xfId="425" applyNumberFormat="1" applyFont="1" applyFill="1" applyBorder="1" applyAlignment="1" applyProtection="1">
      <alignment horizontal="right" indent="1"/>
    </xf>
    <xf numFmtId="1" fontId="13" fillId="23" borderId="56" xfId="425" applyNumberFormat="1" applyFont="1" applyFill="1" applyBorder="1" applyAlignment="1" applyProtection="1">
      <alignment horizontal="right" indent="1"/>
    </xf>
    <xf numFmtId="1" fontId="13" fillId="23" borderId="57" xfId="425" applyNumberFormat="1" applyFont="1" applyFill="1" applyBorder="1" applyAlignment="1" applyProtection="1">
      <alignment horizontal="right" indent="1"/>
    </xf>
    <xf numFmtId="1" fontId="13" fillId="23" borderId="58" xfId="425" applyNumberFormat="1" applyFont="1" applyFill="1" applyBorder="1" applyAlignment="1" applyProtection="1">
      <alignment horizontal="right" indent="1"/>
    </xf>
    <xf numFmtId="1" fontId="13" fillId="23" borderId="9" xfId="425" applyNumberFormat="1" applyFont="1" applyFill="1" applyBorder="1" applyAlignment="1" applyProtection="1">
      <alignment horizontal="right" indent="1"/>
    </xf>
    <xf numFmtId="1" fontId="7" fillId="32" borderId="9" xfId="425" applyNumberFormat="1" applyFont="1" applyFill="1" applyBorder="1" applyAlignment="1" applyProtection="1">
      <alignment horizontal="right" indent="1"/>
    </xf>
    <xf numFmtId="1" fontId="27" fillId="0" borderId="0" xfId="425" applyNumberFormat="1" applyFont="1" applyFill="1" applyBorder="1" applyAlignment="1" applyProtection="1">
      <alignment horizontal="right" indent="2"/>
    </xf>
    <xf numFmtId="0" fontId="68" fillId="0" borderId="0" xfId="425" applyFont="1" applyBorder="1" applyProtection="1"/>
    <xf numFmtId="0" fontId="55" fillId="27" borderId="15" xfId="425" applyFont="1" applyFill="1" applyBorder="1" applyAlignment="1" applyProtection="1">
      <alignment vertical="center"/>
    </xf>
    <xf numFmtId="0" fontId="55" fillId="27" borderId="5" xfId="425" applyFont="1" applyFill="1" applyBorder="1" applyAlignment="1" applyProtection="1">
      <alignment vertical="center"/>
    </xf>
    <xf numFmtId="0" fontId="55" fillId="27" borderId="30" xfId="425" applyFont="1" applyFill="1" applyBorder="1" applyAlignment="1" applyProtection="1">
      <alignment vertical="center"/>
    </xf>
    <xf numFmtId="0" fontId="13" fillId="27" borderId="15" xfId="425" applyFont="1" applyFill="1" applyBorder="1" applyAlignment="1" applyProtection="1">
      <alignment vertical="center"/>
    </xf>
    <xf numFmtId="0" fontId="13" fillId="27" borderId="5" xfId="425" applyFont="1" applyFill="1" applyBorder="1" applyAlignment="1" applyProtection="1">
      <alignment vertical="center"/>
    </xf>
    <xf numFmtId="0" fontId="13" fillId="27" borderId="30" xfId="425" applyFont="1" applyFill="1" applyBorder="1" applyAlignment="1" applyProtection="1">
      <alignment vertical="center"/>
    </xf>
    <xf numFmtId="0" fontId="69" fillId="0" borderId="0" xfId="425" applyFont="1" applyFill="1" applyBorder="1" applyProtection="1"/>
    <xf numFmtId="0" fontId="69" fillId="0" borderId="0" xfId="425" applyFont="1" applyFill="1" applyBorder="1" applyAlignment="1" applyProtection="1"/>
    <xf numFmtId="0" fontId="20" fillId="0" borderId="30" xfId="423" applyFont="1" applyBorder="1" applyAlignment="1" applyProtection="1">
      <alignment horizontal="center"/>
    </xf>
    <xf numFmtId="43" fontId="20" fillId="0" borderId="22" xfId="267" applyFont="1" applyBorder="1" applyAlignment="1" applyProtection="1">
      <alignment horizontal="left"/>
    </xf>
    <xf numFmtId="43" fontId="20" fillId="0" borderId="24" xfId="267" applyFont="1" applyBorder="1" applyAlignment="1" applyProtection="1"/>
    <xf numFmtId="0" fontId="20" fillId="0" borderId="23" xfId="423" applyFont="1" applyBorder="1" applyAlignment="1" applyProtection="1">
      <alignment horizontal="center"/>
    </xf>
    <xf numFmtId="0" fontId="19" fillId="0" borderId="22" xfId="423" applyFont="1" applyBorder="1" applyProtection="1"/>
    <xf numFmtId="0" fontId="19" fillId="0" borderId="24" xfId="423" applyFont="1" applyBorder="1" applyProtection="1"/>
    <xf numFmtId="0" fontId="70" fillId="0" borderId="23" xfId="423" applyFont="1" applyFill="1" applyBorder="1" applyAlignment="1" applyProtection="1">
      <alignment horizontal="center"/>
    </xf>
    <xf numFmtId="0" fontId="19" fillId="0" borderId="23" xfId="423" applyFont="1" applyBorder="1" applyAlignment="1" applyProtection="1">
      <alignment horizontal="center"/>
    </xf>
    <xf numFmtId="0" fontId="21" fillId="0" borderId="60" xfId="0" applyFont="1" applyBorder="1"/>
    <xf numFmtId="0" fontId="0" fillId="0" borderId="59" xfId="0" applyBorder="1"/>
    <xf numFmtId="0" fontId="21" fillId="0" borderId="59" xfId="0" applyFont="1" applyBorder="1" applyAlignment="1">
      <alignment horizontal="center"/>
    </xf>
    <xf numFmtId="174" fontId="10" fillId="0" borderId="18" xfId="0" applyNumberFormat="1" applyFont="1" applyBorder="1" applyAlignment="1">
      <alignment horizontal="center"/>
    </xf>
    <xf numFmtId="174" fontId="41" fillId="0" borderId="18" xfId="267" applyNumberFormat="1" applyFont="1" applyFill="1" applyBorder="1" applyAlignment="1">
      <alignment horizontal="center" vertical="top" wrapText="1"/>
    </xf>
    <xf numFmtId="0" fontId="13" fillId="0" borderId="22" xfId="423" applyBorder="1" applyProtection="1"/>
    <xf numFmtId="0" fontId="13" fillId="0" borderId="24" xfId="423" applyBorder="1" applyProtection="1"/>
    <xf numFmtId="0" fontId="65" fillId="27" borderId="3" xfId="425" applyFont="1" applyFill="1" applyBorder="1" applyAlignment="1" applyProtection="1">
      <alignment horizontal="center" wrapText="1"/>
    </xf>
    <xf numFmtId="0" fontId="65" fillId="27" borderId="0" xfId="425" applyFont="1" applyFill="1" applyBorder="1" applyAlignment="1" applyProtection="1">
      <alignment horizontal="center" wrapText="1"/>
    </xf>
    <xf numFmtId="0" fontId="65" fillId="27" borderId="18" xfId="425" applyFont="1" applyFill="1" applyBorder="1" applyAlignment="1" applyProtection="1">
      <alignment horizontal="center" wrapText="1"/>
    </xf>
    <xf numFmtId="165" fontId="7" fillId="0" borderId="0" xfId="420" applyNumberFormat="1" applyFont="1" applyFill="1" applyBorder="1" applyAlignment="1" applyProtection="1">
      <alignment horizontal="center" wrapText="1"/>
    </xf>
    <xf numFmtId="166" fontId="13" fillId="0" borderId="3" xfId="423" applyNumberFormat="1" applyBorder="1" applyAlignment="1" applyProtection="1">
      <alignment horizontal="right" indent="1"/>
    </xf>
    <xf numFmtId="166" fontId="13" fillId="0" borderId="0" xfId="423" applyNumberFormat="1" applyBorder="1" applyAlignment="1" applyProtection="1">
      <alignment horizontal="right" indent="1"/>
    </xf>
    <xf numFmtId="0" fontId="13" fillId="0" borderId="0" xfId="423" applyFont="1" applyBorder="1" applyAlignment="1" applyProtection="1"/>
    <xf numFmtId="166" fontId="13" fillId="0" borderId="3" xfId="423" applyNumberFormat="1" applyBorder="1" applyAlignment="1" applyProtection="1"/>
    <xf numFmtId="0" fontId="13" fillId="0" borderId="0" xfId="423" quotePrefix="1" applyFont="1" applyBorder="1" applyAlignment="1" applyProtection="1"/>
    <xf numFmtId="0" fontId="7" fillId="0" borderId="0" xfId="423" applyFont="1" applyBorder="1" applyProtection="1"/>
    <xf numFmtId="178" fontId="13" fillId="23" borderId="61" xfId="267" applyNumberFormat="1" applyFont="1" applyFill="1" applyBorder="1" applyAlignment="1" applyProtection="1">
      <alignment horizontal="right" indent="1"/>
    </xf>
    <xf numFmtId="178" fontId="13" fillId="0" borderId="0" xfId="267" applyNumberFormat="1" applyFont="1" applyBorder="1" applyAlignment="1" applyProtection="1">
      <alignment horizontal="right" indent="1"/>
    </xf>
    <xf numFmtId="0" fontId="7" fillId="0" borderId="0" xfId="423" applyFont="1" applyBorder="1" applyAlignment="1" applyProtection="1"/>
    <xf numFmtId="178" fontId="13" fillId="23" borderId="62" xfId="267" applyNumberFormat="1" applyFont="1" applyFill="1" applyBorder="1" applyAlignment="1" applyProtection="1">
      <alignment horizontal="right" indent="1"/>
    </xf>
    <xf numFmtId="167" fontId="13" fillId="0" borderId="3" xfId="450" applyNumberFormat="1" applyFont="1" applyBorder="1" applyProtection="1"/>
    <xf numFmtId="1" fontId="7" fillId="0" borderId="0" xfId="423" applyNumberFormat="1" applyFont="1" applyBorder="1" applyAlignment="1" applyProtection="1">
      <alignment horizontal="center"/>
    </xf>
    <xf numFmtId="0" fontId="13" fillId="0" borderId="0" xfId="423" applyBorder="1" applyAlignment="1" applyProtection="1">
      <alignment horizontal="left"/>
    </xf>
    <xf numFmtId="168" fontId="13" fillId="32" borderId="61" xfId="267" applyNumberFormat="1" applyFont="1" applyFill="1" applyBorder="1" applyAlignment="1" applyProtection="1">
      <alignment horizontal="right" indent="1"/>
    </xf>
    <xf numFmtId="168" fontId="13" fillId="0" borderId="0" xfId="267" applyNumberFormat="1" applyFont="1" applyBorder="1" applyAlignment="1" applyProtection="1">
      <alignment horizontal="right" indent="1"/>
    </xf>
    <xf numFmtId="0" fontId="7" fillId="0" borderId="0" xfId="423" applyFont="1" applyBorder="1" applyAlignment="1" applyProtection="1">
      <alignment horizontal="left"/>
    </xf>
    <xf numFmtId="1" fontId="7" fillId="0" borderId="0" xfId="423" applyNumberFormat="1" applyFont="1" applyBorder="1" applyAlignment="1" applyProtection="1">
      <alignment horizontal="left"/>
    </xf>
    <xf numFmtId="0" fontId="13" fillId="0" borderId="3" xfId="423" applyFill="1" applyBorder="1" applyProtection="1"/>
    <xf numFmtId="0" fontId="13" fillId="0" borderId="0" xfId="423" applyFill="1" applyBorder="1" applyProtection="1"/>
    <xf numFmtId="0" fontId="13" fillId="0" borderId="18" xfId="423" applyFill="1" applyBorder="1" applyProtection="1"/>
    <xf numFmtId="166" fontId="13" fillId="0" borderId="3" xfId="423" applyNumberFormat="1" applyFill="1" applyBorder="1" applyAlignment="1" applyProtection="1"/>
    <xf numFmtId="166" fontId="13" fillId="0" borderId="0" xfId="423" applyNumberFormat="1" applyFill="1" applyBorder="1" applyAlignment="1" applyProtection="1"/>
    <xf numFmtId="0" fontId="13" fillId="0" borderId="0" xfId="423" applyFill="1" applyBorder="1" applyAlignment="1" applyProtection="1">
      <alignment horizontal="left"/>
    </xf>
    <xf numFmtId="0" fontId="13" fillId="0" borderId="0" xfId="423" applyFont="1" applyFill="1" applyBorder="1" applyAlignment="1" applyProtection="1"/>
    <xf numFmtId="0" fontId="13" fillId="0" borderId="0" xfId="423" applyBorder="1" applyAlignment="1" applyProtection="1">
      <alignment vertical="top" wrapText="1"/>
    </xf>
    <xf numFmtId="0" fontId="13" fillId="0" borderId="0" xfId="423" applyFont="1" applyBorder="1" applyProtection="1"/>
    <xf numFmtId="0" fontId="13" fillId="0" borderId="0" xfId="423" quotePrefix="1" applyBorder="1" applyAlignment="1" applyProtection="1"/>
    <xf numFmtId="0" fontId="13" fillId="0" borderId="0" xfId="423" applyFill="1" applyBorder="1" applyAlignment="1" applyProtection="1">
      <alignment vertical="top" wrapText="1"/>
    </xf>
    <xf numFmtId="166" fontId="13" fillId="0" borderId="3" xfId="423" applyNumberFormat="1" applyFill="1" applyBorder="1" applyAlignment="1" applyProtection="1">
      <alignment horizontal="center"/>
    </xf>
    <xf numFmtId="166" fontId="13" fillId="0" borderId="0" xfId="423" applyNumberFormat="1" applyFill="1" applyBorder="1" applyAlignment="1" applyProtection="1">
      <alignment horizontal="right" indent="1"/>
    </xf>
    <xf numFmtId="0" fontId="13" fillId="0" borderId="0" xfId="423" applyFill="1" applyBorder="1" applyAlignment="1" applyProtection="1"/>
    <xf numFmtId="1" fontId="7" fillId="0" borderId="0" xfId="423" applyNumberFormat="1" applyFont="1" applyFill="1" applyBorder="1" applyAlignment="1" applyProtection="1"/>
    <xf numFmtId="1" fontId="7" fillId="0" borderId="0" xfId="423" applyNumberFormat="1" applyFont="1" applyBorder="1" applyAlignment="1" applyProtection="1"/>
    <xf numFmtId="181" fontId="15" fillId="0" borderId="3" xfId="423" applyNumberFormat="1" applyFont="1" applyBorder="1" applyAlignment="1" applyProtection="1"/>
    <xf numFmtId="166" fontId="15" fillId="0" borderId="0" xfId="423" applyNumberFormat="1" applyFont="1" applyBorder="1" applyAlignment="1" applyProtection="1"/>
    <xf numFmtId="182" fontId="15" fillId="0" borderId="63" xfId="423" applyNumberFormat="1" applyFont="1" applyBorder="1" applyAlignment="1" applyProtection="1"/>
    <xf numFmtId="0" fontId="13" fillId="0" borderId="3" xfId="423" applyBorder="1" applyAlignment="1" applyProtection="1"/>
    <xf numFmtId="166" fontId="7" fillId="0" borderId="63" xfId="423" applyNumberFormat="1" applyFont="1" applyBorder="1" applyProtection="1"/>
    <xf numFmtId="0" fontId="13" fillId="0" borderId="0" xfId="423" applyBorder="1" applyAlignment="1" applyProtection="1">
      <alignment vertical="top"/>
    </xf>
    <xf numFmtId="4" fontId="7" fillId="0" borderId="3" xfId="423" applyNumberFormat="1" applyFont="1" applyFill="1" applyBorder="1" applyProtection="1"/>
    <xf numFmtId="4" fontId="7" fillId="0" borderId="18" xfId="423" applyNumberFormat="1" applyFont="1" applyFill="1" applyBorder="1" applyProtection="1"/>
    <xf numFmtId="0" fontId="7" fillId="0" borderId="0" xfId="423" applyFont="1" applyFill="1" applyBorder="1" applyAlignment="1" applyProtection="1"/>
    <xf numFmtId="168" fontId="13" fillId="32" borderId="64" xfId="267" applyNumberFormat="1" applyFont="1" applyFill="1" applyBorder="1" applyAlignment="1" applyProtection="1">
      <alignment horizontal="right" indent="1"/>
    </xf>
    <xf numFmtId="168" fontId="13" fillId="0" borderId="4" xfId="267" applyNumberFormat="1" applyFont="1" applyBorder="1" applyAlignment="1" applyProtection="1">
      <alignment horizontal="right" indent="1"/>
    </xf>
    <xf numFmtId="168" fontId="13" fillId="32" borderId="65" xfId="267" applyNumberFormat="1" applyFont="1" applyFill="1" applyBorder="1" applyAlignment="1" applyProtection="1">
      <alignment horizontal="right" indent="1"/>
    </xf>
    <xf numFmtId="1" fontId="7" fillId="0" borderId="4" xfId="423" applyNumberFormat="1" applyFont="1" applyBorder="1" applyAlignment="1" applyProtection="1">
      <alignment horizontal="center"/>
    </xf>
    <xf numFmtId="1" fontId="7" fillId="0" borderId="4" xfId="423" applyNumberFormat="1" applyFont="1" applyFill="1" applyBorder="1" applyAlignment="1" applyProtection="1">
      <alignment horizontal="left"/>
    </xf>
    <xf numFmtId="168" fontId="13" fillId="32" borderId="57" xfId="267" applyNumberFormat="1" applyFont="1" applyFill="1" applyBorder="1" applyAlignment="1" applyProtection="1">
      <alignment horizontal="right" indent="1"/>
    </xf>
    <xf numFmtId="0" fontId="65" fillId="30" borderId="0" xfId="425" applyFont="1" applyFill="1" applyAlignment="1" applyProtection="1">
      <alignment horizontal="center" wrapText="1"/>
    </xf>
    <xf numFmtId="0" fontId="65" fillId="30" borderId="0" xfId="425" applyFont="1" applyFill="1" applyProtection="1"/>
    <xf numFmtId="0" fontId="13" fillId="30" borderId="0" xfId="423" applyFill="1" applyProtection="1"/>
    <xf numFmtId="0" fontId="0" fillId="33" borderId="0" xfId="0" applyFill="1" applyAlignment="1"/>
    <xf numFmtId="168" fontId="13" fillId="0" borderId="0" xfId="423" applyNumberFormat="1" applyFont="1" applyAlignment="1" applyProtection="1">
      <alignment horizontal="right" indent="1"/>
    </xf>
    <xf numFmtId="1" fontId="23" fillId="0" borderId="0" xfId="0" applyNumberFormat="1" applyFont="1" applyBorder="1" applyAlignment="1">
      <alignment horizontal="center"/>
    </xf>
    <xf numFmtId="1" fontId="23" fillId="0" borderId="0" xfId="0" applyNumberFormat="1" applyFont="1" applyFill="1" applyBorder="1" applyAlignment="1">
      <alignment horizontal="center"/>
    </xf>
    <xf numFmtId="0" fontId="13" fillId="34" borderId="0" xfId="423" applyFill="1" applyProtection="1"/>
    <xf numFmtId="2" fontId="67" fillId="34" borderId="0" xfId="423" applyNumberFormat="1" applyFont="1" applyFill="1" applyProtection="1"/>
    <xf numFmtId="167" fontId="37" fillId="34" borderId="0" xfId="450" quotePrefix="1" applyNumberFormat="1" applyFont="1" applyFill="1" applyBorder="1" applyAlignment="1" applyProtection="1">
      <alignment horizontal="center" wrapText="1"/>
    </xf>
    <xf numFmtId="0" fontId="7" fillId="34" borderId="0" xfId="423" applyFont="1" applyFill="1" applyProtection="1"/>
    <xf numFmtId="1" fontId="7" fillId="34" borderId="0" xfId="423" applyNumberFormat="1" applyFont="1" applyFill="1" applyAlignment="1" applyProtection="1">
      <alignment horizontal="center"/>
    </xf>
    <xf numFmtId="0" fontId="13" fillId="34" borderId="0" xfId="423" applyFill="1" applyAlignment="1" applyProtection="1">
      <alignment vertical="top" wrapText="1"/>
    </xf>
    <xf numFmtId="0" fontId="7" fillId="30" borderId="0" xfId="0" applyFont="1" applyFill="1" applyAlignment="1"/>
    <xf numFmtId="17" fontId="7" fillId="30" borderId="0" xfId="0" applyNumberFormat="1" applyFont="1" applyFill="1" applyAlignment="1"/>
    <xf numFmtId="172" fontId="7" fillId="30" borderId="0" xfId="0" applyNumberFormat="1" applyFont="1" applyFill="1" applyAlignment="1"/>
    <xf numFmtId="37" fontId="39" fillId="0" borderId="0" xfId="0" applyNumberFormat="1" applyFont="1" applyAlignment="1"/>
    <xf numFmtId="38" fontId="64" fillId="0" borderId="0" xfId="0" applyNumberFormat="1" applyFont="1" applyAlignment="1"/>
    <xf numFmtId="38" fontId="39" fillId="0" borderId="0" xfId="0" applyNumberFormat="1" applyFont="1" applyAlignment="1"/>
    <xf numFmtId="38" fontId="39" fillId="0" borderId="0" xfId="0" applyNumberFormat="1" applyFont="1" applyFill="1" applyAlignment="1"/>
    <xf numFmtId="0" fontId="25" fillId="0" borderId="0" xfId="0" applyFont="1" applyBorder="1" applyAlignment="1">
      <alignment horizontal="right"/>
    </xf>
    <xf numFmtId="176" fontId="48" fillId="25" borderId="35" xfId="0" applyNumberFormat="1" applyFont="1" applyFill="1" applyBorder="1" applyAlignment="1">
      <alignment horizontal="center"/>
    </xf>
    <xf numFmtId="176" fontId="48" fillId="25" borderId="0" xfId="0" applyNumberFormat="1" applyFont="1" applyFill="1" applyAlignment="1">
      <alignment horizontal="center"/>
    </xf>
    <xf numFmtId="176" fontId="48" fillId="25" borderId="35" xfId="0" quotePrefix="1" applyNumberFormat="1" applyFont="1" applyFill="1" applyBorder="1" applyAlignment="1">
      <alignment horizontal="center"/>
    </xf>
    <xf numFmtId="176" fontId="45" fillId="25" borderId="48" xfId="0" quotePrefix="1" applyNumberFormat="1" applyFont="1" applyFill="1" applyBorder="1" applyAlignment="1">
      <alignment horizontal="center"/>
    </xf>
    <xf numFmtId="176" fontId="45" fillId="25" borderId="0" xfId="0" applyNumberFormat="1" applyFont="1" applyFill="1" applyAlignment="1">
      <alignment horizontal="center"/>
    </xf>
    <xf numFmtId="176" fontId="45" fillId="25" borderId="45" xfId="0" quotePrefix="1" applyNumberFormat="1" applyFont="1" applyFill="1" applyBorder="1" applyAlignment="1">
      <alignment horizontal="center"/>
    </xf>
    <xf numFmtId="176" fontId="45" fillId="25" borderId="66" xfId="0" quotePrefix="1" applyNumberFormat="1" applyFont="1" applyFill="1" applyBorder="1" applyAlignment="1">
      <alignment horizontal="center"/>
    </xf>
    <xf numFmtId="176" fontId="45" fillId="25" borderId="48" xfId="0" applyNumberFormat="1" applyFont="1" applyFill="1" applyBorder="1" applyAlignment="1">
      <alignment horizontal="center"/>
    </xf>
    <xf numFmtId="176" fontId="57" fillId="25" borderId="28" xfId="0" quotePrefix="1" applyNumberFormat="1" applyFont="1" applyFill="1" applyBorder="1" applyAlignment="1">
      <alignment horizontal="center"/>
    </xf>
    <xf numFmtId="176" fontId="57" fillId="25" borderId="0" xfId="0" applyNumberFormat="1" applyFont="1" applyFill="1" applyAlignment="1">
      <alignment horizontal="center"/>
    </xf>
    <xf numFmtId="176" fontId="57" fillId="25" borderId="67" xfId="0" quotePrefix="1" applyNumberFormat="1" applyFont="1" applyFill="1" applyBorder="1" applyAlignment="1">
      <alignment horizontal="center"/>
    </xf>
    <xf numFmtId="176" fontId="57" fillId="25" borderId="66" xfId="0" quotePrefix="1" applyNumberFormat="1" applyFont="1" applyFill="1" applyBorder="1" applyAlignment="1">
      <alignment horizontal="center"/>
    </xf>
    <xf numFmtId="176" fontId="57" fillId="25" borderId="28" xfId="0" applyNumberFormat="1" applyFont="1" applyFill="1" applyBorder="1" applyAlignment="1">
      <alignment horizontal="center"/>
    </xf>
    <xf numFmtId="176" fontId="45" fillId="25" borderId="68" xfId="0" quotePrefix="1" applyNumberFormat="1" applyFont="1" applyFill="1" applyBorder="1" applyAlignment="1">
      <alignment horizontal="center"/>
    </xf>
    <xf numFmtId="176" fontId="45" fillId="25" borderId="46" xfId="0" quotePrefix="1" applyNumberFormat="1" applyFont="1" applyFill="1" applyBorder="1" applyAlignment="1">
      <alignment horizontal="center"/>
    </xf>
    <xf numFmtId="176" fontId="45" fillId="25" borderId="69" xfId="0" quotePrefix="1" applyNumberFormat="1" applyFont="1" applyFill="1" applyBorder="1" applyAlignment="1">
      <alignment horizontal="center"/>
    </xf>
    <xf numFmtId="176" fontId="45" fillId="25" borderId="69" xfId="0" applyNumberFormat="1" applyFont="1" applyFill="1" applyBorder="1" applyAlignment="1">
      <alignment horizontal="center"/>
    </xf>
    <xf numFmtId="176" fontId="45" fillId="25" borderId="68" xfId="0" applyNumberFormat="1" applyFont="1" applyFill="1" applyBorder="1" applyAlignment="1">
      <alignment horizontal="center"/>
    </xf>
    <xf numFmtId="176" fontId="49" fillId="25" borderId="0" xfId="0" applyNumberFormat="1" applyFont="1" applyFill="1" applyAlignment="1">
      <alignment horizontal="right" vertical="center"/>
    </xf>
    <xf numFmtId="176" fontId="50" fillId="25" borderId="43" xfId="0" applyNumberFormat="1" applyFont="1" applyFill="1" applyBorder="1" applyAlignment="1">
      <alignment horizontal="right" vertical="center"/>
    </xf>
    <xf numFmtId="176" fontId="50" fillId="25" borderId="0" xfId="0" applyNumberFormat="1" applyFont="1" applyFill="1" applyAlignment="1">
      <alignment horizontal="right" vertical="center"/>
    </xf>
    <xf numFmtId="176" fontId="40" fillId="32" borderId="0" xfId="0" applyNumberFormat="1" applyFont="1" applyFill="1" applyAlignment="1">
      <alignment horizontal="right" vertical="center" wrapText="1"/>
    </xf>
    <xf numFmtId="176" fontId="45" fillId="0" borderId="43" xfId="0" applyNumberFormat="1" applyFont="1" applyFill="1" applyBorder="1" applyAlignment="1">
      <alignment horizontal="right" vertical="center" wrapText="1"/>
    </xf>
    <xf numFmtId="0" fontId="13" fillId="0" borderId="70" xfId="423" applyFont="1" applyFill="1" applyBorder="1" applyAlignment="1" applyProtection="1">
      <alignment horizontal="centerContinuous"/>
    </xf>
    <xf numFmtId="0" fontId="13" fillId="0" borderId="71" xfId="423" applyFont="1" applyFill="1" applyBorder="1" applyAlignment="1" applyProtection="1">
      <alignment horizontal="centerContinuous"/>
    </xf>
    <xf numFmtId="194" fontId="13" fillId="25" borderId="72" xfId="423" applyNumberFormat="1" applyFont="1" applyFill="1" applyBorder="1" applyAlignment="1" applyProtection="1">
      <alignment horizontal="centerContinuous"/>
    </xf>
    <xf numFmtId="0" fontId="13" fillId="0" borderId="72" xfId="423" applyFont="1" applyFill="1" applyBorder="1" applyAlignment="1" applyProtection="1">
      <alignment horizontal="centerContinuous"/>
    </xf>
    <xf numFmtId="0" fontId="13" fillId="0" borderId="53" xfId="423" applyFont="1" applyFill="1" applyBorder="1" applyProtection="1"/>
    <xf numFmtId="169" fontId="13" fillId="23" borderId="8" xfId="425" applyNumberFormat="1" applyFont="1" applyFill="1" applyBorder="1" applyAlignment="1" applyProtection="1">
      <alignment horizontal="right" indent="1"/>
    </xf>
    <xf numFmtId="183" fontId="13" fillId="0" borderId="73" xfId="267" applyNumberFormat="1" applyFont="1" applyFill="1" applyBorder="1" applyProtection="1"/>
    <xf numFmtId="183" fontId="13" fillId="0" borderId="74" xfId="267" applyNumberFormat="1" applyFont="1" applyFill="1" applyBorder="1" applyProtection="1"/>
    <xf numFmtId="183" fontId="13" fillId="0" borderId="75" xfId="267" applyNumberFormat="1" applyFont="1" applyFill="1" applyBorder="1" applyProtection="1"/>
    <xf numFmtId="183" fontId="13" fillId="0" borderId="76" xfId="267" applyNumberFormat="1" applyFont="1" applyFill="1" applyBorder="1" applyProtection="1"/>
    <xf numFmtId="183" fontId="13" fillId="0" borderId="77" xfId="267" applyNumberFormat="1" applyFont="1" applyFill="1" applyBorder="1" applyProtection="1"/>
    <xf numFmtId="0" fontId="13" fillId="0" borderId="18" xfId="423" applyFont="1" applyFill="1" applyBorder="1" applyProtection="1"/>
    <xf numFmtId="183" fontId="13" fillId="25" borderId="76" xfId="267" applyNumberFormat="1" applyFont="1" applyFill="1" applyBorder="1" applyProtection="1"/>
    <xf numFmtId="183" fontId="13" fillId="25" borderId="77" xfId="267" applyNumberFormat="1" applyFont="1" applyFill="1" applyBorder="1" applyProtection="1"/>
    <xf numFmtId="183" fontId="13" fillId="25" borderId="78" xfId="267" applyNumberFormat="1" applyFont="1" applyFill="1" applyBorder="1" applyProtection="1"/>
    <xf numFmtId="0" fontId="69" fillId="0" borderId="18" xfId="425" applyFont="1" applyFill="1" applyBorder="1" applyProtection="1"/>
    <xf numFmtId="183" fontId="13" fillId="0" borderId="79" xfId="267" applyNumberFormat="1" applyFont="1" applyFill="1" applyBorder="1" applyProtection="1"/>
    <xf numFmtId="183" fontId="13" fillId="0" borderId="80" xfId="267" applyNumberFormat="1" applyFont="1" applyFill="1" applyBorder="1" applyProtection="1"/>
    <xf numFmtId="183" fontId="13" fillId="0" borderId="81" xfId="267" applyNumberFormat="1" applyFont="1" applyFill="1" applyBorder="1" applyProtection="1"/>
    <xf numFmtId="0" fontId="13" fillId="0" borderId="0" xfId="423" quotePrefix="1" applyFont="1" applyBorder="1" applyProtection="1"/>
    <xf numFmtId="169" fontId="13" fillId="23" borderId="9" xfId="425" applyNumberFormat="1" applyFont="1" applyFill="1" applyBorder="1" applyAlignment="1" applyProtection="1">
      <alignment horizontal="right" indent="1"/>
    </xf>
    <xf numFmtId="0" fontId="13" fillId="0" borderId="18" xfId="423" quotePrefix="1" applyFont="1" applyFill="1" applyBorder="1" applyProtection="1"/>
    <xf numFmtId="0" fontId="13" fillId="23" borderId="76" xfId="423" applyFont="1" applyFill="1" applyBorder="1" applyProtection="1"/>
    <xf numFmtId="0" fontId="13" fillId="25" borderId="18" xfId="423" applyFont="1" applyFill="1" applyBorder="1" applyProtection="1"/>
    <xf numFmtId="183" fontId="13" fillId="25" borderId="79" xfId="267" applyNumberFormat="1" applyFont="1" applyFill="1" applyBorder="1" applyProtection="1"/>
    <xf numFmtId="183" fontId="13" fillId="25" borderId="80" xfId="267" applyNumberFormat="1" applyFont="1" applyFill="1" applyBorder="1" applyProtection="1"/>
    <xf numFmtId="183" fontId="13" fillId="33" borderId="74" xfId="267" applyNumberFormat="1" applyFont="1" applyFill="1" applyBorder="1" applyAlignment="1" applyProtection="1">
      <alignment horizontal="center"/>
    </xf>
    <xf numFmtId="183" fontId="13" fillId="33" borderId="75" xfId="267" applyNumberFormat="1" applyFont="1" applyFill="1" applyBorder="1" applyAlignment="1" applyProtection="1">
      <alignment horizontal="center"/>
    </xf>
    <xf numFmtId="183" fontId="13" fillId="33" borderId="76" xfId="267" applyNumberFormat="1" applyFont="1" applyFill="1" applyBorder="1" applyAlignment="1" applyProtection="1">
      <alignment horizontal="center"/>
    </xf>
    <xf numFmtId="183" fontId="13" fillId="33" borderId="77" xfId="267" applyNumberFormat="1" applyFont="1" applyFill="1" applyBorder="1" applyAlignment="1" applyProtection="1">
      <alignment horizontal="center"/>
    </xf>
    <xf numFmtId="183" fontId="13" fillId="33" borderId="78" xfId="267" applyNumberFormat="1" applyFont="1" applyFill="1" applyBorder="1" applyAlignment="1" applyProtection="1">
      <alignment horizontal="center"/>
    </xf>
    <xf numFmtId="183" fontId="13" fillId="33" borderId="80" xfId="267" applyNumberFormat="1" applyFont="1" applyFill="1" applyBorder="1" applyAlignment="1" applyProtection="1">
      <alignment horizontal="center"/>
    </xf>
    <xf numFmtId="183" fontId="13" fillId="33" borderId="81" xfId="267" applyNumberFormat="1" applyFont="1" applyFill="1" applyBorder="1" applyAlignment="1" applyProtection="1">
      <alignment horizontal="center"/>
    </xf>
    <xf numFmtId="0" fontId="65" fillId="35" borderId="0" xfId="425" applyFont="1" applyFill="1" applyAlignment="1" applyProtection="1">
      <alignment horizontal="center" wrapText="1"/>
    </xf>
    <xf numFmtId="0" fontId="7" fillId="31" borderId="3" xfId="423" applyFont="1" applyFill="1" applyBorder="1" applyAlignment="1" applyProtection="1">
      <alignment horizontal="center"/>
    </xf>
    <xf numFmtId="166" fontId="13" fillId="31" borderId="3" xfId="423" applyNumberFormat="1" applyFill="1" applyBorder="1" applyAlignment="1" applyProtection="1">
      <alignment horizontal="right" indent="1"/>
    </xf>
    <xf numFmtId="166" fontId="13" fillId="31" borderId="0" xfId="423" applyNumberFormat="1" applyFill="1" applyBorder="1" applyAlignment="1" applyProtection="1">
      <alignment horizontal="right" indent="1"/>
    </xf>
    <xf numFmtId="166" fontId="13" fillId="31" borderId="0" xfId="423" applyNumberFormat="1" applyFill="1" applyBorder="1" applyAlignment="1" applyProtection="1"/>
    <xf numFmtId="166" fontId="13" fillId="31" borderId="0" xfId="423" applyNumberFormat="1" applyFill="1" applyAlignment="1" applyProtection="1">
      <alignment horizontal="right" indent="1"/>
    </xf>
    <xf numFmtId="166" fontId="13" fillId="0" borderId="0" xfId="423" applyNumberFormat="1" applyFill="1" applyAlignment="1" applyProtection="1">
      <alignment horizontal="right" indent="1"/>
    </xf>
    <xf numFmtId="166" fontId="13" fillId="31" borderId="3" xfId="423" applyNumberFormat="1" applyFill="1" applyBorder="1" applyAlignment="1" applyProtection="1"/>
    <xf numFmtId="0" fontId="7" fillId="0" borderId="4" xfId="421" applyFont="1" applyBorder="1" applyAlignment="1">
      <alignment horizontal="center"/>
    </xf>
    <xf numFmtId="0" fontId="0" fillId="0" borderId="0" xfId="0" applyFill="1" applyAlignment="1">
      <alignment horizontal="right"/>
    </xf>
    <xf numFmtId="0" fontId="21" fillId="0" borderId="59" xfId="0" applyFont="1" applyBorder="1"/>
    <xf numFmtId="0" fontId="0" fillId="0" borderId="26" xfId="0" applyFill="1" applyBorder="1"/>
    <xf numFmtId="176" fontId="40" fillId="0" borderId="0" xfId="0" quotePrefix="1" applyNumberFormat="1" applyFont="1" applyFill="1" applyBorder="1" applyAlignment="1">
      <alignment horizontal="left" vertical="center"/>
    </xf>
    <xf numFmtId="0" fontId="64" fillId="0" borderId="0" xfId="0" applyFont="1" applyFill="1" applyBorder="1" applyAlignment="1"/>
    <xf numFmtId="0" fontId="21" fillId="0" borderId="41" xfId="0" applyFont="1" applyBorder="1"/>
    <xf numFmtId="0" fontId="0" fillId="0" borderId="42" xfId="0" applyBorder="1"/>
    <xf numFmtId="0" fontId="21" fillId="0" borderId="42" xfId="0" applyFont="1" applyBorder="1" applyAlignment="1">
      <alignment horizontal="center"/>
    </xf>
    <xf numFmtId="0" fontId="115" fillId="0" borderId="25" xfId="0" applyFont="1" applyBorder="1" applyAlignment="1">
      <alignment horizontal="center"/>
    </xf>
    <xf numFmtId="0" fontId="21" fillId="0" borderId="86" xfId="0" applyFont="1" applyBorder="1"/>
    <xf numFmtId="0" fontId="21" fillId="0" borderId="87" xfId="0" applyFont="1" applyBorder="1"/>
    <xf numFmtId="0" fontId="42" fillId="0" borderId="59" xfId="0" applyFont="1" applyBorder="1" applyAlignment="1">
      <alignment horizontal="center"/>
    </xf>
    <xf numFmtId="0" fontId="116" fillId="0" borderId="85" xfId="0" applyFont="1" applyFill="1" applyBorder="1" applyAlignment="1">
      <alignment horizontal="center"/>
    </xf>
    <xf numFmtId="174" fontId="6" fillId="0" borderId="0" xfId="0" applyNumberFormat="1" applyFont="1" applyBorder="1"/>
    <xf numFmtId="0" fontId="6" fillId="33" borderId="0" xfId="0" applyFont="1" applyFill="1" applyAlignment="1">
      <alignment horizontal="right"/>
    </xf>
    <xf numFmtId="0" fontId="0" fillId="0" borderId="19" xfId="0" applyBorder="1" applyAlignment="1"/>
    <xf numFmtId="0" fontId="0" fillId="0" borderId="4" xfId="0" applyBorder="1" applyAlignment="1"/>
    <xf numFmtId="0" fontId="21" fillId="0" borderId="0" xfId="0" applyFont="1" applyBorder="1" applyAlignment="1">
      <alignment horizontal="right"/>
    </xf>
    <xf numFmtId="174" fontId="8" fillId="0" borderId="8" xfId="0" applyNumberFormat="1" applyFont="1" applyBorder="1"/>
    <xf numFmtId="174" fontId="25" fillId="0" borderId="8" xfId="0" applyNumberFormat="1" applyFont="1" applyBorder="1"/>
    <xf numFmtId="174" fontId="8" fillId="0" borderId="55" xfId="0" applyNumberFormat="1" applyFont="1" applyBorder="1"/>
    <xf numFmtId="3" fontId="7" fillId="0" borderId="27" xfId="0" applyNumberFormat="1" applyFont="1" applyFill="1" applyBorder="1"/>
    <xf numFmtId="3" fontId="0" fillId="0" borderId="27" xfId="0" applyNumberFormat="1" applyFill="1" applyBorder="1"/>
    <xf numFmtId="0" fontId="6" fillId="0" borderId="32"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9" xfId="0" applyFont="1" applyFill="1" applyBorder="1" applyAlignment="1">
      <alignment horizontal="left" vertical="top" wrapText="1"/>
    </xf>
    <xf numFmtId="183" fontId="6" fillId="0" borderId="73" xfId="267" applyNumberFormat="1" applyFont="1" applyFill="1" applyBorder="1" applyProtection="1"/>
    <xf numFmtId="183" fontId="6" fillId="0" borderId="74" xfId="267" applyNumberFormat="1" applyFont="1" applyFill="1" applyBorder="1" applyProtection="1"/>
    <xf numFmtId="183" fontId="6" fillId="0" borderId="76" xfId="267" applyNumberFormat="1" applyFont="1" applyFill="1" applyBorder="1" applyProtection="1"/>
    <xf numFmtId="183" fontId="6" fillId="0" borderId="77" xfId="267" applyNumberFormat="1" applyFont="1" applyFill="1" applyBorder="1" applyProtection="1"/>
    <xf numFmtId="183" fontId="6" fillId="25" borderId="75" xfId="267" applyNumberFormat="1" applyFont="1" applyFill="1" applyBorder="1" applyProtection="1"/>
    <xf numFmtId="183" fontId="6" fillId="25" borderId="78" xfId="267" applyNumberFormat="1" applyFont="1" applyFill="1" applyBorder="1" applyProtection="1"/>
    <xf numFmtId="183" fontId="6" fillId="25" borderId="74" xfId="267" applyNumberFormat="1" applyFont="1" applyFill="1" applyBorder="1" applyProtection="1"/>
    <xf numFmtId="183" fontId="6" fillId="25" borderId="77" xfId="267" applyNumberFormat="1" applyFont="1" applyFill="1" applyBorder="1" applyProtection="1"/>
    <xf numFmtId="0" fontId="112" fillId="25" borderId="0" xfId="423" applyFont="1" applyFill="1" applyProtection="1"/>
    <xf numFmtId="174" fontId="27" fillId="0" borderId="0" xfId="0" applyNumberFormat="1" applyFont="1" applyFill="1" applyBorder="1"/>
    <xf numFmtId="2" fontId="13" fillId="23" borderId="9" xfId="425" applyNumberFormat="1" applyFont="1" applyFill="1" applyBorder="1" applyAlignment="1" applyProtection="1">
      <alignment horizontal="right" indent="1"/>
    </xf>
    <xf numFmtId="9" fontId="23" fillId="0" borderId="0" xfId="450" applyFont="1" applyFill="1" applyBorder="1" applyAlignment="1">
      <alignment horizontal="center"/>
    </xf>
    <xf numFmtId="167" fontId="23" fillId="0" borderId="0" xfId="450" applyNumberFormat="1" applyFont="1" applyFill="1" applyBorder="1" applyAlignment="1">
      <alignment horizontal="center"/>
    </xf>
    <xf numFmtId="1" fontId="23" fillId="0" borderId="18" xfId="0" applyNumberFormat="1" applyFont="1" applyFill="1" applyBorder="1" applyAlignment="1">
      <alignment horizontal="center"/>
    </xf>
    <xf numFmtId="169" fontId="23" fillId="0" borderId="18" xfId="0" applyNumberFormat="1" applyFont="1" applyFill="1" applyBorder="1" applyAlignment="1">
      <alignment horizontal="center"/>
    </xf>
    <xf numFmtId="0" fontId="21" fillId="0" borderId="33" xfId="0" applyFont="1" applyBorder="1"/>
    <xf numFmtId="0" fontId="33" fillId="0" borderId="33" xfId="0" applyFont="1" applyBorder="1"/>
    <xf numFmtId="3" fontId="6" fillId="0" borderId="0" xfId="421" applyNumberFormat="1" applyFill="1"/>
    <xf numFmtId="168" fontId="6" fillId="0" borderId="0" xfId="267" applyNumberFormat="1" applyFont="1" applyFill="1" applyBorder="1" applyAlignment="1">
      <alignment vertical="top" wrapText="1"/>
    </xf>
    <xf numFmtId="168" fontId="6" fillId="0" borderId="0" xfId="267" applyNumberFormat="1" applyFont="1" applyFill="1" applyBorder="1"/>
    <xf numFmtId="37" fontId="8" fillId="0" borderId="3" xfId="0" quotePrefix="1" applyNumberFormat="1" applyFont="1" applyFill="1" applyBorder="1" applyAlignment="1">
      <alignment horizontal="left" wrapText="1"/>
    </xf>
    <xf numFmtId="0" fontId="8" fillId="0" borderId="53" xfId="0" applyFont="1" applyBorder="1" applyAlignment="1">
      <alignment horizontal="left" vertical="center"/>
    </xf>
    <xf numFmtId="174" fontId="8" fillId="0" borderId="53" xfId="0" applyNumberFormat="1" applyFont="1" applyBorder="1"/>
    <xf numFmtId="174" fontId="8" fillId="0" borderId="24" xfId="0" applyNumberFormat="1" applyFont="1" applyBorder="1"/>
    <xf numFmtId="0" fontId="8" fillId="0" borderId="8" xfId="0" applyFont="1" applyBorder="1" applyAlignment="1">
      <alignment horizontal="left" vertical="center"/>
    </xf>
    <xf numFmtId="0" fontId="8" fillId="0" borderId="55" xfId="0" applyFont="1" applyBorder="1" applyAlignment="1">
      <alignment horizontal="left" vertical="center"/>
    </xf>
    <xf numFmtId="0" fontId="16" fillId="0" borderId="0" xfId="0" applyFont="1" applyBorder="1"/>
    <xf numFmtId="0" fontId="17" fillId="0" borderId="0" xfId="0" applyFont="1" applyBorder="1"/>
    <xf numFmtId="0" fontId="16" fillId="0" borderId="0" xfId="0" applyFont="1" applyBorder="1" applyAlignment="1">
      <alignment horizontal="center"/>
    </xf>
    <xf numFmtId="0" fontId="16" fillId="0" borderId="0" xfId="0" applyFont="1" applyFill="1" applyBorder="1"/>
    <xf numFmtId="0" fontId="16" fillId="0" borderId="0" xfId="0" applyFont="1" applyFill="1" applyBorder="1" applyAlignment="1">
      <alignment horizontal="center"/>
    </xf>
    <xf numFmtId="0" fontId="17" fillId="0" borderId="0" xfId="0" applyFont="1" applyFill="1" applyBorder="1"/>
    <xf numFmtId="0" fontId="17" fillId="0" borderId="0" xfId="0" applyFont="1"/>
    <xf numFmtId="49" fontId="16" fillId="0" borderId="0" xfId="0" applyNumberFormat="1" applyFont="1" applyBorder="1" applyAlignment="1">
      <alignment wrapText="1"/>
    </xf>
    <xf numFmtId="0" fontId="25" fillId="0" borderId="53" xfId="0" applyFont="1" applyBorder="1" applyAlignment="1">
      <alignment horizontal="left" vertical="center"/>
    </xf>
    <xf numFmtId="174" fontId="25" fillId="0" borderId="53" xfId="0" applyNumberFormat="1" applyFont="1" applyBorder="1"/>
    <xf numFmtId="174" fontId="25" fillId="0" borderId="24" xfId="0" applyNumberFormat="1" applyFont="1" applyBorder="1"/>
    <xf numFmtId="0" fontId="25" fillId="0" borderId="8" xfId="0" applyFont="1" applyBorder="1" applyAlignment="1">
      <alignment horizontal="left" vertical="center"/>
    </xf>
    <xf numFmtId="0" fontId="25" fillId="0" borderId="55" xfId="0" applyFont="1" applyBorder="1" applyAlignment="1">
      <alignment horizontal="left" vertical="center"/>
    </xf>
    <xf numFmtId="174" fontId="25" fillId="0" borderId="55" xfId="0" applyNumberFormat="1" applyFont="1" applyBorder="1"/>
    <xf numFmtId="0" fontId="6" fillId="0" borderId="3" xfId="0" applyFont="1" applyFill="1" applyBorder="1"/>
    <xf numFmtId="173" fontId="30" fillId="0" borderId="23" xfId="0" applyNumberFormat="1" applyFont="1" applyFill="1" applyBorder="1" applyAlignment="1">
      <alignment horizontal="right" wrapText="1"/>
    </xf>
    <xf numFmtId="0" fontId="21" fillId="0" borderId="37" xfId="413" applyFont="1" applyBorder="1"/>
    <xf numFmtId="0" fontId="21" fillId="0" borderId="36" xfId="413" applyFont="1" applyBorder="1" applyAlignment="1">
      <alignment horizontal="center"/>
    </xf>
    <xf numFmtId="0" fontId="42" fillId="0" borderId="38" xfId="413" applyFont="1" applyBorder="1" applyAlignment="1">
      <alignment horizontal="center"/>
    </xf>
    <xf numFmtId="0" fontId="6" fillId="0" borderId="0" xfId="413" applyBorder="1"/>
    <xf numFmtId="0" fontId="6" fillId="0" borderId="0" xfId="413"/>
    <xf numFmtId="0" fontId="6" fillId="0" borderId="4" xfId="413" applyBorder="1"/>
    <xf numFmtId="0" fontId="6" fillId="0" borderId="20" xfId="413" applyBorder="1"/>
    <xf numFmtId="0" fontId="6" fillId="0" borderId="3" xfId="413" applyFont="1" applyBorder="1" applyAlignment="1">
      <alignment horizontal="left" vertical="top" wrapText="1"/>
    </xf>
    <xf numFmtId="3" fontId="7" fillId="0" borderId="22" xfId="413" applyNumberFormat="1" applyFont="1" applyBorder="1" applyAlignment="1">
      <alignment vertical="top" wrapText="1"/>
    </xf>
    <xf numFmtId="3" fontId="7" fillId="0" borderId="20" xfId="413" applyNumberFormat="1" applyFont="1" applyBorder="1" applyAlignment="1">
      <alignment horizontal="center" vertical="top" wrapText="1"/>
    </xf>
    <xf numFmtId="3" fontId="7" fillId="0" borderId="24" xfId="413" applyNumberFormat="1" applyFont="1" applyBorder="1" applyAlignment="1">
      <alignment horizontal="center" vertical="top" wrapText="1"/>
    </xf>
    <xf numFmtId="3" fontId="7" fillId="0" borderId="0" xfId="413" applyNumberFormat="1" applyFont="1" applyBorder="1" applyAlignment="1">
      <alignment horizontal="center" vertical="top" wrapText="1"/>
    </xf>
    <xf numFmtId="0" fontId="7" fillId="0" borderId="0" xfId="413" applyFont="1" applyFill="1" applyBorder="1" applyAlignment="1">
      <alignment horizontal="center"/>
    </xf>
    <xf numFmtId="6" fontId="17" fillId="0" borderId="0" xfId="413" applyNumberFormat="1" applyFont="1" applyBorder="1" applyAlignment="1">
      <alignment horizontal="right" vertical="center"/>
    </xf>
    <xf numFmtId="174" fontId="10" fillId="0" borderId="18" xfId="413" applyNumberFormat="1" applyFont="1" applyBorder="1" applyAlignment="1">
      <alignment horizontal="center"/>
    </xf>
    <xf numFmtId="174" fontId="34" fillId="0" borderId="18" xfId="413" applyNumberFormat="1" applyFont="1" applyBorder="1" applyAlignment="1">
      <alignment horizontal="center"/>
    </xf>
    <xf numFmtId="3" fontId="6" fillId="0" borderId="0" xfId="413" applyNumberFormat="1" applyFont="1" applyFill="1" applyBorder="1"/>
    <xf numFmtId="3" fontId="6" fillId="0" borderId="18" xfId="413" applyNumberFormat="1" applyFont="1" applyFill="1" applyBorder="1"/>
    <xf numFmtId="0" fontId="17" fillId="0" borderId="0" xfId="413" applyFont="1" applyBorder="1" applyAlignment="1">
      <alignment horizontal="right" vertical="center"/>
    </xf>
    <xf numFmtId="0" fontId="58" fillId="0" borderId="18" xfId="413" applyFont="1" applyBorder="1"/>
    <xf numFmtId="0" fontId="6" fillId="0" borderId="3" xfId="413" applyFont="1" applyBorder="1" applyAlignment="1">
      <alignment horizontal="left" indent="1"/>
    </xf>
    <xf numFmtId="174" fontId="41" fillId="0" borderId="18" xfId="413" applyNumberFormat="1" applyFont="1" applyBorder="1" applyAlignment="1">
      <alignment horizontal="center"/>
    </xf>
    <xf numFmtId="174" fontId="7" fillId="0" borderId="18" xfId="413" applyNumberFormat="1" applyFont="1" applyBorder="1" applyAlignment="1">
      <alignment horizontal="center"/>
    </xf>
    <xf numFmtId="174" fontId="10" fillId="0" borderId="24" xfId="413" applyNumberFormat="1" applyFont="1" applyBorder="1" applyAlignment="1">
      <alignment horizontal="center"/>
    </xf>
    <xf numFmtId="3" fontId="7" fillId="0" borderId="18" xfId="413" applyNumberFormat="1" applyFont="1" applyBorder="1"/>
    <xf numFmtId="0" fontId="7" fillId="0" borderId="0" xfId="413" applyFont="1" applyBorder="1" applyAlignment="1">
      <alignment horizontal="center"/>
    </xf>
    <xf numFmtId="0" fontId="6" fillId="0" borderId="3" xfId="413" applyFont="1" applyBorder="1" applyAlignment="1">
      <alignment horizontal="left" vertical="center" indent="1"/>
    </xf>
    <xf numFmtId="3" fontId="7" fillId="0" borderId="0" xfId="413" applyNumberFormat="1" applyFont="1" applyBorder="1" applyAlignment="1">
      <alignment horizontal="right" vertical="center"/>
    </xf>
    <xf numFmtId="0" fontId="6" fillId="0" borderId="0" xfId="413" applyAlignment="1">
      <alignment horizontal="right" vertical="center"/>
    </xf>
    <xf numFmtId="3" fontId="7" fillId="0" borderId="18" xfId="413" applyNumberFormat="1" applyFont="1" applyBorder="1" applyAlignment="1">
      <alignment horizontal="center" vertical="top" wrapText="1"/>
    </xf>
    <xf numFmtId="3" fontId="6" fillId="0" borderId="0" xfId="413" applyNumberFormat="1" applyAlignment="1">
      <alignment vertical="top" wrapText="1"/>
    </xf>
    <xf numFmtId="3" fontId="35" fillId="0" borderId="0" xfId="413" applyNumberFormat="1" applyFont="1" applyAlignment="1">
      <alignment horizontal="center"/>
    </xf>
    <xf numFmtId="0" fontId="7" fillId="0" borderId="3" xfId="413" applyFont="1" applyBorder="1" applyAlignment="1">
      <alignment horizontal="left" indent="1"/>
    </xf>
    <xf numFmtId="3" fontId="6" fillId="0" borderId="0" xfId="413" applyNumberFormat="1"/>
    <xf numFmtId="3" fontId="6" fillId="0" borderId="0" xfId="413" applyNumberFormat="1" applyFont="1" applyBorder="1" applyAlignment="1">
      <alignment horizontal="left" vertical="top" wrapText="1"/>
    </xf>
    <xf numFmtId="3" fontId="6" fillId="0" borderId="18" xfId="413" applyNumberFormat="1" applyFont="1" applyBorder="1" applyAlignment="1">
      <alignment horizontal="left" vertical="top" wrapText="1"/>
    </xf>
    <xf numFmtId="0" fontId="6" fillId="0" borderId="0" xfId="413" applyFill="1" applyBorder="1"/>
    <xf numFmtId="0" fontId="117" fillId="0" borderId="0" xfId="413" applyFont="1" applyFill="1" applyBorder="1"/>
    <xf numFmtId="6" fontId="6" fillId="0" borderId="0" xfId="413" applyNumberFormat="1"/>
    <xf numFmtId="3" fontId="6" fillId="0" borderId="0" xfId="413" applyNumberFormat="1" applyFont="1" applyFill="1" applyBorder="1" applyAlignment="1">
      <alignment vertical="top" wrapText="1"/>
    </xf>
    <xf numFmtId="3" fontId="6" fillId="0" borderId="0" xfId="413" applyNumberFormat="1" applyFont="1" applyFill="1" applyBorder="1" applyAlignment="1">
      <alignment horizontal="left" vertical="top" wrapText="1" indent="1"/>
    </xf>
    <xf numFmtId="0" fontId="6" fillId="0" borderId="0" xfId="413" applyFont="1" applyFill="1" applyBorder="1"/>
    <xf numFmtId="168" fontId="7" fillId="0" borderId="0" xfId="267" applyNumberFormat="1" applyFont="1" applyFill="1" applyBorder="1"/>
    <xf numFmtId="0" fontId="6" fillId="0" borderId="23" xfId="413" applyBorder="1"/>
    <xf numFmtId="0" fontId="6" fillId="0" borderId="3" xfId="413" applyFont="1" applyBorder="1"/>
    <xf numFmtId="0" fontId="6" fillId="0" borderId="19" xfId="413" applyBorder="1"/>
    <xf numFmtId="0" fontId="7" fillId="0" borderId="22" xfId="413" applyFont="1" applyFill="1" applyBorder="1"/>
    <xf numFmtId="0" fontId="6" fillId="0" borderId="20" xfId="413" applyFill="1" applyBorder="1"/>
    <xf numFmtId="0" fontId="6" fillId="0" borderId="36" xfId="413" applyFont="1" applyBorder="1"/>
    <xf numFmtId="0" fontId="6" fillId="0" borderId="0" xfId="413" applyFont="1"/>
    <xf numFmtId="0" fontId="6" fillId="0" borderId="4" xfId="413" applyFont="1" applyBorder="1"/>
    <xf numFmtId="0" fontId="6" fillId="0" borderId="22" xfId="413" applyFont="1" applyBorder="1"/>
    <xf numFmtId="0" fontId="6" fillId="0" borderId="20" xfId="413" applyFont="1" applyBorder="1"/>
    <xf numFmtId="0" fontId="6" fillId="0" borderId="24" xfId="413" applyFont="1" applyBorder="1"/>
    <xf numFmtId="0" fontId="6" fillId="0" borderId="0" xfId="413" applyFont="1" applyBorder="1"/>
    <xf numFmtId="0" fontId="6" fillId="0" borderId="18" xfId="413" applyFont="1" applyBorder="1"/>
    <xf numFmtId="0" fontId="6" fillId="0" borderId="0" xfId="413" applyFont="1" applyBorder="1" applyAlignment="1"/>
    <xf numFmtId="3" fontId="6" fillId="0" borderId="18" xfId="413" applyNumberFormat="1" applyFont="1" applyBorder="1"/>
    <xf numFmtId="3" fontId="6" fillId="0" borderId="0" xfId="413" applyNumberFormat="1" applyFont="1" applyBorder="1"/>
    <xf numFmtId="3" fontId="6" fillId="0" borderId="0" xfId="413" applyNumberFormat="1" applyFont="1" applyBorder="1" applyAlignment="1">
      <alignment horizontal="center"/>
    </xf>
    <xf numFmtId="0" fontId="6" fillId="0" borderId="18" xfId="413" applyFont="1" applyBorder="1" applyAlignment="1">
      <alignment horizontal="right" vertical="center"/>
    </xf>
    <xf numFmtId="174" fontId="6" fillId="0" borderId="0" xfId="413" applyNumberFormat="1" applyFont="1" applyBorder="1"/>
    <xf numFmtId="164" fontId="6" fillId="0" borderId="0" xfId="267" applyNumberFormat="1" applyFont="1" applyBorder="1"/>
    <xf numFmtId="164" fontId="6" fillId="0" borderId="0" xfId="267" applyNumberFormat="1" applyFont="1" applyBorder="1" applyAlignment="1">
      <alignment horizontal="right" vertical="center"/>
    </xf>
    <xf numFmtId="0" fontId="6" fillId="0" borderId="0" xfId="413" applyFont="1" applyBorder="1" applyAlignment="1">
      <alignment horizontal="right" vertical="center"/>
    </xf>
    <xf numFmtId="0" fontId="21" fillId="0" borderId="15" xfId="413" applyFont="1" applyBorder="1"/>
    <xf numFmtId="0" fontId="6" fillId="0" borderId="5" xfId="413" applyBorder="1"/>
    <xf numFmtId="0" fontId="21" fillId="0" borderId="30" xfId="413" applyFont="1" applyBorder="1" applyAlignment="1">
      <alignment horizontal="right"/>
    </xf>
    <xf numFmtId="0" fontId="21" fillId="0" borderId="0" xfId="413" applyFont="1"/>
    <xf numFmtId="0" fontId="21" fillId="0" borderId="0" xfId="413" applyFont="1" applyAlignment="1">
      <alignment horizontal="right"/>
    </xf>
    <xf numFmtId="0" fontId="7" fillId="0" borderId="22" xfId="413" applyFont="1" applyBorder="1"/>
    <xf numFmtId="0" fontId="7" fillId="0" borderId="20" xfId="413" applyFont="1" applyBorder="1" applyAlignment="1">
      <alignment horizontal="center"/>
    </xf>
    <xf numFmtId="0" fontId="7" fillId="0" borderId="20" xfId="413" applyFont="1" applyFill="1" applyBorder="1" applyAlignment="1">
      <alignment horizontal="center"/>
    </xf>
    <xf numFmtId="0" fontId="6" fillId="0" borderId="24" xfId="413" applyFont="1" applyFill="1" applyBorder="1"/>
    <xf numFmtId="0" fontId="7" fillId="0" borderId="18" xfId="413" applyFont="1" applyBorder="1" applyAlignment="1">
      <alignment horizontal="center"/>
    </xf>
    <xf numFmtId="0" fontId="6" fillId="0" borderId="3" xfId="413" applyFont="1" applyFill="1" applyBorder="1"/>
    <xf numFmtId="0" fontId="7" fillId="0" borderId="18" xfId="413" applyFont="1" applyFill="1" applyBorder="1" applyAlignment="1">
      <alignment horizontal="center"/>
    </xf>
    <xf numFmtId="174" fontId="6" fillId="0" borderId="0" xfId="413" applyNumberFormat="1" applyFont="1" applyFill="1" applyBorder="1" applyAlignment="1">
      <alignment horizontal="right" vertical="center"/>
    </xf>
    <xf numFmtId="174" fontId="6" fillId="0" borderId="0" xfId="413" applyNumberFormat="1" applyFont="1" applyFill="1" applyBorder="1" applyAlignment="1">
      <alignment horizontal="right"/>
    </xf>
    <xf numFmtId="3" fontId="10" fillId="0" borderId="18" xfId="413" applyNumberFormat="1" applyFont="1" applyFill="1" applyBorder="1" applyAlignment="1">
      <alignment horizontal="center"/>
    </xf>
    <xf numFmtId="3" fontId="10" fillId="0" borderId="18" xfId="413" applyNumberFormat="1" applyFont="1" applyFill="1" applyBorder="1" applyAlignment="1">
      <alignment horizontal="center" vertical="center"/>
    </xf>
    <xf numFmtId="0" fontId="6" fillId="0" borderId="3" xfId="413" applyFont="1" applyFill="1" applyBorder="1" applyAlignment="1">
      <alignment horizontal="left" vertical="top" wrapText="1"/>
    </xf>
    <xf numFmtId="0" fontId="7" fillId="0" borderId="3" xfId="413" applyFont="1" applyFill="1" applyBorder="1" applyAlignment="1">
      <alignment horizontal="right" vertical="top" wrapText="1"/>
    </xf>
    <xf numFmtId="174" fontId="7" fillId="0" borderId="0" xfId="413" applyNumberFormat="1" applyFont="1" applyFill="1" applyBorder="1" applyAlignment="1">
      <alignment horizontal="right" vertical="center"/>
    </xf>
    <xf numFmtId="174" fontId="7" fillId="0" borderId="0" xfId="413" applyNumberFormat="1" applyFont="1" applyFill="1" applyBorder="1" applyAlignment="1">
      <alignment horizontal="right"/>
    </xf>
    <xf numFmtId="3" fontId="34" fillId="0" borderId="18" xfId="413" applyNumberFormat="1" applyFont="1" applyFill="1" applyBorder="1" applyAlignment="1">
      <alignment horizontal="center"/>
    </xf>
    <xf numFmtId="0" fontId="7" fillId="0" borderId="19" xfId="413" applyFont="1" applyBorder="1" applyAlignment="1">
      <alignment horizontal="right"/>
    </xf>
    <xf numFmtId="174" fontId="7" fillId="0" borderId="4" xfId="413" applyNumberFormat="1" applyFont="1" applyFill="1" applyBorder="1" applyAlignment="1">
      <alignment horizontal="right" vertical="center"/>
    </xf>
    <xf numFmtId="3" fontId="6" fillId="0" borderId="0" xfId="413" applyNumberFormat="1" applyFont="1" applyAlignment="1">
      <alignment horizontal="right"/>
    </xf>
    <xf numFmtId="0" fontId="6" fillId="0" borderId="0" xfId="413" applyAlignment="1">
      <alignment horizontal="center"/>
    </xf>
    <xf numFmtId="174" fontId="6" fillId="0" borderId="18" xfId="413" applyNumberFormat="1" applyFont="1" applyFill="1" applyBorder="1" applyAlignment="1">
      <alignment horizontal="right"/>
    </xf>
    <xf numFmtId="174" fontId="7" fillId="0" borderId="18" xfId="413" applyNumberFormat="1" applyFont="1" applyFill="1" applyBorder="1" applyAlignment="1">
      <alignment horizontal="right"/>
    </xf>
    <xf numFmtId="0" fontId="7" fillId="0" borderId="3" xfId="413" applyFont="1" applyBorder="1" applyAlignment="1">
      <alignment horizontal="right"/>
    </xf>
    <xf numFmtId="174" fontId="7" fillId="0" borderId="18" xfId="413" applyNumberFormat="1" applyFont="1" applyFill="1" applyBorder="1" applyAlignment="1">
      <alignment horizontal="right" vertical="center"/>
    </xf>
    <xf numFmtId="174" fontId="6" fillId="0" borderId="4" xfId="413" applyNumberFormat="1" applyFont="1" applyFill="1" applyBorder="1" applyAlignment="1">
      <alignment horizontal="right" vertical="center"/>
    </xf>
    <xf numFmtId="174" fontId="6" fillId="0" borderId="4" xfId="413" applyNumberFormat="1" applyFont="1" applyFill="1" applyBorder="1" applyAlignment="1">
      <alignment horizontal="right"/>
    </xf>
    <xf numFmtId="174" fontId="6" fillId="0" borderId="20" xfId="413" applyNumberFormat="1" applyBorder="1"/>
    <xf numFmtId="0" fontId="7" fillId="0" borderId="0" xfId="413" applyFont="1" applyBorder="1"/>
    <xf numFmtId="3" fontId="34" fillId="0" borderId="23" xfId="413" applyNumberFormat="1" applyFont="1" applyFill="1" applyBorder="1" applyAlignment="1">
      <alignment horizontal="center"/>
    </xf>
    <xf numFmtId="0" fontId="17" fillId="0" borderId="3" xfId="413" applyFont="1" applyFill="1" applyBorder="1" applyAlignment="1">
      <alignment horizontal="justify" vertical="center" wrapText="1"/>
    </xf>
    <xf numFmtId="0" fontId="17" fillId="0" borderId="0" xfId="413" applyFont="1" applyFill="1" applyBorder="1" applyAlignment="1">
      <alignment horizontal="justify" vertical="center" wrapText="1"/>
    </xf>
    <xf numFmtId="6" fontId="17" fillId="0" borderId="0" xfId="413" applyNumberFormat="1" applyFont="1" applyFill="1" applyBorder="1" applyAlignment="1">
      <alignment horizontal="justify" vertical="center" wrapText="1"/>
    </xf>
    <xf numFmtId="174" fontId="7" fillId="0" borderId="5" xfId="267" applyNumberFormat="1" applyFont="1" applyFill="1" applyBorder="1" applyAlignment="1">
      <alignment vertical="top" wrapText="1"/>
    </xf>
    <xf numFmtId="174" fontId="7" fillId="0" borderId="30" xfId="267" applyNumberFormat="1" applyFont="1" applyFill="1" applyBorder="1" applyAlignment="1">
      <alignment vertical="top" wrapText="1"/>
    </xf>
    <xf numFmtId="0" fontId="55" fillId="0" borderId="15" xfId="413" applyFont="1" applyFill="1" applyBorder="1"/>
    <xf numFmtId="0" fontId="6" fillId="0" borderId="5" xfId="413" applyFont="1" applyFill="1" applyBorder="1"/>
    <xf numFmtId="0" fontId="66" fillId="0" borderId="15" xfId="413" applyFont="1" applyFill="1" applyBorder="1" applyAlignment="1">
      <alignment horizontal="left" indent="1"/>
    </xf>
    <xf numFmtId="0" fontId="7" fillId="0" borderId="5" xfId="413" applyFont="1" applyFill="1" applyBorder="1"/>
    <xf numFmtId="195" fontId="7" fillId="0" borderId="30" xfId="268" applyNumberFormat="1" applyFont="1" applyFill="1" applyBorder="1"/>
    <xf numFmtId="173" fontId="30" fillId="0" borderId="20" xfId="0" applyNumberFormat="1" applyFont="1" applyFill="1" applyBorder="1" applyAlignment="1">
      <alignment horizontal="right" wrapText="1"/>
    </xf>
    <xf numFmtId="0" fontId="39" fillId="0" borderId="0" xfId="413" applyFont="1" applyBorder="1"/>
    <xf numFmtId="49" fontId="60" fillId="0" borderId="0" xfId="0" applyNumberFormat="1" applyFont="1" applyFill="1" applyBorder="1" applyAlignment="1">
      <alignment horizontal="left"/>
    </xf>
    <xf numFmtId="193" fontId="61" fillId="0" borderId="0" xfId="0" applyNumberFormat="1" applyFont="1" applyFill="1" applyBorder="1" applyAlignment="1">
      <alignment horizontal="right"/>
    </xf>
    <xf numFmtId="179" fontId="62" fillId="0" borderId="0" xfId="0" applyNumberFormat="1" applyFont="1" applyFill="1" applyBorder="1" applyAlignment="1">
      <alignment horizontal="right"/>
    </xf>
    <xf numFmtId="179" fontId="61" fillId="0" borderId="0" xfId="0" applyNumberFormat="1" applyFont="1" applyFill="1" applyBorder="1" applyAlignment="1">
      <alignment horizontal="right"/>
    </xf>
    <xf numFmtId="196" fontId="24" fillId="0" borderId="0" xfId="421" applyNumberFormat="1" applyFont="1" applyFill="1" applyBorder="1"/>
    <xf numFmtId="196" fontId="44" fillId="0" borderId="0" xfId="421" applyNumberFormat="1" applyFont="1" applyFill="1" applyBorder="1"/>
    <xf numFmtId="196" fontId="44" fillId="0" borderId="18" xfId="421" applyNumberFormat="1" applyFont="1" applyFill="1" applyBorder="1"/>
    <xf numFmtId="196" fontId="7" fillId="0" borderId="23" xfId="267" applyNumberFormat="1" applyFont="1" applyFill="1" applyBorder="1"/>
    <xf numFmtId="37" fontId="8" fillId="0" borderId="3" xfId="0" applyNumberFormat="1" applyFont="1" applyFill="1" applyBorder="1" applyAlignment="1">
      <alignment horizontal="left" wrapText="1"/>
    </xf>
    <xf numFmtId="174" fontId="7" fillId="0" borderId="23" xfId="0" applyNumberFormat="1" applyFont="1" applyBorder="1" applyAlignment="1">
      <alignment horizontal="right"/>
    </xf>
    <xf numFmtId="174" fontId="7" fillId="0" borderId="18" xfId="0" applyNumberFormat="1" applyFont="1" applyBorder="1" applyAlignment="1">
      <alignment horizontal="right"/>
    </xf>
    <xf numFmtId="173" fontId="7" fillId="0" borderId="0" xfId="0" applyNumberFormat="1" applyFont="1" applyBorder="1" applyAlignment="1">
      <alignment horizontal="right"/>
    </xf>
    <xf numFmtId="0" fontId="6" fillId="35" borderId="0" xfId="421" applyFill="1"/>
    <xf numFmtId="3" fontId="6" fillId="35" borderId="0" xfId="421" applyNumberFormat="1" applyFill="1"/>
    <xf numFmtId="0" fontId="6" fillId="0" borderId="0" xfId="421" applyFill="1"/>
    <xf numFmtId="0" fontId="55" fillId="0" borderId="0" xfId="413" applyFont="1" applyFill="1" applyBorder="1" applyAlignment="1">
      <alignment horizontal="left"/>
    </xf>
    <xf numFmtId="0" fontId="16" fillId="0" borderId="0" xfId="413" applyFont="1" applyFill="1" applyBorder="1" applyAlignment="1">
      <alignment horizontal="left" vertical="center" indent="1"/>
    </xf>
    <xf numFmtId="174" fontId="41" fillId="0" borderId="18" xfId="267" applyNumberFormat="1" applyFont="1" applyFill="1" applyBorder="1" applyAlignment="1">
      <alignment horizontal="center" vertical="top"/>
    </xf>
    <xf numFmtId="197" fontId="0" fillId="0" borderId="18" xfId="0" applyNumberFormat="1" applyBorder="1" applyAlignment="1"/>
    <xf numFmtId="197" fontId="0" fillId="0" borderId="0" xfId="0" applyNumberFormat="1" applyBorder="1" applyAlignment="1"/>
    <xf numFmtId="197" fontId="0" fillId="0" borderId="3" xfId="0" applyNumberFormat="1" applyBorder="1" applyAlignment="1"/>
    <xf numFmtId="174" fontId="6" fillId="0" borderId="0" xfId="267" applyNumberFormat="1" applyFont="1" applyFill="1" applyBorder="1" applyAlignment="1">
      <alignment vertical="top"/>
    </xf>
    <xf numFmtId="164" fontId="6" fillId="0" borderId="55" xfId="267" applyNumberFormat="1" applyFont="1" applyBorder="1"/>
    <xf numFmtId="43" fontId="6" fillId="0" borderId="55" xfId="267" applyFont="1" applyBorder="1" applyAlignment="1">
      <alignment horizontal="left" indent="1"/>
    </xf>
    <xf numFmtId="174" fontId="7" fillId="0" borderId="5" xfId="267" applyNumberFormat="1" applyFont="1" applyFill="1" applyBorder="1" applyAlignment="1">
      <alignment horizontal="center" vertical="top" wrapText="1"/>
    </xf>
    <xf numFmtId="0" fontId="6" fillId="0" borderId="18" xfId="413" applyFont="1" applyBorder="1" applyAlignment="1"/>
    <xf numFmtId="168" fontId="7" fillId="0" borderId="0" xfId="267" applyNumberFormat="1" applyFont="1" applyFill="1" applyBorder="1" applyAlignment="1"/>
    <xf numFmtId="164" fontId="6" fillId="0" borderId="8" xfId="267" applyNumberFormat="1" applyFont="1" applyFill="1" applyBorder="1"/>
    <xf numFmtId="43" fontId="6" fillId="0" borderId="8" xfId="267" applyFont="1" applyFill="1" applyBorder="1" applyAlignment="1">
      <alignment horizontal="left" indent="1"/>
    </xf>
    <xf numFmtId="168" fontId="6" fillId="0" borderId="0" xfId="267" applyNumberFormat="1" applyFont="1" applyBorder="1" applyAlignment="1"/>
    <xf numFmtId="164" fontId="6" fillId="0" borderId="8" xfId="267" applyNumberFormat="1" applyFont="1" applyBorder="1"/>
    <xf numFmtId="43" fontId="6" fillId="0" borderId="8" xfId="267" applyFont="1" applyBorder="1" applyAlignment="1">
      <alignment horizontal="left" indent="1"/>
    </xf>
    <xf numFmtId="6" fontId="16" fillId="0" borderId="0" xfId="413" applyNumberFormat="1" applyFont="1" applyFill="1" applyBorder="1" applyAlignment="1">
      <alignment horizontal="right" vertical="center"/>
    </xf>
    <xf numFmtId="3" fontId="16" fillId="0" borderId="0" xfId="413" applyNumberFormat="1" applyFont="1" applyFill="1" applyBorder="1" applyAlignment="1">
      <alignment horizontal="right" vertical="center"/>
    </xf>
    <xf numFmtId="3" fontId="6" fillId="0" borderId="18" xfId="413" applyNumberFormat="1" applyFont="1" applyFill="1" applyBorder="1" applyAlignment="1">
      <alignment horizontal="left" vertical="top"/>
    </xf>
    <xf numFmtId="168" fontId="6" fillId="0" borderId="0" xfId="267" applyNumberFormat="1" applyFont="1" applyFill="1" applyBorder="1" applyAlignment="1"/>
    <xf numFmtId="0" fontId="17" fillId="0" borderId="0" xfId="413" applyFont="1" applyBorder="1" applyAlignment="1">
      <alignment vertical="center"/>
    </xf>
    <xf numFmtId="0" fontId="17" fillId="0" borderId="19" xfId="413" applyFont="1" applyBorder="1" applyAlignment="1">
      <alignment horizontal="left" vertical="center" indent="1"/>
    </xf>
    <xf numFmtId="0" fontId="17" fillId="0" borderId="3" xfId="413" applyFont="1" applyBorder="1" applyAlignment="1">
      <alignment horizontal="left" vertical="center" indent="1"/>
    </xf>
    <xf numFmtId="3" fontId="7" fillId="0" borderId="18" xfId="413" applyNumberFormat="1" applyFont="1" applyFill="1" applyBorder="1" applyAlignment="1">
      <alignment horizontal="center" vertical="top"/>
    </xf>
    <xf numFmtId="168" fontId="6" fillId="0" borderId="0" xfId="267" applyNumberFormat="1" applyFont="1" applyFill="1" applyBorder="1" applyAlignment="1">
      <alignment vertical="top"/>
    </xf>
    <xf numFmtId="164" fontId="6" fillId="0" borderId="8" xfId="267" applyNumberFormat="1" applyFont="1" applyFill="1" applyBorder="1" applyAlignment="1">
      <alignment vertical="top" wrapText="1"/>
    </xf>
    <xf numFmtId="164" fontId="6" fillId="0" borderId="8" xfId="267" applyNumberFormat="1" applyFont="1" applyBorder="1" applyAlignment="1">
      <alignment vertical="top" wrapText="1"/>
    </xf>
    <xf numFmtId="43" fontId="6" fillId="0" borderId="8" xfId="267" applyFont="1" applyBorder="1" applyAlignment="1">
      <alignment horizontal="left" vertical="top" wrapText="1" indent="1"/>
    </xf>
    <xf numFmtId="3" fontId="6" fillId="0" borderId="18" xfId="413" applyNumberFormat="1" applyFont="1" applyFill="1" applyBorder="1" applyAlignment="1"/>
    <xf numFmtId="168" fontId="6" fillId="0" borderId="0" xfId="267" applyNumberFormat="1" applyFont="1" applyFill="1" applyBorder="1" applyAlignment="1">
      <alignment horizontal="right" vertical="center"/>
    </xf>
    <xf numFmtId="164" fontId="6" fillId="0" borderId="8" xfId="267" applyNumberFormat="1" applyFont="1" applyFill="1" applyBorder="1" applyAlignment="1">
      <alignment horizontal="right" vertical="center" wrapText="1"/>
    </xf>
    <xf numFmtId="43" fontId="6" fillId="0" borderId="8" xfId="267" applyFont="1" applyBorder="1" applyAlignment="1">
      <alignment horizontal="left" vertical="center" wrapText="1" indent="1"/>
    </xf>
    <xf numFmtId="197" fontId="0" fillId="0" borderId="88" xfId="0" applyNumberFormat="1" applyBorder="1" applyAlignment="1"/>
    <xf numFmtId="197" fontId="0" fillId="0" borderId="89" xfId="0" applyNumberFormat="1" applyBorder="1" applyAlignment="1"/>
    <xf numFmtId="197" fontId="0" fillId="0" borderId="90" xfId="0" applyNumberFormat="1" applyBorder="1" applyAlignment="1"/>
    <xf numFmtId="164" fontId="6" fillId="0" borderId="53" xfId="267" applyNumberFormat="1" applyFont="1" applyBorder="1"/>
    <xf numFmtId="0" fontId="39" fillId="0" borderId="22" xfId="413" applyFont="1" applyBorder="1" applyAlignment="1">
      <alignment horizontal="left" vertical="center" indent="1"/>
    </xf>
    <xf numFmtId="0" fontId="6" fillId="0" borderId="24"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168" fontId="6" fillId="0" borderId="9" xfId="267" applyNumberFormat="1" applyFont="1" applyFill="1" applyBorder="1" applyAlignment="1">
      <alignment vertical="top" wrapText="1"/>
    </xf>
    <xf numFmtId="43" fontId="6" fillId="0" borderId="9" xfId="267" applyFont="1" applyBorder="1" applyAlignment="1">
      <alignment horizontal="left" vertical="top" wrapText="1" indent="1"/>
    </xf>
    <xf numFmtId="0" fontId="6" fillId="0" borderId="9" xfId="0" applyFont="1" applyBorder="1" applyAlignment="1">
      <alignment horizontal="center"/>
    </xf>
    <xf numFmtId="0" fontId="16" fillId="0" borderId="0" xfId="413" applyFont="1" applyFill="1" applyBorder="1" applyAlignment="1">
      <alignment horizontal="center" vertical="center" wrapText="1"/>
    </xf>
    <xf numFmtId="0" fontId="16" fillId="0" borderId="0" xfId="413" applyFont="1" applyFill="1" applyBorder="1" applyAlignment="1">
      <alignment vertical="center"/>
    </xf>
    <xf numFmtId="0" fontId="6" fillId="0" borderId="3" xfId="413" applyBorder="1"/>
    <xf numFmtId="0" fontId="59" fillId="0" borderId="49" xfId="0" applyFont="1" applyBorder="1" applyAlignment="1">
      <alignment wrapText="1"/>
    </xf>
    <xf numFmtId="49" fontId="59" fillId="0" borderId="49" xfId="0" applyNumberFormat="1" applyFont="1" applyBorder="1" applyAlignment="1">
      <alignment wrapText="1"/>
    </xf>
    <xf numFmtId="0" fontId="0" fillId="0" borderId="89" xfId="0" applyBorder="1"/>
    <xf numFmtId="0" fontId="0" fillId="0" borderId="91" xfId="0" applyBorder="1"/>
    <xf numFmtId="0" fontId="7" fillId="0" borderId="3" xfId="413" applyFont="1" applyBorder="1" applyAlignment="1">
      <alignment vertical="center"/>
    </xf>
    <xf numFmtId="3" fontId="6" fillId="0" borderId="3" xfId="413" applyNumberFormat="1" applyFont="1" applyBorder="1" applyAlignment="1">
      <alignment horizontal="left" vertical="top" wrapText="1" indent="1"/>
    </xf>
    <xf numFmtId="195" fontId="119" fillId="0" borderId="53" xfId="268" applyNumberFormat="1" applyFont="1" applyBorder="1"/>
    <xf numFmtId="195" fontId="119" fillId="0" borderId="8" xfId="268" applyNumberFormat="1" applyFont="1" applyBorder="1"/>
    <xf numFmtId="195" fontId="119" fillId="0" borderId="55" xfId="268" applyNumberFormat="1" applyFont="1" applyBorder="1"/>
    <xf numFmtId="195" fontId="88" fillId="0" borderId="9" xfId="268" applyNumberFormat="1" applyFont="1" applyBorder="1"/>
    <xf numFmtId="197" fontId="88" fillId="0" borderId="92" xfId="0" applyNumberFormat="1" applyFont="1" applyBorder="1" applyAlignment="1"/>
    <xf numFmtId="197" fontId="88" fillId="0" borderId="93" xfId="0" applyNumberFormat="1" applyFont="1" applyBorder="1" applyAlignment="1"/>
    <xf numFmtId="197" fontId="88" fillId="0" borderId="94" xfId="0" applyNumberFormat="1" applyFont="1" applyBorder="1" applyAlignment="1"/>
    <xf numFmtId="164" fontId="6" fillId="0" borderId="18" xfId="267" applyNumberFormat="1" applyFont="1" applyBorder="1"/>
    <xf numFmtId="0" fontId="16" fillId="0" borderId="3" xfId="413" applyFont="1" applyFill="1" applyBorder="1" applyAlignment="1">
      <alignment horizontal="left" vertical="center" indent="1"/>
    </xf>
    <xf numFmtId="164" fontId="6" fillId="0" borderId="18" xfId="267" applyNumberFormat="1" applyFont="1" applyBorder="1" applyAlignment="1">
      <alignment horizontal="right" vertical="center"/>
    </xf>
    <xf numFmtId="0" fontId="6" fillId="0" borderId="0" xfId="413" applyBorder="1" applyAlignment="1">
      <alignment horizontal="right" vertical="center"/>
    </xf>
    <xf numFmtId="0" fontId="6" fillId="0" borderId="23" xfId="413" applyFont="1" applyBorder="1"/>
    <xf numFmtId="0" fontId="6" fillId="0" borderId="18" xfId="413" applyBorder="1"/>
    <xf numFmtId="0" fontId="6" fillId="0" borderId="22" xfId="413" applyBorder="1"/>
    <xf numFmtId="0" fontId="6" fillId="0" borderId="24" xfId="413" applyBorder="1"/>
    <xf numFmtId="0" fontId="7" fillId="0" borderId="24" xfId="0" applyFont="1" applyBorder="1" applyAlignment="1">
      <alignment horizontal="center"/>
    </xf>
    <xf numFmtId="0" fontId="21" fillId="0" borderId="60" xfId="393" applyFont="1" applyBorder="1"/>
    <xf numFmtId="0" fontId="6" fillId="0" borderId="59" xfId="393" applyBorder="1"/>
    <xf numFmtId="0" fontId="21" fillId="0" borderId="59" xfId="393" applyFont="1" applyBorder="1" applyAlignment="1">
      <alignment horizontal="center"/>
    </xf>
    <xf numFmtId="0" fontId="21" fillId="0" borderId="59" xfId="393" applyFont="1" applyBorder="1"/>
    <xf numFmtId="0" fontId="21" fillId="0" borderId="86" xfId="393" applyFont="1" applyBorder="1"/>
    <xf numFmtId="0" fontId="21" fillId="0" borderId="87" xfId="393" applyFont="1" applyBorder="1"/>
    <xf numFmtId="0" fontId="42" fillId="0" borderId="59" xfId="393" applyFont="1" applyBorder="1" applyAlignment="1">
      <alignment horizontal="center"/>
    </xf>
    <xf numFmtId="0" fontId="113" fillId="0" borderId="85" xfId="393" applyFont="1" applyFill="1" applyBorder="1" applyAlignment="1">
      <alignment horizontal="center"/>
    </xf>
    <xf numFmtId="0" fontId="6" fillId="0" borderId="0" xfId="393"/>
    <xf numFmtId="0" fontId="21" fillId="0" borderId="4" xfId="393" applyFont="1" applyBorder="1"/>
    <xf numFmtId="0" fontId="6" fillId="0" borderId="4" xfId="393" applyBorder="1"/>
    <xf numFmtId="0" fontId="7" fillId="0" borderId="22" xfId="393" applyFont="1" applyBorder="1"/>
    <xf numFmtId="0" fontId="7" fillId="0" borderId="20" xfId="393" applyFont="1" applyBorder="1" applyAlignment="1">
      <alignment horizontal="center"/>
    </xf>
    <xf numFmtId="0" fontId="6" fillId="0" borderId="20" xfId="393" applyBorder="1"/>
    <xf numFmtId="0" fontId="7" fillId="0" borderId="24" xfId="393" applyFont="1" applyBorder="1" applyAlignment="1">
      <alignment horizontal="center"/>
    </xf>
    <xf numFmtId="0" fontId="7" fillId="0" borderId="3" xfId="393" applyFont="1" applyFill="1" applyBorder="1" applyAlignment="1">
      <alignment horizontal="left" vertical="top" wrapText="1"/>
    </xf>
    <xf numFmtId="0" fontId="6" fillId="0" borderId="0" xfId="393" applyBorder="1"/>
    <xf numFmtId="0" fontId="7" fillId="0" borderId="0" xfId="393" applyFont="1" applyBorder="1" applyAlignment="1">
      <alignment horizontal="center"/>
    </xf>
    <xf numFmtId="0" fontId="6" fillId="0" borderId="3" xfId="393" applyFont="1" applyBorder="1"/>
    <xf numFmtId="0" fontId="7" fillId="0" borderId="3" xfId="393" applyFont="1" applyBorder="1" applyAlignment="1">
      <alignment horizontal="left" vertical="top" wrapText="1"/>
    </xf>
    <xf numFmtId="3" fontId="7" fillId="0" borderId="0" xfId="393" applyNumberFormat="1" applyFont="1" applyFill="1" applyBorder="1" applyAlignment="1">
      <alignment horizontal="center" vertical="center"/>
    </xf>
    <xf numFmtId="0" fontId="7" fillId="0" borderId="19" xfId="393" applyFont="1" applyBorder="1" applyAlignment="1">
      <alignment horizontal="left" vertical="top" wrapText="1"/>
    </xf>
    <xf numFmtId="0" fontId="7" fillId="0" borderId="4" xfId="393" applyFont="1" applyFill="1" applyBorder="1" applyAlignment="1">
      <alignment horizontal="center" vertical="center"/>
    </xf>
    <xf numFmtId="0" fontId="7" fillId="0" borderId="23" xfId="393" applyFont="1" applyFill="1" applyBorder="1" applyAlignment="1">
      <alignment horizontal="center" vertical="center"/>
    </xf>
    <xf numFmtId="0" fontId="7" fillId="0" borderId="0" xfId="393" applyFont="1" applyAlignment="1">
      <alignment horizontal="left" vertical="top" wrapText="1"/>
    </xf>
    <xf numFmtId="0" fontId="7" fillId="0" borderId="0" xfId="393" applyFont="1" applyFill="1" applyBorder="1" applyAlignment="1">
      <alignment horizontal="center" vertical="center"/>
    </xf>
    <xf numFmtId="0" fontId="6" fillId="0" borderId="0" xfId="393" applyFill="1"/>
    <xf numFmtId="0" fontId="6" fillId="0" borderId="0" xfId="393" applyFont="1"/>
    <xf numFmtId="0" fontId="6" fillId="0" borderId="3" xfId="422" applyFont="1" applyFill="1" applyBorder="1"/>
    <xf numFmtId="167" fontId="6" fillId="0" borderId="0" xfId="450" applyNumberFormat="1" applyFont="1" applyFill="1" applyBorder="1" applyAlignment="1">
      <alignment horizontal="center"/>
    </xf>
    <xf numFmtId="1" fontId="6" fillId="0" borderId="0" xfId="393" applyNumberFormat="1" applyFont="1" applyFill="1" applyBorder="1" applyAlignment="1">
      <alignment horizontal="center"/>
    </xf>
    <xf numFmtId="1" fontId="6" fillId="0" borderId="18" xfId="393" applyNumberFormat="1" applyFont="1" applyFill="1" applyBorder="1" applyAlignment="1">
      <alignment horizontal="center"/>
    </xf>
    <xf numFmtId="167" fontId="6" fillId="0" borderId="0" xfId="393" applyNumberFormat="1" applyFont="1" applyFill="1" applyBorder="1" applyAlignment="1">
      <alignment horizontal="center"/>
    </xf>
    <xf numFmtId="9" fontId="6" fillId="0" borderId="0" xfId="450" applyFont="1" applyFill="1" applyBorder="1" applyAlignment="1">
      <alignment horizontal="center"/>
    </xf>
    <xf numFmtId="0" fontId="6" fillId="0" borderId="3" xfId="422" applyFont="1" applyFill="1" applyBorder="1" applyAlignment="1">
      <alignment horizontal="right"/>
    </xf>
    <xf numFmtId="170" fontId="6" fillId="0" borderId="0" xfId="393" applyNumberFormat="1" applyFont="1" applyBorder="1" applyAlignment="1">
      <alignment horizontal="center"/>
    </xf>
    <xf numFmtId="3" fontId="6" fillId="0" borderId="0" xfId="393" applyNumberFormat="1" applyFont="1" applyFill="1" applyBorder="1" applyAlignment="1">
      <alignment horizontal="center"/>
    </xf>
    <xf numFmtId="170" fontId="6" fillId="0" borderId="0" xfId="422" applyNumberFormat="1" applyFont="1" applyFill="1" applyBorder="1" applyAlignment="1">
      <alignment horizontal="center"/>
    </xf>
    <xf numFmtId="170" fontId="7" fillId="0" borderId="4" xfId="393" applyNumberFormat="1" applyFont="1" applyBorder="1" applyAlignment="1">
      <alignment horizontal="center"/>
    </xf>
    <xf numFmtId="3" fontId="7" fillId="0" borderId="4" xfId="393" applyNumberFormat="1" applyFont="1" applyFill="1" applyBorder="1" applyAlignment="1">
      <alignment horizontal="center"/>
    </xf>
    <xf numFmtId="3" fontId="7" fillId="0" borderId="23" xfId="393" applyNumberFormat="1" applyFont="1" applyFill="1" applyBorder="1" applyAlignment="1">
      <alignment horizontal="center"/>
    </xf>
    <xf numFmtId="9" fontId="17" fillId="0" borderId="0" xfId="450" applyFont="1" applyFill="1" applyBorder="1" applyAlignment="1">
      <alignment horizontal="center"/>
    </xf>
    <xf numFmtId="0" fontId="39" fillId="0" borderId="0" xfId="393" applyFont="1"/>
    <xf numFmtId="0" fontId="6" fillId="0" borderId="22" xfId="393" applyBorder="1"/>
    <xf numFmtId="0" fontId="6" fillId="0" borderId="24" xfId="393" applyBorder="1"/>
    <xf numFmtId="0" fontId="6" fillId="0" borderId="3" xfId="393" applyBorder="1"/>
    <xf numFmtId="0" fontId="6" fillId="0" borderId="18" xfId="393" applyBorder="1"/>
    <xf numFmtId="0" fontId="6" fillId="0" borderId="19" xfId="393" applyBorder="1"/>
    <xf numFmtId="0" fontId="6" fillId="0" borderId="23" xfId="393" applyBorder="1"/>
    <xf numFmtId="0" fontId="120" fillId="0" borderId="0" xfId="393" applyFont="1" applyProtection="1">
      <protection hidden="1"/>
    </xf>
    <xf numFmtId="0" fontId="55" fillId="32" borderId="22" xfId="393" applyFont="1" applyFill="1" applyBorder="1"/>
    <xf numFmtId="0" fontId="6" fillId="32" borderId="20" xfId="393" applyFill="1" applyBorder="1"/>
    <xf numFmtId="0" fontId="6" fillId="32" borderId="24" xfId="393" applyFill="1" applyBorder="1"/>
    <xf numFmtId="0" fontId="7" fillId="32" borderId="3" xfId="393" applyFont="1" applyFill="1" applyBorder="1"/>
    <xf numFmtId="0" fontId="6" fillId="32" borderId="0" xfId="393" applyFill="1" applyBorder="1"/>
    <xf numFmtId="0" fontId="6" fillId="32" borderId="18" xfId="393" applyFill="1" applyBorder="1"/>
    <xf numFmtId="0" fontId="7" fillId="32" borderId="19" xfId="393" applyFont="1" applyFill="1" applyBorder="1"/>
    <xf numFmtId="0" fontId="6" fillId="32" borderId="4" xfId="393" applyFill="1" applyBorder="1"/>
    <xf numFmtId="0" fontId="6" fillId="32" borderId="23" xfId="393" applyFill="1" applyBorder="1"/>
    <xf numFmtId="0" fontId="44" fillId="0" borderId="0" xfId="393" applyFont="1"/>
    <xf numFmtId="0" fontId="44" fillId="0" borderId="95" xfId="393" applyFont="1" applyBorder="1" applyAlignment="1">
      <alignment horizontal="center" wrapText="1"/>
    </xf>
    <xf numFmtId="0" fontId="44" fillId="0" borderId="96" xfId="393" applyFont="1" applyBorder="1"/>
    <xf numFmtId="0" fontId="44" fillId="0" borderId="97" xfId="393" applyFont="1" applyBorder="1"/>
    <xf numFmtId="0" fontId="44" fillId="0" borderId="96" xfId="393" applyFont="1" applyBorder="1" applyAlignment="1">
      <alignment horizontal="center"/>
    </xf>
    <xf numFmtId="0" fontId="44" fillId="0" borderId="96" xfId="393" applyFont="1" applyBorder="1" applyAlignment="1">
      <alignment horizontal="center" wrapText="1"/>
    </xf>
    <xf numFmtId="0" fontId="44" fillId="0" borderId="98" xfId="393" applyFont="1" applyBorder="1" applyAlignment="1">
      <alignment horizontal="center"/>
    </xf>
    <xf numFmtId="0" fontId="44" fillId="0" borderId="99" xfId="393" applyFont="1" applyBorder="1" applyAlignment="1">
      <alignment horizontal="center"/>
    </xf>
    <xf numFmtId="0" fontId="44" fillId="0" borderId="100" xfId="393" applyFont="1" applyBorder="1" applyAlignment="1">
      <alignment horizontal="center"/>
    </xf>
    <xf numFmtId="0" fontId="44" fillId="0" borderId="101" xfId="393" applyFont="1" applyBorder="1" applyAlignment="1">
      <alignment horizontal="center"/>
    </xf>
    <xf numFmtId="0" fontId="44" fillId="0" borderId="102" xfId="393" applyFont="1" applyBorder="1" applyAlignment="1">
      <alignment horizontal="center" wrapText="1"/>
    </xf>
    <xf numFmtId="0" fontId="44" fillId="0" borderId="3" xfId="393" applyFont="1" applyBorder="1"/>
    <xf numFmtId="0" fontId="44" fillId="0" borderId="3" xfId="393" applyFont="1" applyBorder="1" applyAlignment="1">
      <alignment horizontal="center"/>
    </xf>
    <xf numFmtId="0" fontId="44" fillId="0" borderId="103" xfId="393" applyFont="1" applyBorder="1" applyAlignment="1">
      <alignment horizontal="center"/>
    </xf>
    <xf numFmtId="0" fontId="44" fillId="0" borderId="22" xfId="393" applyFont="1" applyBorder="1" applyAlignment="1">
      <alignment horizontal="center"/>
    </xf>
    <xf numFmtId="0" fontId="44" fillId="0" borderId="104" xfId="393" applyFont="1" applyBorder="1" applyAlignment="1">
      <alignment horizontal="center"/>
    </xf>
    <xf numFmtId="0" fontId="40" fillId="0" borderId="3" xfId="393" applyFont="1" applyBorder="1" applyAlignment="1">
      <alignment horizontal="center"/>
    </xf>
    <xf numFmtId="0" fontId="40" fillId="0" borderId="102" xfId="393" applyFont="1" applyBorder="1" applyAlignment="1">
      <alignment horizontal="center"/>
    </xf>
    <xf numFmtId="0" fontId="40" fillId="0" borderId="105" xfId="393" applyFont="1" applyBorder="1" applyAlignment="1">
      <alignment horizontal="center"/>
    </xf>
    <xf numFmtId="0" fontId="44" fillId="0" borderId="106" xfId="393" applyFont="1" applyBorder="1" applyAlignment="1">
      <alignment horizontal="center" wrapText="1"/>
    </xf>
    <xf numFmtId="0" fontId="44" fillId="0" borderId="107" xfId="393" applyFont="1" applyBorder="1"/>
    <xf numFmtId="0" fontId="44" fillId="0" borderId="108" xfId="393" applyFont="1" applyBorder="1"/>
    <xf numFmtId="0" fontId="44" fillId="0" borderId="107" xfId="393" applyFont="1" applyBorder="1" applyAlignment="1">
      <alignment horizontal="center"/>
    </xf>
    <xf numFmtId="0" fontId="44" fillId="0" borderId="106" xfId="393" applyFont="1" applyBorder="1" applyAlignment="1">
      <alignment horizontal="center"/>
    </xf>
    <xf numFmtId="0" fontId="44" fillId="0" borderId="109" xfId="393" applyFont="1" applyBorder="1" applyAlignment="1">
      <alignment horizontal="center"/>
    </xf>
    <xf numFmtId="0" fontId="44" fillId="0" borderId="110" xfId="393" applyFont="1" applyBorder="1" applyAlignment="1">
      <alignment horizontal="center" wrapText="1"/>
    </xf>
    <xf numFmtId="0" fontId="6" fillId="0" borderId="111" xfId="393" applyBorder="1"/>
    <xf numFmtId="0" fontId="6" fillId="0" borderId="112" xfId="393" applyBorder="1"/>
    <xf numFmtId="0" fontId="40" fillId="0" borderId="111" xfId="393" applyFont="1" applyBorder="1" applyAlignment="1">
      <alignment horizontal="center"/>
    </xf>
    <xf numFmtId="172" fontId="6" fillId="32" borderId="111" xfId="393" applyNumberFormat="1" applyFill="1" applyBorder="1" applyProtection="1"/>
    <xf numFmtId="172" fontId="6" fillId="32" borderId="113" xfId="393" applyNumberFormat="1" applyFill="1" applyBorder="1" applyProtection="1"/>
    <xf numFmtId="172" fontId="6" fillId="32" borderId="111" xfId="393" applyNumberFormat="1" applyFill="1" applyBorder="1"/>
    <xf numFmtId="172" fontId="6" fillId="32" borderId="114" xfId="393" applyNumberFormat="1" applyFill="1" applyBorder="1"/>
    <xf numFmtId="0" fontId="6" fillId="27" borderId="22" xfId="393" applyFill="1" applyBorder="1"/>
    <xf numFmtId="0" fontId="6" fillId="27" borderId="20" xfId="393" applyFill="1" applyBorder="1"/>
    <xf numFmtId="0" fontId="6" fillId="27" borderId="20" xfId="393" applyNumberFormat="1" applyFill="1" applyBorder="1" applyAlignment="1">
      <alignment horizontal="center"/>
    </xf>
    <xf numFmtId="0" fontId="6" fillId="27" borderId="24" xfId="393" applyFill="1" applyBorder="1"/>
    <xf numFmtId="0" fontId="6" fillId="0" borderId="15" xfId="393" applyBorder="1"/>
    <xf numFmtId="0" fontId="24" fillId="0" borderId="5" xfId="393" applyFont="1" applyBorder="1"/>
    <xf numFmtId="0" fontId="40" fillId="0" borderId="15" xfId="393" applyFont="1" applyBorder="1" applyAlignment="1">
      <alignment horizontal="center"/>
    </xf>
    <xf numFmtId="172" fontId="6" fillId="32" borderId="15" xfId="393" applyNumberFormat="1" applyFill="1" applyBorder="1" applyProtection="1"/>
    <xf numFmtId="172" fontId="6" fillId="32" borderId="115" xfId="393" applyNumberFormat="1" applyFill="1" applyBorder="1" applyProtection="1"/>
    <xf numFmtId="172" fontId="6" fillId="32" borderId="15" xfId="393" applyNumberFormat="1" applyFill="1" applyBorder="1"/>
    <xf numFmtId="172" fontId="6" fillId="32" borderId="116" xfId="393" applyNumberFormat="1" applyFill="1" applyBorder="1"/>
    <xf numFmtId="0" fontId="6" fillId="27" borderId="3" xfId="393" applyFill="1" applyBorder="1"/>
    <xf numFmtId="0" fontId="6" fillId="27" borderId="0" xfId="393" applyFill="1"/>
    <xf numFmtId="0" fontId="6" fillId="27" borderId="18" xfId="393" applyFill="1" applyBorder="1"/>
    <xf numFmtId="0" fontId="6" fillId="0" borderId="5" xfId="393" applyBorder="1"/>
    <xf numFmtId="198" fontId="6" fillId="32" borderId="15" xfId="393" applyNumberFormat="1" applyFill="1" applyBorder="1"/>
    <xf numFmtId="198" fontId="6" fillId="32" borderId="115" xfId="393" applyNumberFormat="1" applyFill="1" applyBorder="1"/>
    <xf numFmtId="198" fontId="6" fillId="32" borderId="115" xfId="393" applyNumberFormat="1" applyFill="1" applyBorder="1" applyProtection="1"/>
    <xf numFmtId="198" fontId="6" fillId="32" borderId="116" xfId="393" applyNumberFormat="1" applyFill="1" applyBorder="1"/>
    <xf numFmtId="0" fontId="6" fillId="27" borderId="3" xfId="393" applyNumberFormat="1" applyFill="1" applyBorder="1" applyAlignment="1">
      <alignment horizontal="center"/>
    </xf>
    <xf numFmtId="0" fontId="6" fillId="27" borderId="0" xfId="393" applyNumberFormat="1" applyFill="1" applyAlignment="1">
      <alignment horizontal="center"/>
    </xf>
    <xf numFmtId="0" fontId="6" fillId="27" borderId="18" xfId="393" applyNumberFormat="1" applyFill="1" applyBorder="1" applyAlignment="1">
      <alignment horizontal="center"/>
    </xf>
    <xf numFmtId="0" fontId="44" fillId="0" borderId="117" xfId="393" applyFont="1" applyBorder="1"/>
    <xf numFmtId="0" fontId="6" fillId="0" borderId="118" xfId="393" applyBorder="1"/>
    <xf numFmtId="0" fontId="40" fillId="0" borderId="117" xfId="393" applyFont="1" applyBorder="1" applyAlignment="1">
      <alignment horizontal="center"/>
    </xf>
    <xf numFmtId="172" fontId="44" fillId="32" borderId="117" xfId="393" applyNumberFormat="1" applyFont="1" applyFill="1" applyBorder="1"/>
    <xf numFmtId="172" fontId="44" fillId="32" borderId="119" xfId="393" applyNumberFormat="1" applyFont="1" applyFill="1" applyBorder="1"/>
    <xf numFmtId="172" fontId="44" fillId="32" borderId="120" xfId="393" applyNumberFormat="1" applyFont="1" applyFill="1" applyBorder="1"/>
    <xf numFmtId="9" fontId="6" fillId="27" borderId="3" xfId="393" applyNumberFormat="1" applyFill="1" applyBorder="1" applyAlignment="1">
      <alignment horizontal="center"/>
    </xf>
    <xf numFmtId="9" fontId="6" fillId="27" borderId="0" xfId="393" applyNumberFormat="1" applyFill="1" applyAlignment="1">
      <alignment horizontal="center"/>
    </xf>
    <xf numFmtId="0" fontId="6" fillId="27" borderId="18" xfId="393" applyFill="1" applyBorder="1" applyAlignment="1">
      <alignment horizontal="center"/>
    </xf>
    <xf numFmtId="0" fontId="6" fillId="23" borderId="113" xfId="393" applyFill="1" applyBorder="1"/>
    <xf numFmtId="172" fontId="6" fillId="23" borderId="111" xfId="393" applyNumberFormat="1" applyFill="1" applyBorder="1"/>
    <xf numFmtId="0" fontId="6" fillId="23" borderId="111" xfId="393" applyFill="1" applyBorder="1"/>
    <xf numFmtId="172" fontId="6" fillId="23" borderId="114" xfId="393" applyNumberFormat="1" applyFill="1" applyBorder="1"/>
    <xf numFmtId="0" fontId="6" fillId="23" borderId="115" xfId="393" applyFill="1" applyBorder="1"/>
    <xf numFmtId="172" fontId="6" fillId="23" borderId="15" xfId="393" applyNumberFormat="1" applyFill="1" applyBorder="1"/>
    <xf numFmtId="0" fontId="6" fillId="23" borderId="15" xfId="393" applyFill="1" applyBorder="1"/>
    <xf numFmtId="172" fontId="6" fillId="23" borderId="116" xfId="393" applyNumberFormat="1" applyFill="1" applyBorder="1"/>
    <xf numFmtId="9" fontId="6" fillId="27" borderId="19" xfId="393" applyNumberFormat="1" applyFill="1" applyBorder="1" applyAlignment="1">
      <alignment horizontal="center"/>
    </xf>
    <xf numFmtId="9" fontId="6" fillId="27" borderId="4" xfId="393" applyNumberFormat="1" applyFill="1" applyBorder="1" applyAlignment="1">
      <alignment horizontal="center"/>
    </xf>
    <xf numFmtId="0" fontId="6" fillId="27" borderId="23" xfId="393" applyFill="1" applyBorder="1" applyAlignment="1">
      <alignment horizontal="center"/>
    </xf>
    <xf numFmtId="172" fontId="6" fillId="32" borderId="115" xfId="393" applyNumberFormat="1" applyFill="1" applyBorder="1"/>
    <xf numFmtId="0" fontId="24" fillId="0" borderId="15" xfId="393" applyFont="1" applyBorder="1"/>
    <xf numFmtId="198" fontId="24" fillId="32" borderId="15" xfId="393" applyNumberFormat="1" applyFont="1" applyFill="1" applyBorder="1"/>
    <xf numFmtId="198" fontId="24" fillId="32" borderId="115" xfId="393" applyNumberFormat="1" applyFont="1" applyFill="1" applyBorder="1"/>
    <xf numFmtId="172" fontId="24" fillId="32" borderId="15" xfId="393" applyNumberFormat="1" applyFont="1" applyFill="1" applyBorder="1"/>
    <xf numFmtId="198" fontId="24" fillId="32" borderId="116" xfId="393" applyNumberFormat="1" applyFont="1" applyFill="1" applyBorder="1"/>
    <xf numFmtId="0" fontId="24" fillId="0" borderId="118" xfId="393" applyFont="1" applyBorder="1"/>
    <xf numFmtId="167" fontId="6" fillId="27" borderId="4" xfId="393" applyNumberFormat="1" applyFill="1" applyBorder="1" applyAlignment="1">
      <alignment horizontal="center"/>
    </xf>
    <xf numFmtId="198" fontId="44" fillId="32" borderId="15" xfId="393" applyNumberFormat="1" applyFont="1" applyFill="1" applyBorder="1"/>
    <xf numFmtId="0" fontId="44" fillId="0" borderId="15" xfId="393" applyFont="1" applyBorder="1"/>
    <xf numFmtId="172" fontId="44" fillId="32" borderId="15" xfId="393" applyNumberFormat="1" applyFont="1" applyFill="1" applyBorder="1"/>
    <xf numFmtId="172" fontId="44" fillId="32" borderId="115" xfId="393" applyNumberFormat="1" applyFont="1" applyFill="1" applyBorder="1"/>
    <xf numFmtId="172" fontId="44" fillId="32" borderId="115" xfId="393" applyNumberFormat="1" applyFont="1" applyFill="1" applyBorder="1" applyProtection="1"/>
    <xf numFmtId="172" fontId="44" fillId="32" borderId="116" xfId="393" applyNumberFormat="1" applyFont="1" applyFill="1" applyBorder="1"/>
    <xf numFmtId="172" fontId="44" fillId="32" borderId="119" xfId="393" applyNumberFormat="1" applyFont="1" applyFill="1" applyBorder="1" applyProtection="1"/>
    <xf numFmtId="172" fontId="6" fillId="32" borderId="113" xfId="393" applyNumberFormat="1" applyFill="1" applyBorder="1"/>
    <xf numFmtId="172" fontId="6" fillId="32" borderId="0" xfId="393" applyNumberFormat="1" applyFill="1" applyProtection="1"/>
    <xf numFmtId="172" fontId="24" fillId="32" borderId="115" xfId="393" applyNumberFormat="1" applyFont="1" applyFill="1" applyBorder="1"/>
    <xf numFmtId="0" fontId="44" fillId="0" borderId="111" xfId="393" applyFont="1" applyBorder="1"/>
    <xf numFmtId="172" fontId="44" fillId="32" borderId="111" xfId="393" applyNumberFormat="1" applyFont="1" applyFill="1" applyBorder="1"/>
    <xf numFmtId="172" fontId="44" fillId="32" borderId="113" xfId="393" applyNumberFormat="1" applyFont="1" applyFill="1" applyBorder="1"/>
    <xf numFmtId="172" fontId="44" fillId="32" borderId="113" xfId="393" applyNumberFormat="1" applyFont="1" applyFill="1" applyBorder="1" applyProtection="1"/>
    <xf numFmtId="172" fontId="44" fillId="32" borderId="114" xfId="393" applyNumberFormat="1" applyFont="1" applyFill="1" applyBorder="1"/>
    <xf numFmtId="0" fontId="6" fillId="27" borderId="19" xfId="393" applyNumberFormat="1" applyFill="1" applyBorder="1" applyAlignment="1">
      <alignment horizontal="center"/>
    </xf>
    <xf numFmtId="0" fontId="6" fillId="27" borderId="4" xfId="393" applyNumberFormat="1" applyFill="1" applyBorder="1" applyAlignment="1">
      <alignment horizontal="center"/>
    </xf>
    <xf numFmtId="172" fontId="44" fillId="32" borderId="15" xfId="393" applyNumberFormat="1" applyFont="1" applyFill="1" applyBorder="1" applyProtection="1"/>
    <xf numFmtId="172" fontId="44" fillId="32" borderId="117" xfId="393" applyNumberFormat="1" applyFont="1" applyFill="1" applyBorder="1" applyProtection="1"/>
    <xf numFmtId="0" fontId="6" fillId="31" borderId="0" xfId="393" applyNumberFormat="1" applyFill="1" applyAlignment="1">
      <alignment horizontal="center"/>
    </xf>
    <xf numFmtId="0" fontId="6" fillId="31" borderId="3" xfId="393" applyNumberFormat="1" applyFill="1" applyBorder="1" applyAlignment="1">
      <alignment horizontal="center"/>
    </xf>
    <xf numFmtId="0" fontId="6" fillId="31" borderId="19" xfId="393" applyNumberFormat="1" applyFill="1" applyBorder="1" applyAlignment="1">
      <alignment horizontal="center"/>
    </xf>
    <xf numFmtId="0" fontId="6" fillId="31" borderId="4" xfId="393" applyNumberFormat="1" applyFill="1" applyBorder="1" applyAlignment="1">
      <alignment horizontal="center"/>
    </xf>
    <xf numFmtId="0" fontId="6" fillId="0" borderId="4" xfId="393" applyBorder="1" applyAlignment="1">
      <alignment horizontal="center"/>
    </xf>
    <xf numFmtId="0" fontId="44" fillId="0" borderId="121" xfId="393" applyFont="1" applyBorder="1" applyAlignment="1">
      <alignment horizontal="center" wrapText="1"/>
    </xf>
    <xf numFmtId="0" fontId="44" fillId="0" borderId="122" xfId="393" applyFont="1" applyBorder="1"/>
    <xf numFmtId="0" fontId="6" fillId="0" borderId="123" xfId="393" applyBorder="1"/>
    <xf numFmtId="0" fontId="40" fillId="0" borderId="122" xfId="393" applyFont="1" applyBorder="1" applyAlignment="1">
      <alignment horizontal="center"/>
    </xf>
    <xf numFmtId="172" fontId="44" fillId="32" borderId="122" xfId="393" applyNumberFormat="1" applyFont="1" applyFill="1" applyBorder="1"/>
    <xf numFmtId="172" fontId="44" fillId="32" borderId="121" xfId="393" applyNumberFormat="1" applyFont="1" applyFill="1" applyBorder="1"/>
    <xf numFmtId="172" fontId="44" fillId="32" borderId="121" xfId="393" applyNumberFormat="1" applyFont="1" applyFill="1" applyBorder="1" applyProtection="1"/>
    <xf numFmtId="172" fontId="44" fillId="32" borderId="124" xfId="393" applyNumberFormat="1" applyFont="1" applyFill="1" applyBorder="1"/>
    <xf numFmtId="0" fontId="44" fillId="0" borderId="95" xfId="393" applyFont="1" applyBorder="1"/>
    <xf numFmtId="0" fontId="44" fillId="0" borderId="99" xfId="393" applyFont="1" applyBorder="1"/>
    <xf numFmtId="0" fontId="44" fillId="0" borderId="100" xfId="393" applyFont="1" applyBorder="1"/>
    <xf numFmtId="0" fontId="40" fillId="0" borderId="99" xfId="393" applyFont="1" applyBorder="1" applyAlignment="1">
      <alignment horizontal="center"/>
    </xf>
    <xf numFmtId="0" fontId="40" fillId="0" borderId="125" xfId="393" applyFont="1" applyBorder="1" applyAlignment="1">
      <alignment horizontal="center"/>
    </xf>
    <xf numFmtId="0" fontId="6" fillId="0" borderId="102" xfId="393" applyBorder="1"/>
    <xf numFmtId="0" fontId="6" fillId="32" borderId="5" xfId="393" applyFill="1" applyBorder="1" applyProtection="1"/>
    <xf numFmtId="0" fontId="6" fillId="23" borderId="116" xfId="393" applyFill="1" applyBorder="1"/>
    <xf numFmtId="0" fontId="44" fillId="0" borderId="102" xfId="393" applyFont="1" applyBorder="1"/>
    <xf numFmtId="0" fontId="6" fillId="0" borderId="126" xfId="393" applyBorder="1"/>
    <xf numFmtId="0" fontId="6" fillId="0" borderId="127" xfId="393" applyBorder="1"/>
    <xf numFmtId="0" fontId="6" fillId="0" borderId="39" xfId="393" applyBorder="1"/>
    <xf numFmtId="172" fontId="6" fillId="32" borderId="127" xfId="393" applyNumberFormat="1" applyFill="1" applyBorder="1"/>
    <xf numFmtId="0" fontId="6" fillId="23" borderId="127" xfId="393" applyFill="1" applyBorder="1"/>
    <xf numFmtId="0" fontId="6" fillId="23" borderId="128" xfId="393" applyFill="1" applyBorder="1"/>
    <xf numFmtId="0" fontId="6" fillId="0" borderId="97" xfId="393" applyBorder="1"/>
    <xf numFmtId="0" fontId="44" fillId="0" borderId="129" xfId="393" applyFont="1" applyBorder="1" applyAlignment="1">
      <alignment horizontal="center"/>
    </xf>
    <xf numFmtId="0" fontId="44" fillId="0" borderId="106" xfId="393" applyFont="1" applyBorder="1"/>
    <xf numFmtId="0" fontId="6" fillId="0" borderId="108" xfId="393" applyBorder="1"/>
    <xf numFmtId="0" fontId="44" fillId="0" borderId="110" xfId="393" applyFont="1" applyBorder="1"/>
    <xf numFmtId="0" fontId="6" fillId="23" borderId="130" xfId="393" applyFill="1" applyBorder="1"/>
    <xf numFmtId="0" fontId="6" fillId="23" borderId="131" xfId="393" applyFill="1" applyBorder="1"/>
    <xf numFmtId="0" fontId="44" fillId="0" borderId="132" xfId="393" applyFont="1" applyBorder="1"/>
    <xf numFmtId="0" fontId="6" fillId="23" borderId="19" xfId="393" applyFill="1" applyBorder="1"/>
    <xf numFmtId="0" fontId="6" fillId="23" borderId="133" xfId="393" applyFill="1" applyBorder="1"/>
    <xf numFmtId="0" fontId="44" fillId="0" borderId="115" xfId="393" applyFont="1" applyBorder="1"/>
    <xf numFmtId="0" fontId="6" fillId="24" borderId="116" xfId="393" applyFill="1" applyBorder="1" applyProtection="1">
      <protection locked="0"/>
    </xf>
    <xf numFmtId="0" fontId="44" fillId="0" borderId="119" xfId="393" applyFont="1" applyBorder="1"/>
    <xf numFmtId="0" fontId="6" fillId="24" borderId="120" xfId="393" applyFill="1" applyBorder="1" applyProtection="1">
      <protection locked="0"/>
    </xf>
    <xf numFmtId="0" fontId="44" fillId="0" borderId="131" xfId="393" applyFont="1" applyBorder="1" applyAlignment="1">
      <alignment horizontal="center"/>
    </xf>
    <xf numFmtId="0" fontId="6" fillId="0" borderId="133" xfId="393" applyBorder="1"/>
    <xf numFmtId="172" fontId="6" fillId="24" borderId="116" xfId="393" applyNumberFormat="1" applyFill="1" applyBorder="1" applyProtection="1">
      <protection locked="0"/>
    </xf>
    <xf numFmtId="0" fontId="44" fillId="0" borderId="134" xfId="393" applyFont="1" applyBorder="1"/>
    <xf numFmtId="0" fontId="40" fillId="0" borderId="127" xfId="393" applyFont="1" applyBorder="1" applyAlignment="1">
      <alignment horizontal="center"/>
    </xf>
    <xf numFmtId="172" fontId="6" fillId="24" borderId="128" xfId="393" applyNumberFormat="1" applyFill="1" applyBorder="1" applyProtection="1">
      <protection locked="0"/>
    </xf>
    <xf numFmtId="0" fontId="6" fillId="0" borderId="9" xfId="393" applyBorder="1"/>
    <xf numFmtId="0" fontId="6" fillId="23" borderId="9" xfId="393" applyFill="1" applyBorder="1"/>
    <xf numFmtId="172" fontId="6" fillId="32" borderId="9" xfId="393" applyNumberFormat="1" applyFill="1" applyBorder="1"/>
    <xf numFmtId="168" fontId="6" fillId="0" borderId="15" xfId="267" applyNumberFormat="1" applyFont="1" applyFill="1" applyBorder="1" applyAlignment="1">
      <alignment horizontal="center" vertical="top"/>
    </xf>
    <xf numFmtId="168" fontId="6" fillId="0" borderId="5" xfId="267" applyNumberFormat="1" applyFont="1" applyFill="1" applyBorder="1" applyAlignment="1">
      <alignment horizontal="center" vertical="top"/>
    </xf>
    <xf numFmtId="168" fontId="6" fillId="0" borderId="30" xfId="267" applyNumberFormat="1" applyFont="1" applyFill="1" applyBorder="1" applyAlignment="1">
      <alignment horizontal="center" vertical="top"/>
    </xf>
    <xf numFmtId="0" fontId="113" fillId="0" borderId="85" xfId="0" applyFont="1" applyFill="1" applyBorder="1" applyAlignment="1">
      <alignment horizontal="center"/>
    </xf>
    <xf numFmtId="0" fontId="7" fillId="0" borderId="3" xfId="0" applyFont="1" applyFill="1" applyBorder="1" applyAlignment="1">
      <alignment horizontal="left" vertical="top" wrapText="1"/>
    </xf>
    <xf numFmtId="0" fontId="6" fillId="0" borderId="3" xfId="0" applyFont="1" applyBorder="1"/>
    <xf numFmtId="0" fontId="7" fillId="0" borderId="3" xfId="0" applyFont="1" applyBorder="1" applyAlignment="1">
      <alignment horizontal="left" vertical="top" wrapText="1"/>
    </xf>
    <xf numFmtId="3" fontId="7" fillId="0" borderId="0" xfId="0" applyNumberFormat="1" applyFont="1" applyFill="1" applyBorder="1" applyAlignment="1">
      <alignment horizontal="center" vertical="center"/>
    </xf>
    <xf numFmtId="0" fontId="7" fillId="0" borderId="23" xfId="0" applyFont="1" applyFill="1" applyBorder="1" applyAlignment="1">
      <alignment horizontal="center" vertical="center"/>
    </xf>
    <xf numFmtId="0" fontId="7" fillId="0" borderId="0" xfId="0" applyFont="1" applyAlignment="1">
      <alignment horizontal="left" vertical="top" wrapText="1"/>
    </xf>
    <xf numFmtId="0" fontId="7" fillId="0" borderId="0" xfId="0" applyFont="1" applyFill="1" applyBorder="1" applyAlignment="1">
      <alignment horizontal="center" vertical="center"/>
    </xf>
    <xf numFmtId="0" fontId="6" fillId="0" borderId="0" xfId="0" applyFont="1"/>
    <xf numFmtId="167" fontId="6"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 fontId="6" fillId="0" borderId="18" xfId="0" applyNumberFormat="1" applyFont="1" applyFill="1" applyBorder="1" applyAlignment="1">
      <alignment horizontal="center"/>
    </xf>
    <xf numFmtId="167" fontId="6" fillId="0" borderId="0" xfId="0" applyNumberFormat="1" applyFont="1" applyBorder="1" applyAlignment="1">
      <alignment horizontal="center"/>
    </xf>
    <xf numFmtId="1" fontId="6" fillId="0" borderId="0" xfId="0" applyNumberFormat="1" applyFont="1" applyBorder="1" applyAlignment="1">
      <alignment horizontal="center"/>
    </xf>
    <xf numFmtId="167" fontId="6" fillId="0" borderId="0" xfId="422" applyNumberFormat="1" applyFont="1" applyFill="1" applyBorder="1" applyAlignment="1">
      <alignment horizontal="center"/>
    </xf>
    <xf numFmtId="170" fontId="6" fillId="0" borderId="0" xfId="0" applyNumberFormat="1" applyFont="1" applyBorder="1" applyAlignment="1">
      <alignment horizontal="center"/>
    </xf>
    <xf numFmtId="3" fontId="6" fillId="0" borderId="0" xfId="0" applyNumberFormat="1" applyFont="1" applyFill="1" applyBorder="1" applyAlignment="1">
      <alignment horizontal="center"/>
    </xf>
    <xf numFmtId="170" fontId="6" fillId="0" borderId="0" xfId="0" applyNumberFormat="1" applyFont="1" applyFill="1" applyBorder="1" applyAlignment="1">
      <alignment horizontal="center"/>
    </xf>
    <xf numFmtId="169" fontId="6" fillId="0" borderId="18" xfId="0" applyNumberFormat="1" applyFont="1" applyFill="1" applyBorder="1" applyAlignment="1">
      <alignment horizontal="center"/>
    </xf>
    <xf numFmtId="0" fontId="55" fillId="0" borderId="4" xfId="413" applyFont="1" applyFill="1" applyBorder="1" applyAlignment="1">
      <alignment horizontal="left"/>
    </xf>
    <xf numFmtId="174" fontId="41" fillId="0" borderId="23" xfId="267" applyNumberFormat="1" applyFont="1" applyFill="1" applyBorder="1" applyAlignment="1">
      <alignment horizontal="center" vertical="top"/>
    </xf>
    <xf numFmtId="0" fontId="11" fillId="0" borderId="19" xfId="413" applyFont="1" applyFill="1" applyBorder="1" applyAlignment="1">
      <alignment horizontal="left"/>
    </xf>
    <xf numFmtId="0" fontId="6" fillId="0" borderId="55" xfId="0" applyFont="1" applyBorder="1" applyAlignment="1">
      <alignment horizontal="center"/>
    </xf>
    <xf numFmtId="0" fontId="6" fillId="0" borderId="0" xfId="413" applyBorder="1" applyAlignment="1"/>
    <xf numFmtId="3" fontId="6" fillId="0" borderId="24" xfId="413" applyNumberFormat="1" applyFont="1" applyBorder="1"/>
    <xf numFmtId="0" fontId="17" fillId="0" borderId="3" xfId="413" applyFont="1" applyBorder="1" applyAlignment="1">
      <alignment vertical="center"/>
    </xf>
    <xf numFmtId="0" fontId="6" fillId="0" borderId="18" xfId="413" applyFont="1" applyFill="1" applyBorder="1"/>
    <xf numFmtId="0" fontId="39" fillId="0" borderId="53" xfId="413" applyFont="1" applyBorder="1" applyAlignment="1">
      <alignment horizontal="left" vertical="center" indent="1"/>
    </xf>
    <xf numFmtId="0" fontId="17" fillId="0" borderId="8" xfId="413" applyFont="1" applyBorder="1" applyAlignment="1">
      <alignment horizontal="left" vertical="center" indent="1"/>
    </xf>
    <xf numFmtId="0" fontId="17" fillId="0" borderId="55" xfId="413" applyFont="1" applyBorder="1" applyAlignment="1">
      <alignment horizontal="left" vertical="center" indent="1"/>
    </xf>
    <xf numFmtId="0" fontId="21" fillId="0" borderId="82" xfId="0" applyFont="1" applyBorder="1"/>
    <xf numFmtId="0" fontId="0" fillId="0" borderId="83" xfId="0" applyBorder="1"/>
    <xf numFmtId="0" fontId="21" fillId="0" borderId="83" xfId="0" applyFont="1" applyBorder="1" applyAlignment="1">
      <alignment horizontal="center"/>
    </xf>
    <xf numFmtId="195" fontId="6" fillId="0" borderId="53" xfId="268" applyNumberFormat="1" applyFont="1" applyBorder="1"/>
    <xf numFmtId="195" fontId="6" fillId="0" borderId="8" xfId="268" applyNumberFormat="1" applyFont="1" applyBorder="1"/>
    <xf numFmtId="195" fontId="6" fillId="0" borderId="55" xfId="268" applyNumberFormat="1" applyFont="1" applyBorder="1"/>
    <xf numFmtId="0" fontId="7" fillId="0" borderId="15" xfId="413" applyFont="1" applyBorder="1" applyAlignment="1">
      <alignment horizontal="left" indent="1"/>
    </xf>
    <xf numFmtId="0" fontId="7" fillId="0" borderId="5" xfId="413" applyFont="1" applyBorder="1"/>
    <xf numFmtId="164" fontId="7" fillId="0" borderId="5" xfId="267" applyNumberFormat="1" applyFont="1" applyBorder="1"/>
    <xf numFmtId="164" fontId="7" fillId="0" borderId="30" xfId="267" applyNumberFormat="1" applyFont="1" applyBorder="1"/>
    <xf numFmtId="0" fontId="6" fillId="0" borderId="8" xfId="0" applyFont="1" applyBorder="1" applyAlignment="1">
      <alignment horizontal="center"/>
    </xf>
    <xf numFmtId="195" fontId="6" fillId="0" borderId="22" xfId="268" applyNumberFormat="1" applyFont="1" applyBorder="1"/>
    <xf numFmtId="195" fontId="6" fillId="0" borderId="3" xfId="268" applyNumberFormat="1" applyFont="1" applyBorder="1"/>
    <xf numFmtId="195" fontId="6" fillId="0" borderId="19" xfId="268" applyNumberFormat="1" applyFont="1" applyBorder="1"/>
    <xf numFmtId="195" fontId="88" fillId="0" borderId="55" xfId="268" applyNumberFormat="1" applyFont="1" applyBorder="1"/>
    <xf numFmtId="0" fontId="17" fillId="0" borderId="0" xfId="413" applyFont="1" applyFill="1" applyBorder="1" applyAlignment="1">
      <alignment horizontal="left" vertical="center" indent="1"/>
    </xf>
    <xf numFmtId="195" fontId="6" fillId="0" borderId="0" xfId="268" applyNumberFormat="1" applyFont="1" applyFill="1" applyBorder="1"/>
    <xf numFmtId="195" fontId="0" fillId="0" borderId="0" xfId="0" applyNumberFormat="1"/>
    <xf numFmtId="0" fontId="0" fillId="36" borderId="0" xfId="0" applyFill="1"/>
    <xf numFmtId="0" fontId="0" fillId="0" borderId="0" xfId="0" applyAlignment="1">
      <alignment wrapText="1"/>
    </xf>
    <xf numFmtId="0" fontId="0" fillId="36" borderId="0" xfId="0" applyFill="1" applyAlignment="1">
      <alignment wrapText="1"/>
    </xf>
    <xf numFmtId="168" fontId="0" fillId="0" borderId="0" xfId="267" applyNumberFormat="1" applyFont="1"/>
    <xf numFmtId="0" fontId="7" fillId="0" borderId="0" xfId="413" applyFont="1" applyBorder="1" applyAlignment="1">
      <alignment horizontal="left" vertical="top" wrapText="1"/>
    </xf>
    <xf numFmtId="0" fontId="16" fillId="0" borderId="3" xfId="413" applyFont="1" applyFill="1" applyBorder="1" applyAlignment="1">
      <alignment vertical="center"/>
    </xf>
    <xf numFmtId="0" fontId="7" fillId="0" borderId="3" xfId="413" applyFont="1" applyBorder="1" applyAlignment="1">
      <alignment horizontal="left" vertical="top" wrapText="1"/>
    </xf>
    <xf numFmtId="0" fontId="7" fillId="0" borderId="18" xfId="413" applyFont="1" applyBorder="1" applyAlignment="1">
      <alignment horizontal="left" vertical="top" wrapText="1"/>
    </xf>
    <xf numFmtId="0" fontId="7" fillId="0" borderId="19" xfId="413" applyFont="1" applyBorder="1" applyAlignment="1">
      <alignment horizontal="left" vertical="top" wrapText="1"/>
    </xf>
    <xf numFmtId="0" fontId="7" fillId="0" borderId="4" xfId="413" applyFont="1" applyBorder="1" applyAlignment="1">
      <alignment horizontal="left" vertical="top" wrapText="1"/>
    </xf>
    <xf numFmtId="0" fontId="7" fillId="0" borderId="23" xfId="413" applyFont="1" applyBorder="1" applyAlignment="1">
      <alignment horizontal="left" vertical="top" wrapText="1"/>
    </xf>
    <xf numFmtId="0" fontId="6" fillId="0" borderId="3" xfId="421" applyFont="1" applyBorder="1"/>
    <xf numFmtId="0" fontId="6" fillId="0" borderId="0" xfId="421" applyFont="1" applyBorder="1" applyAlignment="1">
      <alignment wrapText="1"/>
    </xf>
    <xf numFmtId="174" fontId="7" fillId="0" borderId="19" xfId="421" applyNumberFormat="1" applyFont="1" applyBorder="1" applyAlignment="1">
      <alignment horizontal="center"/>
    </xf>
    <xf numFmtId="0" fontId="6" fillId="0" borderId="0" xfId="421" applyFont="1" applyBorder="1" applyAlignment="1">
      <alignment vertical="top" wrapText="1"/>
    </xf>
    <xf numFmtId="169" fontId="23" fillId="0" borderId="0" xfId="0" applyNumberFormat="1" applyFont="1" applyFill="1" applyBorder="1" applyAlignment="1">
      <alignment horizontal="center"/>
    </xf>
    <xf numFmtId="169" fontId="23" fillId="0" borderId="0" xfId="0" applyNumberFormat="1" applyFont="1" applyBorder="1" applyAlignment="1">
      <alignment horizontal="center"/>
    </xf>
    <xf numFmtId="0" fontId="7" fillId="0" borderId="24" xfId="421" applyFont="1" applyBorder="1"/>
    <xf numFmtId="17" fontId="7" fillId="0" borderId="18" xfId="421" applyNumberFormat="1" applyFont="1" applyFill="1" applyBorder="1" applyAlignment="1">
      <alignment horizontal="center" vertical="center" wrapText="1"/>
    </xf>
    <xf numFmtId="196" fontId="44" fillId="0" borderId="3" xfId="421" applyNumberFormat="1" applyFont="1" applyFill="1" applyBorder="1"/>
    <xf numFmtId="37" fontId="45" fillId="27" borderId="0" xfId="0" applyNumberFormat="1" applyFont="1" applyFill="1" applyBorder="1" applyAlignment="1">
      <alignment horizontal="center"/>
    </xf>
    <xf numFmtId="176" fontId="123" fillId="27" borderId="0" xfId="0" applyNumberFormat="1" applyFont="1" applyFill="1" applyAlignment="1">
      <alignment horizontal="right" vertical="center" wrapText="1"/>
    </xf>
    <xf numFmtId="176" fontId="123" fillId="27" borderId="47" xfId="0" applyNumberFormat="1" applyFont="1" applyFill="1" applyBorder="1" applyAlignment="1">
      <alignment horizontal="right" vertical="center" wrapText="1"/>
    </xf>
    <xf numFmtId="176" fontId="123" fillId="27" borderId="43" xfId="0" applyNumberFormat="1" applyFont="1" applyFill="1" applyBorder="1" applyAlignment="1">
      <alignment horizontal="right" vertical="center" wrapText="1"/>
    </xf>
    <xf numFmtId="0" fontId="124" fillId="27" borderId="0" xfId="0" applyFont="1" applyFill="1" applyAlignment="1">
      <alignment horizontal="center" vertical="top" wrapText="1"/>
    </xf>
    <xf numFmtId="0" fontId="0" fillId="27" borderId="0" xfId="0" applyFill="1"/>
    <xf numFmtId="0" fontId="0" fillId="27" borderId="0" xfId="0" applyFill="1" applyAlignment="1">
      <alignment horizontal="center" wrapText="1"/>
    </xf>
    <xf numFmtId="37" fontId="123" fillId="27" borderId="0" xfId="0" applyNumberFormat="1" applyFont="1" applyFill="1" applyAlignment="1">
      <alignment horizontal="left" wrapText="1"/>
    </xf>
    <xf numFmtId="37" fontId="126" fillId="27" borderId="45" xfId="0" quotePrefix="1" applyNumberFormat="1" applyFont="1" applyFill="1" applyBorder="1" applyAlignment="1">
      <alignment horizontal="center" wrapText="1"/>
    </xf>
    <xf numFmtId="37" fontId="126" fillId="27" borderId="26" xfId="0" quotePrefix="1" applyNumberFormat="1" applyFont="1" applyFill="1" applyBorder="1" applyAlignment="1">
      <alignment horizontal="center" wrapText="1"/>
    </xf>
    <xf numFmtId="37" fontId="126" fillId="27" borderId="66" xfId="0" quotePrefix="1" applyNumberFormat="1" applyFont="1" applyFill="1" applyBorder="1" applyAlignment="1">
      <alignment horizontal="center" wrapText="1"/>
    </xf>
    <xf numFmtId="37" fontId="126" fillId="27" borderId="43" xfId="0" quotePrefix="1" applyNumberFormat="1" applyFont="1" applyFill="1" applyBorder="1" applyAlignment="1">
      <alignment horizontal="center" wrapText="1"/>
    </xf>
    <xf numFmtId="37" fontId="126" fillId="27" borderId="0" xfId="0" quotePrefix="1" applyNumberFormat="1" applyFont="1" applyFill="1" applyAlignment="1">
      <alignment horizontal="center" wrapText="1"/>
    </xf>
    <xf numFmtId="37" fontId="126" fillId="27" borderId="27" xfId="0" quotePrefix="1" applyNumberFormat="1" applyFont="1" applyFill="1" applyBorder="1" applyAlignment="1">
      <alignment horizontal="center" wrapText="1"/>
    </xf>
    <xf numFmtId="37" fontId="126" fillId="27" borderId="44" xfId="0" quotePrefix="1" applyNumberFormat="1" applyFont="1" applyFill="1" applyBorder="1" applyAlignment="1">
      <alignment horizontal="center" wrapText="1"/>
    </xf>
    <xf numFmtId="37" fontId="123" fillId="27" borderId="0" xfId="0" applyNumberFormat="1" applyFont="1" applyFill="1" applyAlignment="1">
      <alignment horizontal="left" vertical="center" wrapText="1"/>
    </xf>
    <xf numFmtId="37" fontId="126" fillId="27" borderId="46" xfId="0" quotePrefix="1" applyNumberFormat="1" applyFont="1" applyFill="1" applyBorder="1" applyAlignment="1">
      <alignment horizontal="center" vertical="center" wrapText="1"/>
    </xf>
    <xf numFmtId="37" fontId="126" fillId="27" borderId="26" xfId="0" applyNumberFormat="1" applyFont="1" applyFill="1" applyBorder="1" applyAlignment="1">
      <alignment horizontal="center" vertical="center" wrapText="1"/>
    </xf>
    <xf numFmtId="37" fontId="126" fillId="27" borderId="68" xfId="0" quotePrefix="1" applyNumberFormat="1" applyFont="1" applyFill="1" applyBorder="1" applyAlignment="1">
      <alignment horizontal="center" vertical="center" wrapText="1"/>
    </xf>
    <xf numFmtId="37" fontId="126" fillId="27" borderId="47" xfId="0" quotePrefix="1" applyNumberFormat="1" applyFont="1" applyFill="1" applyBorder="1" applyAlignment="1">
      <alignment horizontal="center" vertical="center" wrapText="1"/>
    </xf>
    <xf numFmtId="37" fontId="126" fillId="27" borderId="0" xfId="0" applyNumberFormat="1" applyFont="1" applyFill="1" applyAlignment="1">
      <alignment horizontal="center" vertical="center" wrapText="1"/>
    </xf>
    <xf numFmtId="37" fontId="126" fillId="27" borderId="0" xfId="0" quotePrefix="1" applyNumberFormat="1" applyFont="1" applyFill="1" applyAlignment="1">
      <alignment horizontal="center" vertical="center" wrapText="1"/>
    </xf>
    <xf numFmtId="37" fontId="126" fillId="27" borderId="27" xfId="0" applyNumberFormat="1" applyFont="1" applyFill="1" applyBorder="1" applyAlignment="1">
      <alignment horizontal="center" vertical="center" wrapText="1"/>
    </xf>
    <xf numFmtId="37" fontId="126" fillId="27" borderId="44" xfId="0" quotePrefix="1" applyNumberFormat="1" applyFont="1" applyFill="1" applyBorder="1" applyAlignment="1">
      <alignment horizontal="center" vertical="center" wrapText="1"/>
    </xf>
    <xf numFmtId="37" fontId="126" fillId="27" borderId="46" xfId="0" quotePrefix="1" applyNumberFormat="1" applyFont="1" applyFill="1" applyBorder="1" applyAlignment="1">
      <alignment horizontal="center" wrapText="1"/>
    </xf>
    <xf numFmtId="37" fontId="126" fillId="27" borderId="26" xfId="0" applyNumberFormat="1" applyFont="1" applyFill="1" applyBorder="1" applyAlignment="1">
      <alignment horizontal="center" wrapText="1"/>
    </xf>
    <xf numFmtId="37" fontId="126" fillId="27" borderId="68" xfId="0" quotePrefix="1" applyNumberFormat="1" applyFont="1" applyFill="1" applyBorder="1" applyAlignment="1">
      <alignment horizontal="center" wrapText="1"/>
    </xf>
    <xf numFmtId="37" fontId="126" fillId="27" borderId="47" xfId="0" quotePrefix="1" applyNumberFormat="1" applyFont="1" applyFill="1" applyBorder="1" applyAlignment="1">
      <alignment horizontal="center" wrapText="1"/>
    </xf>
    <xf numFmtId="37" fontId="126" fillId="27" borderId="0" xfId="0" applyNumberFormat="1" applyFont="1" applyFill="1" applyAlignment="1">
      <alignment horizontal="center" wrapText="1"/>
    </xf>
    <xf numFmtId="37" fontId="126" fillId="27" borderId="27" xfId="0" applyNumberFormat="1" applyFont="1" applyFill="1" applyBorder="1" applyAlignment="1">
      <alignment horizontal="center" wrapText="1"/>
    </xf>
    <xf numFmtId="37" fontId="126" fillId="27" borderId="48" xfId="0" quotePrefix="1" applyNumberFormat="1" applyFont="1" applyFill="1" applyBorder="1" applyAlignment="1">
      <alignment horizontal="center" wrapText="1"/>
    </xf>
    <xf numFmtId="176" fontId="123" fillId="27" borderId="0" xfId="0" applyNumberFormat="1" applyFont="1" applyFill="1" applyAlignment="1">
      <alignment horizontal="left" vertical="center" wrapText="1"/>
    </xf>
    <xf numFmtId="176" fontId="123" fillId="27" borderId="0" xfId="0" quotePrefix="1" applyNumberFormat="1" applyFont="1" applyFill="1" applyAlignment="1">
      <alignment horizontal="left" vertical="center" wrapText="1"/>
    </xf>
    <xf numFmtId="176" fontId="123" fillId="27" borderId="0" xfId="0" quotePrefix="1" applyNumberFormat="1" applyFont="1" applyFill="1" applyAlignment="1">
      <alignment horizontal="right" vertical="center" wrapText="1"/>
    </xf>
    <xf numFmtId="176" fontId="126" fillId="23" borderId="43" xfId="0" quotePrefix="1" applyNumberFormat="1" applyFont="1" applyFill="1" applyBorder="1" applyAlignment="1">
      <alignment horizontal="left" vertical="center" wrapText="1"/>
    </xf>
    <xf numFmtId="176" fontId="126" fillId="23" borderId="43" xfId="0" applyNumberFormat="1" applyFont="1" applyFill="1" applyBorder="1" applyAlignment="1">
      <alignment horizontal="right" vertical="center" wrapText="1"/>
    </xf>
    <xf numFmtId="176" fontId="123" fillId="27" borderId="47" xfId="0" quotePrefix="1" applyNumberFormat="1" applyFont="1" applyFill="1" applyBorder="1" applyAlignment="1">
      <alignment horizontal="left" vertical="center" wrapText="1"/>
    </xf>
    <xf numFmtId="176" fontId="127" fillId="27" borderId="0" xfId="0" quotePrefix="1" applyNumberFormat="1" applyFont="1" applyFill="1" applyAlignment="1">
      <alignment horizontal="left" vertical="center" wrapText="1" indent="4"/>
    </xf>
    <xf numFmtId="176" fontId="127" fillId="27" borderId="0" xfId="0" applyNumberFormat="1" applyFont="1" applyFill="1" applyAlignment="1">
      <alignment horizontal="right" vertical="center" wrapText="1"/>
    </xf>
    <xf numFmtId="176" fontId="123" fillId="27" borderId="43" xfId="0" quotePrefix="1" applyNumberFormat="1" applyFont="1" applyFill="1" applyBorder="1" applyAlignment="1">
      <alignment horizontal="left" vertical="center" wrapText="1"/>
    </xf>
    <xf numFmtId="176" fontId="126" fillId="23" borderId="43" xfId="0" applyNumberFormat="1" applyFont="1" applyFill="1" applyBorder="1" applyAlignment="1">
      <alignment horizontal="right" vertical="center" wrapText="1" indent="4"/>
    </xf>
    <xf numFmtId="176" fontId="126" fillId="27" borderId="0" xfId="0" applyNumberFormat="1" applyFont="1" applyFill="1" applyAlignment="1">
      <alignment horizontal="right" vertical="center" wrapText="1"/>
    </xf>
    <xf numFmtId="176" fontId="126" fillId="27" borderId="0" xfId="0" applyNumberFormat="1" applyFont="1" applyFill="1" applyAlignment="1">
      <alignment horizontal="left" vertical="center" wrapText="1"/>
    </xf>
    <xf numFmtId="0" fontId="0" fillId="27" borderId="0" xfId="0" applyFill="1" applyAlignment="1">
      <alignment wrapText="1"/>
    </xf>
    <xf numFmtId="0" fontId="128" fillId="27" borderId="0" xfId="0" applyFont="1" applyFill="1"/>
    <xf numFmtId="193" fontId="59" fillId="0" borderId="49" xfId="0" applyNumberFormat="1" applyFont="1" applyBorder="1" applyAlignment="1">
      <alignment horizontal="right" wrapText="1"/>
    </xf>
    <xf numFmtId="179" fontId="59" fillId="0" borderId="49" xfId="0" applyNumberFormat="1" applyFont="1" applyBorder="1" applyAlignment="1">
      <alignment horizontal="right" wrapText="1"/>
    </xf>
    <xf numFmtId="174" fontId="7" fillId="0" borderId="0" xfId="421" applyNumberFormat="1" applyFont="1" applyFill="1" applyBorder="1" applyAlignment="1">
      <alignment horizontal="right" vertical="center"/>
    </xf>
    <xf numFmtId="174" fontId="7" fillId="0" borderId="18" xfId="421" applyNumberFormat="1" applyFont="1" applyFill="1" applyBorder="1" applyAlignment="1">
      <alignment horizontal="right"/>
    </xf>
    <xf numFmtId="174" fontId="7" fillId="0" borderId="3" xfId="421" applyNumberFormat="1" applyFont="1" applyFill="1" applyBorder="1" applyAlignment="1">
      <alignment horizontal="right" vertical="center"/>
    </xf>
    <xf numFmtId="0" fontId="7" fillId="0" borderId="0" xfId="393" applyFont="1"/>
    <xf numFmtId="178" fontId="0" fillId="0" borderId="0" xfId="267" applyNumberFormat="1" applyFont="1"/>
    <xf numFmtId="0" fontId="7" fillId="0" borderId="0" xfId="393" applyFont="1" applyAlignment="1">
      <alignment horizontal="center"/>
    </xf>
    <xf numFmtId="178" fontId="7" fillId="0" borderId="0" xfId="267" applyNumberFormat="1" applyFont="1" applyAlignment="1">
      <alignment horizontal="center"/>
    </xf>
    <xf numFmtId="0" fontId="6" fillId="23" borderId="70" xfId="393" applyFill="1" applyBorder="1"/>
    <xf numFmtId="0" fontId="6" fillId="23" borderId="71" xfId="393" applyFill="1" applyBorder="1"/>
    <xf numFmtId="0" fontId="6" fillId="23" borderId="72" xfId="393" applyFill="1" applyBorder="1"/>
    <xf numFmtId="0" fontId="6" fillId="23" borderId="135" xfId="393" applyFill="1" applyBorder="1"/>
    <xf numFmtId="0" fontId="6" fillId="23" borderId="0" xfId="393" applyFill="1" applyBorder="1"/>
    <xf numFmtId="0" fontId="6" fillId="23" borderId="40" xfId="393" applyFill="1" applyBorder="1"/>
    <xf numFmtId="164" fontId="37" fillId="0" borderId="0" xfId="393" applyNumberFormat="1" applyFont="1" applyFill="1" applyBorder="1"/>
    <xf numFmtId="199" fontId="0" fillId="0" borderId="0" xfId="267" applyNumberFormat="1" applyFont="1" applyAlignment="1">
      <alignment horizontal="center"/>
    </xf>
    <xf numFmtId="0" fontId="6" fillId="23" borderId="136" xfId="393" applyFill="1" applyBorder="1"/>
    <xf numFmtId="0" fontId="6" fillId="23" borderId="108" xfId="393" applyFill="1" applyBorder="1"/>
    <xf numFmtId="0" fontId="6" fillId="23" borderId="137" xfId="393" applyFill="1" applyBorder="1"/>
    <xf numFmtId="199" fontId="0" fillId="0" borderId="4" xfId="267" applyNumberFormat="1" applyFont="1" applyBorder="1" applyAlignment="1">
      <alignment horizontal="center"/>
    </xf>
    <xf numFmtId="199" fontId="7" fillId="0" borderId="0" xfId="267" applyNumberFormat="1" applyFont="1" applyAlignment="1">
      <alignment horizontal="center"/>
    </xf>
    <xf numFmtId="164" fontId="8" fillId="0" borderId="0" xfId="393" applyNumberFormat="1" applyFont="1" applyFill="1" applyBorder="1"/>
    <xf numFmtId="49" fontId="37" fillId="0" borderId="0" xfId="393" applyNumberFormat="1" applyFont="1" applyFill="1" applyBorder="1" applyAlignment="1" applyProtection="1">
      <alignment horizontal="left"/>
    </xf>
    <xf numFmtId="199" fontId="0" fillId="0" borderId="0" xfId="267" applyNumberFormat="1" applyFont="1" applyBorder="1" applyAlignment="1">
      <alignment horizontal="center"/>
    </xf>
    <xf numFmtId="178" fontId="0" fillId="0" borderId="0" xfId="267" applyNumberFormat="1" applyFont="1" applyAlignment="1">
      <alignment horizontal="center"/>
    </xf>
    <xf numFmtId="199" fontId="0" fillId="0" borderId="20" xfId="267" applyNumberFormat="1" applyFont="1" applyBorder="1" applyAlignment="1">
      <alignment horizontal="center"/>
    </xf>
    <xf numFmtId="199" fontId="0" fillId="0" borderId="24" xfId="267" applyNumberFormat="1" applyFont="1" applyBorder="1" applyAlignment="1">
      <alignment horizontal="center"/>
    </xf>
    <xf numFmtId="0" fontId="7" fillId="0" borderId="19" xfId="393" applyFont="1" applyBorder="1"/>
    <xf numFmtId="0" fontId="6" fillId="0" borderId="23" xfId="393" applyBorder="1" applyAlignment="1">
      <alignment horizontal="center"/>
    </xf>
    <xf numFmtId="0" fontId="16" fillId="0" borderId="20" xfId="393" applyFont="1" applyBorder="1"/>
    <xf numFmtId="200" fontId="0" fillId="0" borderId="20" xfId="267" applyNumberFormat="1" applyFont="1" applyBorder="1" applyAlignment="1">
      <alignment horizontal="center"/>
    </xf>
    <xf numFmtId="200" fontId="0" fillId="0" borderId="24" xfId="267" applyNumberFormat="1" applyFont="1" applyBorder="1" applyAlignment="1">
      <alignment horizontal="center"/>
    </xf>
    <xf numFmtId="0" fontId="7" fillId="0" borderId="4" xfId="393" applyFont="1" applyBorder="1"/>
    <xf numFmtId="0" fontId="7" fillId="0" borderId="31" xfId="393" applyFont="1" applyBorder="1"/>
    <xf numFmtId="0" fontId="6" fillId="0" borderId="33" xfId="393" applyBorder="1"/>
    <xf numFmtId="1" fontId="6" fillId="0" borderId="33" xfId="393" applyNumberFormat="1" applyBorder="1" applyAlignment="1">
      <alignment horizontal="center"/>
    </xf>
    <xf numFmtId="1" fontId="6" fillId="0" borderId="34" xfId="393" applyNumberFormat="1" applyBorder="1" applyAlignment="1">
      <alignment horizontal="center"/>
    </xf>
    <xf numFmtId="0" fontId="15" fillId="0" borderId="0" xfId="393" applyFont="1"/>
    <xf numFmtId="43" fontId="0" fillId="0" borderId="0" xfId="267" applyFont="1" applyBorder="1" applyAlignment="1">
      <alignment horizontal="center"/>
    </xf>
    <xf numFmtId="0" fontId="7" fillId="37" borderId="31" xfId="393" applyFont="1" applyFill="1" applyBorder="1"/>
    <xf numFmtId="0" fontId="6" fillId="37" borderId="33" xfId="393" applyFill="1" applyBorder="1"/>
    <xf numFmtId="0" fontId="7" fillId="37" borderId="33" xfId="393" applyFont="1" applyFill="1" applyBorder="1" applyAlignment="1">
      <alignment horizontal="center"/>
    </xf>
    <xf numFmtId="178" fontId="7" fillId="37" borderId="33" xfId="267" applyNumberFormat="1" applyFont="1" applyFill="1" applyBorder="1" applyAlignment="1">
      <alignment horizontal="center"/>
    </xf>
    <xf numFmtId="0" fontId="7" fillId="37" borderId="34" xfId="393" applyFont="1" applyFill="1" applyBorder="1" applyAlignment="1">
      <alignment horizontal="center"/>
    </xf>
    <xf numFmtId="0" fontId="7" fillId="37" borderId="0" xfId="393" applyFont="1" applyFill="1"/>
    <xf numFmtId="0" fontId="6" fillId="37" borderId="0" xfId="393" applyFill="1"/>
    <xf numFmtId="0" fontId="6" fillId="37" borderId="0" xfId="393" applyFill="1" applyBorder="1"/>
    <xf numFmtId="178" fontId="6" fillId="37" borderId="0" xfId="267" applyNumberFormat="1" applyFont="1" applyFill="1" applyBorder="1"/>
    <xf numFmtId="0" fontId="7" fillId="37" borderId="22" xfId="393" applyFont="1" applyFill="1" applyBorder="1"/>
    <xf numFmtId="0" fontId="6" fillId="37" borderId="20" xfId="393" applyFill="1" applyBorder="1"/>
    <xf numFmtId="199" fontId="6" fillId="37" borderId="20" xfId="267" applyNumberFormat="1" applyFont="1" applyFill="1" applyBorder="1" applyAlignment="1">
      <alignment horizontal="center"/>
    </xf>
    <xf numFmtId="199" fontId="6" fillId="37" borderId="24" xfId="267" applyNumberFormat="1" applyFont="1" applyFill="1" applyBorder="1" applyAlignment="1">
      <alignment horizontal="center"/>
    </xf>
    <xf numFmtId="0" fontId="7" fillId="37" borderId="19" xfId="393" applyFont="1" applyFill="1" applyBorder="1"/>
    <xf numFmtId="0" fontId="6" fillId="37" borderId="4" xfId="393" applyFill="1" applyBorder="1"/>
    <xf numFmtId="0" fontId="6" fillId="37" borderId="4" xfId="393" applyFill="1" applyBorder="1" applyAlignment="1">
      <alignment horizontal="center"/>
    </xf>
    <xf numFmtId="0" fontId="6" fillId="37" borderId="23" xfId="393" applyFill="1" applyBorder="1" applyAlignment="1">
      <alignment horizontal="center"/>
    </xf>
    <xf numFmtId="178" fontId="6" fillId="37" borderId="0" xfId="267" applyNumberFormat="1" applyFont="1" applyFill="1" applyAlignment="1">
      <alignment horizontal="center"/>
    </xf>
    <xf numFmtId="200" fontId="6" fillId="37" borderId="20" xfId="267" applyNumberFormat="1" applyFont="1" applyFill="1" applyBorder="1" applyAlignment="1">
      <alignment horizontal="center"/>
    </xf>
    <xf numFmtId="200" fontId="6" fillId="37" borderId="24" xfId="267" applyNumberFormat="1" applyFont="1" applyFill="1" applyBorder="1" applyAlignment="1">
      <alignment horizontal="center"/>
    </xf>
    <xf numFmtId="178" fontId="6" fillId="37" borderId="0" xfId="267" applyNumberFormat="1" applyFont="1" applyFill="1"/>
    <xf numFmtId="1" fontId="6" fillId="37" borderId="33" xfId="393" applyNumberFormat="1" applyFill="1" applyBorder="1" applyAlignment="1">
      <alignment horizontal="center"/>
    </xf>
    <xf numFmtId="1" fontId="6" fillId="37" borderId="34" xfId="393" applyNumberFormat="1" applyFill="1" applyBorder="1" applyAlignment="1">
      <alignment horizontal="center"/>
    </xf>
    <xf numFmtId="178" fontId="0" fillId="0" borderId="0" xfId="267" applyNumberFormat="1" applyFont="1" applyBorder="1"/>
    <xf numFmtId="0" fontId="53" fillId="0" borderId="0" xfId="393" applyFont="1"/>
    <xf numFmtId="0" fontId="53" fillId="0" borderId="0" xfId="393" applyFont="1" applyBorder="1"/>
    <xf numFmtId="1" fontId="53" fillId="0" borderId="0" xfId="393" applyNumberFormat="1" applyFont="1" applyBorder="1" applyAlignment="1">
      <alignment horizontal="center"/>
    </xf>
    <xf numFmtId="0" fontId="6" fillId="0" borderId="3" xfId="422" applyFont="1" applyFill="1" applyBorder="1" applyAlignment="1">
      <alignment horizontal="left" indent="1"/>
    </xf>
    <xf numFmtId="0" fontId="23" fillId="0" borderId="3" xfId="422" applyFont="1" applyFill="1" applyBorder="1" applyAlignment="1">
      <alignment horizontal="left" indent="1"/>
    </xf>
    <xf numFmtId="0" fontId="6" fillId="0" borderId="24" xfId="413" applyFont="1" applyBorder="1" applyAlignment="1"/>
    <xf numFmtId="167" fontId="6" fillId="0" borderId="0" xfId="393" applyNumberFormat="1" applyFont="1" applyBorder="1" applyAlignment="1">
      <alignment horizontal="center"/>
    </xf>
    <xf numFmtId="1" fontId="6" fillId="0" borderId="0" xfId="393" applyNumberFormat="1" applyFont="1" applyBorder="1" applyAlignment="1">
      <alignment horizontal="center"/>
    </xf>
    <xf numFmtId="169" fontId="6" fillId="0" borderId="0" xfId="393" applyNumberFormat="1" applyFont="1" applyFill="1" applyBorder="1" applyAlignment="1">
      <alignment horizontal="center"/>
    </xf>
    <xf numFmtId="170" fontId="6" fillId="0" borderId="0" xfId="393" applyNumberFormat="1" applyFont="1" applyFill="1" applyBorder="1" applyAlignment="1">
      <alignment horizontal="center"/>
    </xf>
    <xf numFmtId="169" fontId="6" fillId="0" borderId="18" xfId="393" applyNumberFormat="1" applyFont="1" applyFill="1" applyBorder="1" applyAlignment="1">
      <alignment horizontal="center"/>
    </xf>
    <xf numFmtId="169" fontId="6" fillId="0" borderId="0" xfId="393" applyNumberFormat="1" applyFont="1" applyBorder="1" applyAlignment="1">
      <alignment horizontal="center"/>
    </xf>
    <xf numFmtId="3" fontId="7" fillId="0" borderId="4" xfId="393" applyNumberFormat="1" applyFont="1" applyBorder="1" applyAlignment="1">
      <alignment horizontal="center"/>
    </xf>
    <xf numFmtId="0" fontId="7" fillId="0" borderId="0" xfId="393" applyFont="1" applyBorder="1" applyAlignment="1"/>
    <xf numFmtId="0" fontId="7" fillId="0" borderId="18" xfId="393" applyFont="1" applyBorder="1" applyAlignment="1"/>
    <xf numFmtId="0" fontId="7" fillId="0" borderId="4" xfId="393" applyFont="1" applyBorder="1" applyAlignment="1"/>
    <xf numFmtId="0" fontId="7" fillId="0" borderId="23" xfId="393" applyFont="1" applyBorder="1" applyAlignment="1"/>
    <xf numFmtId="0" fontId="7" fillId="0" borderId="22" xfId="393" applyFont="1" applyBorder="1" applyAlignment="1">
      <alignment horizontal="left" indent="1"/>
    </xf>
    <xf numFmtId="0" fontId="7" fillId="0" borderId="22" xfId="413" applyFont="1" applyBorder="1" applyAlignment="1">
      <alignment horizontal="left" indent="1"/>
    </xf>
    <xf numFmtId="3" fontId="7" fillId="0" borderId="20" xfId="413" applyNumberFormat="1" applyFont="1" applyBorder="1" applyAlignment="1">
      <alignment vertical="top" wrapText="1"/>
    </xf>
    <xf numFmtId="3" fontId="6" fillId="0" borderId="20" xfId="413" applyNumberFormat="1" applyFont="1" applyBorder="1" applyAlignment="1">
      <alignment vertical="top" wrapText="1"/>
    </xf>
    <xf numFmtId="0" fontId="6" fillId="0" borderId="22" xfId="393" applyFont="1" applyBorder="1" applyAlignment="1">
      <alignment horizontal="center" vertical="center"/>
    </xf>
    <xf numFmtId="0" fontId="6" fillId="0" borderId="20" xfId="393" applyFont="1" applyBorder="1" applyAlignment="1">
      <alignment horizontal="center" vertical="center"/>
    </xf>
    <xf numFmtId="0" fontId="6" fillId="0" borderId="24" xfId="393" applyFont="1" applyBorder="1" applyAlignment="1">
      <alignment horizontal="center" vertical="center"/>
    </xf>
    <xf numFmtId="197" fontId="6" fillId="0" borderId="90" xfId="393" applyNumberFormat="1" applyBorder="1" applyAlignment="1"/>
    <xf numFmtId="197" fontId="6" fillId="0" borderId="89" xfId="393" applyNumberFormat="1" applyBorder="1" applyAlignment="1"/>
    <xf numFmtId="197" fontId="6" fillId="0" borderId="88" xfId="393" applyNumberFormat="1" applyBorder="1" applyAlignment="1"/>
    <xf numFmtId="0" fontId="6" fillId="0" borderId="55" xfId="393" applyFont="1" applyBorder="1" applyAlignment="1">
      <alignment horizontal="center"/>
    </xf>
    <xf numFmtId="197" fontId="6" fillId="0" borderId="3" xfId="393" applyNumberFormat="1" applyBorder="1" applyAlignment="1"/>
    <xf numFmtId="197" fontId="6" fillId="0" borderId="0" xfId="393" applyNumberFormat="1" applyBorder="1" applyAlignment="1"/>
    <xf numFmtId="197" fontId="6" fillId="0" borderId="18" xfId="393" applyNumberFormat="1" applyBorder="1" applyAlignment="1"/>
    <xf numFmtId="197" fontId="88" fillId="0" borderId="92" xfId="393" applyNumberFormat="1" applyFont="1" applyBorder="1" applyAlignment="1"/>
    <xf numFmtId="197" fontId="88" fillId="0" borderId="93" xfId="393" applyNumberFormat="1" applyFont="1" applyBorder="1" applyAlignment="1"/>
    <xf numFmtId="197" fontId="88" fillId="0" borderId="94" xfId="393" applyNumberFormat="1" applyFont="1" applyBorder="1" applyAlignment="1"/>
    <xf numFmtId="0" fontId="6" fillId="0" borderId="9" xfId="393" applyFont="1" applyBorder="1" applyAlignment="1">
      <alignment horizontal="center"/>
    </xf>
    <xf numFmtId="1" fontId="17" fillId="0" borderId="0" xfId="393" applyNumberFormat="1" applyFont="1" applyFill="1" applyBorder="1" applyAlignment="1">
      <alignment horizontal="center"/>
    </xf>
    <xf numFmtId="167" fontId="17" fillId="0" borderId="0" xfId="450" applyNumberFormat="1" applyFont="1" applyFill="1" applyBorder="1" applyAlignment="1">
      <alignment horizontal="center"/>
    </xf>
    <xf numFmtId="1" fontId="20" fillId="0" borderId="0" xfId="393" applyNumberFormat="1" applyFont="1" applyFill="1" applyBorder="1" applyAlignment="1">
      <alignment horizontal="center"/>
    </xf>
    <xf numFmtId="167" fontId="17" fillId="0" borderId="0" xfId="422" applyNumberFormat="1" applyFont="1" applyFill="1" applyBorder="1" applyAlignment="1">
      <alignment horizontal="center"/>
    </xf>
    <xf numFmtId="0" fontId="21" fillId="0" borderId="83" xfId="0" applyFont="1" applyBorder="1"/>
    <xf numFmtId="0" fontId="131" fillId="0" borderId="84" xfId="0" applyFont="1" applyBorder="1"/>
    <xf numFmtId="195" fontId="6" fillId="0" borderId="18" xfId="268" applyNumberFormat="1" applyFont="1" applyBorder="1"/>
    <xf numFmtId="0" fontId="6" fillId="0" borderId="0" xfId="393" applyFont="1" applyBorder="1" applyAlignment="1">
      <alignment horizontal="center"/>
    </xf>
    <xf numFmtId="195" fontId="88" fillId="0" borderId="0" xfId="268" applyNumberFormat="1" applyFont="1" applyBorder="1"/>
    <xf numFmtId="195" fontId="6" fillId="0" borderId="24" xfId="268" applyNumberFormat="1" applyFont="1" applyBorder="1"/>
    <xf numFmtId="195" fontId="6" fillId="0" borderId="23" xfId="268" applyNumberFormat="1" applyFont="1" applyBorder="1"/>
    <xf numFmtId="178" fontId="6" fillId="0" borderId="0" xfId="267" applyNumberFormat="1" applyFont="1"/>
    <xf numFmtId="199" fontId="132" fillId="31" borderId="0" xfId="267" applyNumberFormat="1" applyFont="1" applyFill="1" applyAlignment="1">
      <alignment horizontal="center"/>
    </xf>
    <xf numFmtId="199" fontId="132" fillId="31" borderId="4" xfId="267" applyNumberFormat="1" applyFont="1" applyFill="1" applyBorder="1" applyAlignment="1">
      <alignment horizontal="center"/>
    </xf>
    <xf numFmtId="199" fontId="7" fillId="31" borderId="0" xfId="267" applyNumberFormat="1" applyFont="1" applyFill="1" applyAlignment="1">
      <alignment horizontal="center"/>
    </xf>
    <xf numFmtId="199" fontId="7" fillId="0" borderId="0" xfId="267" applyNumberFormat="1" applyFont="1" applyAlignment="1">
      <alignment horizontal="left"/>
    </xf>
    <xf numFmtId="0" fontId="6" fillId="0" borderId="0" xfId="393" applyBorder="1" applyAlignment="1">
      <alignment horizontal="center"/>
    </xf>
    <xf numFmtId="200" fontId="0" fillId="0" borderId="0" xfId="267" applyNumberFormat="1" applyFont="1" applyBorder="1" applyAlignment="1">
      <alignment horizontal="center"/>
    </xf>
    <xf numFmtId="1" fontId="6" fillId="0" borderId="0" xfId="393" applyNumberFormat="1" applyBorder="1" applyAlignment="1">
      <alignment horizontal="center"/>
    </xf>
    <xf numFmtId="0" fontId="7" fillId="37" borderId="0" xfId="393" applyFont="1" applyFill="1" applyBorder="1" applyAlignment="1">
      <alignment horizontal="center"/>
    </xf>
    <xf numFmtId="199" fontId="6" fillId="37" borderId="0" xfId="267" applyNumberFormat="1" applyFont="1" applyFill="1" applyBorder="1" applyAlignment="1">
      <alignment horizontal="center"/>
    </xf>
    <xf numFmtId="0" fontId="6" fillId="37" borderId="0" xfId="393" applyFill="1" applyBorder="1" applyAlignment="1">
      <alignment horizontal="center"/>
    </xf>
    <xf numFmtId="200" fontId="6" fillId="37" borderId="0" xfId="267" applyNumberFormat="1" applyFont="1" applyFill="1" applyBorder="1" applyAlignment="1">
      <alignment horizontal="center"/>
    </xf>
    <xf numFmtId="1" fontId="6" fillId="37" borderId="0" xfId="393" applyNumberFormat="1" applyFill="1" applyBorder="1" applyAlignment="1">
      <alignment horizontal="center"/>
    </xf>
    <xf numFmtId="0" fontId="7" fillId="0" borderId="3" xfId="393" applyFont="1" applyBorder="1" applyAlignment="1"/>
    <xf numFmtId="0" fontId="7" fillId="0" borderId="19" xfId="393" applyFont="1" applyBorder="1" applyAlignment="1"/>
    <xf numFmtId="2" fontId="6" fillId="23" borderId="0" xfId="393" applyNumberFormat="1" applyFill="1" applyBorder="1"/>
    <xf numFmtId="2" fontId="6" fillId="23" borderId="40" xfId="393" applyNumberFormat="1" applyFill="1" applyBorder="1"/>
    <xf numFmtId="0" fontId="59" fillId="0" borderId="0" xfId="0" applyFont="1" applyFill="1" applyBorder="1" applyAlignment="1"/>
    <xf numFmtId="49" fontId="60" fillId="0" borderId="0" xfId="0" applyNumberFormat="1" applyFont="1" applyFill="1" applyBorder="1" applyAlignment="1">
      <alignment horizontal="center"/>
    </xf>
    <xf numFmtId="38" fontId="63" fillId="0" borderId="0" xfId="0" applyNumberFormat="1" applyFont="1" applyFill="1" applyBorder="1" applyAlignment="1">
      <alignment horizontal="right"/>
    </xf>
    <xf numFmtId="0" fontId="61" fillId="0" borderId="0" xfId="0" applyFont="1" applyFill="1" applyBorder="1" applyAlignment="1">
      <alignment horizontal="right"/>
    </xf>
    <xf numFmtId="0" fontId="62" fillId="0" borderId="0" xfId="0" applyFont="1" applyFill="1" applyBorder="1" applyAlignment="1">
      <alignment horizontal="right"/>
    </xf>
    <xf numFmtId="38" fontId="64" fillId="0" borderId="0" xfId="0" applyNumberFormat="1" applyFont="1" applyFill="1" applyBorder="1" applyAlignment="1"/>
    <xf numFmtId="38" fontId="64" fillId="0" borderId="0" xfId="0" applyNumberFormat="1" applyFont="1" applyBorder="1" applyAlignment="1"/>
    <xf numFmtId="0" fontId="133" fillId="0" borderId="0" xfId="0" applyFont="1" applyAlignment="1"/>
    <xf numFmtId="0" fontId="133" fillId="0" borderId="0" xfId="0" applyFont="1" applyAlignment="1">
      <alignment horizontal="left"/>
    </xf>
    <xf numFmtId="172" fontId="133" fillId="0" borderId="0" xfId="0" applyNumberFormat="1" applyFont="1" applyAlignment="1"/>
    <xf numFmtId="172" fontId="133" fillId="0" borderId="0" xfId="0" applyNumberFormat="1" applyFont="1" applyAlignment="1">
      <alignment horizontal="left"/>
    </xf>
    <xf numFmtId="172" fontId="133" fillId="0" borderId="0" xfId="0" applyNumberFormat="1" applyFont="1" applyBorder="1" applyAlignment="1"/>
    <xf numFmtId="172" fontId="6" fillId="0" borderId="0" xfId="0" applyNumberFormat="1" applyFont="1" applyAlignment="1"/>
    <xf numFmtId="0" fontId="133" fillId="0" borderId="0" xfId="0" applyFont="1" applyBorder="1" applyAlignment="1"/>
    <xf numFmtId="37" fontId="133" fillId="0" borderId="0" xfId="0" applyNumberFormat="1" applyFont="1" applyFill="1" applyAlignment="1"/>
    <xf numFmtId="38" fontId="133" fillId="0" borderId="0" xfId="0" applyNumberFormat="1" applyFont="1" applyFill="1" applyAlignment="1"/>
    <xf numFmtId="38" fontId="133" fillId="0" borderId="0" xfId="0" applyNumberFormat="1" applyFont="1" applyAlignment="1"/>
    <xf numFmtId="0" fontId="133" fillId="0" borderId="0" xfId="0" applyFont="1" applyFill="1" applyBorder="1" applyAlignment="1"/>
    <xf numFmtId="37" fontId="133" fillId="0" borderId="0" xfId="0" applyNumberFormat="1" applyFont="1" applyAlignment="1"/>
    <xf numFmtId="0" fontId="133" fillId="0" borderId="0" xfId="0" applyFont="1" applyFill="1" applyBorder="1" applyAlignment="1">
      <alignment horizontal="left"/>
    </xf>
    <xf numFmtId="38" fontId="6" fillId="0" borderId="0" xfId="0" applyNumberFormat="1" applyFont="1" applyFill="1" applyBorder="1" applyAlignment="1"/>
    <xf numFmtId="0" fontId="133" fillId="0" borderId="0" xfId="0" applyFont="1" applyFill="1" applyAlignment="1"/>
    <xf numFmtId="38" fontId="6" fillId="0" borderId="0" xfId="0" applyNumberFormat="1" applyFont="1" applyAlignment="1"/>
    <xf numFmtId="37" fontId="7" fillId="0" borderId="22" xfId="0" applyNumberFormat="1" applyFont="1" applyFill="1" applyBorder="1" applyAlignment="1"/>
    <xf numFmtId="38" fontId="133" fillId="0" borderId="20" xfId="0" applyNumberFormat="1" applyFont="1" applyFill="1" applyBorder="1" applyAlignment="1"/>
    <xf numFmtId="38" fontId="133" fillId="0" borderId="24" xfId="0" applyNumberFormat="1" applyFont="1" applyFill="1" applyBorder="1" applyAlignment="1"/>
    <xf numFmtId="37" fontId="133" fillId="0" borderId="3" xfId="0" applyNumberFormat="1" applyFont="1" applyFill="1" applyBorder="1" applyAlignment="1"/>
    <xf numFmtId="38" fontId="133" fillId="0" borderId="0" xfId="0" applyNumberFormat="1" applyFont="1" applyFill="1" applyBorder="1" applyAlignment="1"/>
    <xf numFmtId="38" fontId="133" fillId="0" borderId="18" xfId="0" applyNumberFormat="1" applyFont="1" applyFill="1" applyBorder="1" applyAlignment="1"/>
    <xf numFmtId="0" fontId="7" fillId="0" borderId="3" xfId="0" applyFont="1" applyBorder="1" applyAlignment="1"/>
    <xf numFmtId="0" fontId="7" fillId="0" borderId="0" xfId="0" applyFont="1" applyBorder="1" applyAlignment="1"/>
    <xf numFmtId="0" fontId="7" fillId="0" borderId="18" xfId="0" applyFont="1" applyBorder="1" applyAlignment="1"/>
    <xf numFmtId="0" fontId="133" fillId="0" borderId="3" xfId="0" applyFont="1" applyBorder="1" applyAlignment="1"/>
    <xf numFmtId="174" fontId="133" fillId="0" borderId="0" xfId="0" applyNumberFormat="1" applyFont="1" applyBorder="1" applyAlignment="1"/>
    <xf numFmtId="174" fontId="133" fillId="0" borderId="18" xfId="0" applyNumberFormat="1" applyFont="1" applyBorder="1" applyAlignment="1"/>
    <xf numFmtId="0" fontId="39" fillId="0" borderId="3" xfId="0" applyFont="1" applyBorder="1" applyAlignment="1"/>
    <xf numFmtId="38" fontId="133" fillId="0" borderId="0" xfId="0" applyNumberFormat="1" applyFont="1" applyBorder="1" applyAlignment="1"/>
    <xf numFmtId="38" fontId="133" fillId="30" borderId="0" xfId="0" applyNumberFormat="1" applyFont="1" applyFill="1" applyBorder="1" applyAlignment="1"/>
    <xf numFmtId="38" fontId="133" fillId="25" borderId="18" xfId="0" applyNumberFormat="1" applyFont="1" applyFill="1" applyBorder="1" applyAlignment="1"/>
    <xf numFmtId="37" fontId="39" fillId="0" borderId="3" xfId="0" applyNumberFormat="1" applyFont="1" applyBorder="1" applyAlignment="1"/>
    <xf numFmtId="37" fontId="39" fillId="0" borderId="3" xfId="0" applyNumberFormat="1" applyFont="1" applyFill="1" applyBorder="1" applyAlignment="1"/>
    <xf numFmtId="37" fontId="39" fillId="0" borderId="19" xfId="0" applyNumberFormat="1" applyFont="1" applyFill="1" applyBorder="1" applyAlignment="1"/>
    <xf numFmtId="38" fontId="133" fillId="0" borderId="4" xfId="0" applyNumberFormat="1" applyFont="1" applyFill="1" applyBorder="1" applyAlignment="1"/>
    <xf numFmtId="38" fontId="133" fillId="0" borderId="23" xfId="0" applyNumberFormat="1" applyFont="1" applyFill="1" applyBorder="1" applyAlignment="1"/>
    <xf numFmtId="38" fontId="133" fillId="0" borderId="5" xfId="0" applyNumberFormat="1" applyFont="1" applyFill="1" applyBorder="1" applyAlignment="1"/>
    <xf numFmtId="38" fontId="133" fillId="0" borderId="30" xfId="0" applyNumberFormat="1" applyFont="1" applyFill="1" applyBorder="1" applyAlignment="1"/>
    <xf numFmtId="37" fontId="7" fillId="0" borderId="22" xfId="0" applyNumberFormat="1" applyFont="1" applyBorder="1" applyAlignment="1"/>
    <xf numFmtId="38" fontId="133" fillId="0" borderId="20" xfId="0" applyNumberFormat="1" applyFont="1" applyBorder="1" applyAlignment="1"/>
    <xf numFmtId="38" fontId="133" fillId="0" borderId="24" xfId="0" applyNumberFormat="1" applyFont="1" applyBorder="1" applyAlignment="1"/>
    <xf numFmtId="37" fontId="133" fillId="0" borderId="3" xfId="0" applyNumberFormat="1" applyFont="1" applyBorder="1" applyAlignment="1"/>
    <xf numFmtId="38" fontId="133" fillId="0" borderId="18" xfId="0" applyNumberFormat="1" applyFont="1" applyBorder="1" applyAlignment="1"/>
    <xf numFmtId="0" fontId="133" fillId="0" borderId="18" xfId="0" applyFont="1" applyBorder="1" applyAlignment="1"/>
    <xf numFmtId="37" fontId="6" fillId="0" borderId="3" xfId="0" applyNumberFormat="1" applyFont="1" applyFill="1" applyBorder="1" applyAlignment="1">
      <alignment horizontal="left"/>
    </xf>
    <xf numFmtId="0" fontId="7" fillId="0" borderId="22" xfId="0" applyFont="1" applyBorder="1" applyAlignment="1"/>
    <xf numFmtId="0" fontId="133" fillId="0" borderId="20" xfId="0" applyFont="1" applyBorder="1" applyAlignment="1"/>
    <xf numFmtId="0" fontId="133" fillId="0" borderId="20" xfId="0" applyFont="1" applyFill="1" applyBorder="1" applyAlignment="1"/>
    <xf numFmtId="174" fontId="133" fillId="0" borderId="20" xfId="0" applyNumberFormat="1" applyFont="1" applyFill="1" applyBorder="1" applyAlignment="1"/>
    <xf numFmtId="174" fontId="133" fillId="0" borderId="24" xfId="0" applyNumberFormat="1" applyFont="1" applyFill="1" applyBorder="1" applyAlignment="1"/>
    <xf numFmtId="0" fontId="39" fillId="0" borderId="0" xfId="0" applyFont="1" applyBorder="1" applyAlignment="1"/>
    <xf numFmtId="174" fontId="39" fillId="0" borderId="0" xfId="0" applyNumberFormat="1" applyFont="1" applyBorder="1" applyAlignment="1"/>
    <xf numFmtId="174" fontId="39" fillId="0" borderId="18" xfId="0" applyNumberFormat="1" applyFont="1" applyBorder="1" applyAlignment="1"/>
    <xf numFmtId="38" fontId="39" fillId="0" borderId="0" xfId="0" applyNumberFormat="1" applyFont="1" applyBorder="1" applyAlignment="1"/>
    <xf numFmtId="38" fontId="39" fillId="30" borderId="0" xfId="0" applyNumberFormat="1" applyFont="1" applyFill="1" applyBorder="1" applyAlignment="1"/>
    <xf numFmtId="38" fontId="39" fillId="0" borderId="18" xfId="0" applyNumberFormat="1" applyFont="1" applyBorder="1" applyAlignment="1"/>
    <xf numFmtId="38" fontId="39" fillId="0" borderId="5" xfId="0" applyNumberFormat="1" applyFont="1" applyFill="1" applyBorder="1" applyAlignment="1"/>
    <xf numFmtId="38" fontId="39" fillId="0" borderId="30" xfId="0" applyNumberFormat="1" applyFont="1" applyFill="1" applyBorder="1" applyAlignment="1"/>
    <xf numFmtId="0" fontId="133" fillId="0" borderId="24" xfId="0" applyFont="1" applyBorder="1" applyAlignment="1"/>
    <xf numFmtId="38" fontId="39" fillId="25" borderId="18" xfId="0" applyNumberFormat="1" applyFont="1" applyFill="1" applyBorder="1" applyAlignment="1"/>
    <xf numFmtId="38" fontId="39" fillId="34" borderId="18" xfId="0" applyNumberFormat="1" applyFont="1" applyFill="1" applyBorder="1" applyAlignment="1"/>
    <xf numFmtId="38" fontId="39" fillId="0" borderId="0" xfId="0" applyNumberFormat="1" applyFont="1" applyFill="1" applyBorder="1" applyAlignment="1"/>
    <xf numFmtId="38" fontId="39" fillId="0" borderId="18" xfId="0" applyNumberFormat="1" applyFont="1" applyFill="1" applyBorder="1" applyAlignment="1"/>
    <xf numFmtId="37" fontId="39" fillId="36" borderId="15" xfId="0" applyNumberFormat="1" applyFont="1" applyFill="1" applyBorder="1" applyAlignment="1"/>
    <xf numFmtId="38" fontId="39" fillId="36" borderId="5" xfId="0" applyNumberFormat="1" applyFont="1" applyFill="1" applyBorder="1" applyAlignment="1"/>
    <xf numFmtId="37" fontId="39" fillId="36" borderId="3" xfId="0" applyNumberFormat="1" applyFont="1" applyFill="1" applyBorder="1" applyAlignment="1"/>
    <xf numFmtId="38" fontId="39" fillId="0" borderId="5" xfId="0" applyNumberFormat="1" applyFont="1" applyBorder="1" applyAlignment="1"/>
    <xf numFmtId="38" fontId="39" fillId="0" borderId="30" xfId="0" applyNumberFormat="1" applyFont="1" applyBorder="1" applyAlignment="1"/>
    <xf numFmtId="38" fontId="39" fillId="0" borderId="20" xfId="0" applyNumberFormat="1" applyFont="1" applyBorder="1" applyAlignment="1"/>
    <xf numFmtId="38" fontId="39" fillId="0" borderId="20" xfId="0" applyNumberFormat="1" applyFont="1" applyFill="1" applyBorder="1" applyAlignment="1"/>
    <xf numFmtId="38" fontId="39" fillId="0" borderId="24" xfId="0" applyNumberFormat="1" applyFont="1" applyFill="1" applyBorder="1" applyAlignment="1"/>
    <xf numFmtId="0" fontId="46" fillId="0" borderId="22" xfId="0" applyFont="1" applyBorder="1" applyAlignment="1"/>
    <xf numFmtId="38" fontId="133" fillId="0" borderId="5" xfId="0" applyNumberFormat="1" applyFont="1" applyFill="1" applyBorder="1" applyAlignment="1">
      <alignment horizontal="center"/>
    </xf>
    <xf numFmtId="37" fontId="133" fillId="36" borderId="15" xfId="0" applyNumberFormat="1" applyFont="1" applyFill="1" applyBorder="1" applyAlignment="1"/>
    <xf numFmtId="38" fontId="133" fillId="36" borderId="5" xfId="0" applyNumberFormat="1" applyFont="1" applyFill="1" applyBorder="1" applyAlignment="1"/>
    <xf numFmtId="38" fontId="133" fillId="0" borderId="0" xfId="0" applyNumberFormat="1" applyFont="1" applyFill="1" applyBorder="1" applyAlignment="1">
      <alignment horizontal="center"/>
    </xf>
    <xf numFmtId="0" fontId="46" fillId="0" borderId="0" xfId="0" applyFont="1" applyBorder="1" applyAlignment="1"/>
    <xf numFmtId="0" fontId="6" fillId="0" borderId="22" xfId="0" applyFont="1" applyBorder="1" applyAlignment="1"/>
    <xf numFmtId="37" fontId="6" fillId="0" borderId="3" xfId="0" applyNumberFormat="1" applyFont="1" applyFill="1" applyBorder="1" applyAlignment="1"/>
    <xf numFmtId="37" fontId="6" fillId="0" borderId="3" xfId="0" applyNumberFormat="1" applyFont="1" applyBorder="1" applyAlignment="1"/>
    <xf numFmtId="0" fontId="6" fillId="0" borderId="3" xfId="0" applyFont="1" applyBorder="1" applyAlignment="1"/>
    <xf numFmtId="0" fontId="6" fillId="0" borderId="19" xfId="0" applyFont="1" applyBorder="1" applyAlignment="1"/>
    <xf numFmtId="38" fontId="133" fillId="0" borderId="53" xfId="0" applyNumberFormat="1" applyFont="1" applyFill="1" applyBorder="1" applyAlignment="1">
      <alignment horizontal="center"/>
    </xf>
    <xf numFmtId="38" fontId="133" fillId="0" borderId="8" xfId="0" applyNumberFormat="1" applyFont="1" applyFill="1" applyBorder="1" applyAlignment="1">
      <alignment horizontal="center"/>
    </xf>
    <xf numFmtId="38" fontId="133" fillId="0" borderId="55" xfId="0" applyNumberFormat="1" applyFont="1" applyFill="1" applyBorder="1" applyAlignment="1">
      <alignment horizontal="center"/>
    </xf>
    <xf numFmtId="176" fontId="45" fillId="23" borderId="0" xfId="0" quotePrefix="1" applyNumberFormat="1" applyFont="1" applyFill="1" applyBorder="1" applyAlignment="1">
      <alignment horizontal="left" vertical="center" wrapText="1"/>
    </xf>
    <xf numFmtId="176" fontId="45" fillId="0" borderId="0" xfId="0" applyNumberFormat="1" applyFont="1" applyFill="1" applyBorder="1" applyAlignment="1">
      <alignment horizontal="right" vertical="center" wrapText="1"/>
    </xf>
    <xf numFmtId="176" fontId="45" fillId="23" borderId="0" xfId="0" applyNumberFormat="1" applyFont="1" applyFill="1" applyBorder="1" applyAlignment="1">
      <alignment horizontal="right" vertical="center" wrapText="1"/>
    </xf>
    <xf numFmtId="176" fontId="45" fillId="25" borderId="0" xfId="0" applyNumberFormat="1" applyFont="1" applyFill="1" applyBorder="1" applyAlignment="1">
      <alignment horizontal="right" vertical="center" wrapText="1"/>
    </xf>
    <xf numFmtId="176" fontId="134" fillId="27" borderId="0" xfId="0" applyNumberFormat="1" applyFont="1" applyFill="1" applyAlignment="1">
      <alignment horizontal="right" vertical="center" wrapText="1"/>
    </xf>
    <xf numFmtId="176" fontId="135" fillId="23" borderId="43" xfId="0" applyNumberFormat="1" applyFont="1" applyFill="1" applyBorder="1" applyAlignment="1">
      <alignment horizontal="right" vertical="center" wrapText="1"/>
    </xf>
    <xf numFmtId="176" fontId="40" fillId="36" borderId="0" xfId="0" applyNumberFormat="1" applyFont="1" applyFill="1" applyAlignment="1">
      <alignment horizontal="right" vertical="center" wrapText="1"/>
    </xf>
    <xf numFmtId="176" fontId="136" fillId="27" borderId="0" xfId="0" applyNumberFormat="1" applyFont="1" applyFill="1" applyAlignment="1">
      <alignment horizontal="right" vertical="center" wrapText="1"/>
    </xf>
    <xf numFmtId="176" fontId="0" fillId="38" borderId="0" xfId="0" applyNumberFormat="1" applyFill="1" applyAlignment="1"/>
    <xf numFmtId="168" fontId="0" fillId="31" borderId="0" xfId="267" applyNumberFormat="1" applyFont="1" applyFill="1"/>
    <xf numFmtId="0" fontId="0" fillId="32" borderId="0" xfId="0" applyFill="1"/>
    <xf numFmtId="0" fontId="0" fillId="32" borderId="0" xfId="0" applyFill="1" applyAlignment="1">
      <alignment wrapText="1"/>
    </xf>
    <xf numFmtId="168" fontId="0" fillId="32" borderId="0" xfId="267" applyNumberFormat="1" applyFont="1" applyFill="1"/>
    <xf numFmtId="0" fontId="7" fillId="32" borderId="0" xfId="0" applyFont="1" applyFill="1"/>
    <xf numFmtId="0" fontId="137" fillId="32" borderId="3" xfId="0" applyFont="1" applyFill="1" applyBorder="1" applyAlignment="1">
      <alignment horizontal="center"/>
    </xf>
    <xf numFmtId="0" fontId="137" fillId="32" borderId="0" xfId="0" applyFont="1" applyFill="1" applyBorder="1" applyAlignment="1">
      <alignment horizontal="center"/>
    </xf>
    <xf numFmtId="0" fontId="138" fillId="0" borderId="22" xfId="0" applyFont="1" applyBorder="1"/>
    <xf numFmtId="0" fontId="138" fillId="0" borderId="24" xfId="0" applyFont="1" applyBorder="1"/>
    <xf numFmtId="0" fontId="139" fillId="0" borderId="3" xfId="413" applyFont="1" applyBorder="1" applyAlignment="1">
      <alignment horizontal="left" indent="1"/>
    </xf>
    <xf numFmtId="0" fontId="140" fillId="0" borderId="18" xfId="413" applyFont="1" applyBorder="1"/>
    <xf numFmtId="0" fontId="140" fillId="0" borderId="19" xfId="413" applyFont="1" applyBorder="1" applyAlignment="1">
      <alignment vertical="center"/>
    </xf>
    <xf numFmtId="0" fontId="140" fillId="0" borderId="23" xfId="393" applyFont="1" applyBorder="1" applyAlignment="1">
      <alignment horizontal="center"/>
    </xf>
    <xf numFmtId="0" fontId="140" fillId="0" borderId="9" xfId="393" applyFont="1" applyBorder="1" applyAlignment="1">
      <alignment horizontal="center"/>
    </xf>
    <xf numFmtId="0" fontId="140" fillId="0" borderId="22" xfId="413" applyFont="1" applyBorder="1" applyAlignment="1">
      <alignment horizontal="left" vertical="center" indent="1"/>
    </xf>
    <xf numFmtId="195" fontId="140" fillId="0" borderId="24" xfId="268" applyNumberFormat="1" applyFont="1" applyBorder="1"/>
    <xf numFmtId="164" fontId="140" fillId="0" borderId="18" xfId="268" applyNumberFormat="1" applyFont="1" applyBorder="1"/>
    <xf numFmtId="164" fontId="140" fillId="0" borderId="8" xfId="268" applyNumberFormat="1" applyFont="1" applyBorder="1"/>
    <xf numFmtId="164" fontId="140" fillId="0" borderId="53" xfId="268" applyNumberFormat="1" applyFont="1" applyBorder="1"/>
    <xf numFmtId="0" fontId="140" fillId="0" borderId="3" xfId="413" applyFont="1" applyBorder="1" applyAlignment="1">
      <alignment horizontal="left" vertical="center" indent="1"/>
    </xf>
    <xf numFmtId="195" fontId="140" fillId="0" borderId="18" xfId="268" applyNumberFormat="1" applyFont="1" applyBorder="1"/>
    <xf numFmtId="0" fontId="140" fillId="0" borderId="19" xfId="413" applyFont="1" applyBorder="1" applyAlignment="1">
      <alignment horizontal="left" vertical="center" indent="1"/>
    </xf>
    <xf numFmtId="195" fontId="140" fillId="0" borderId="23" xfId="268" applyNumberFormat="1" applyFont="1" applyBorder="1"/>
    <xf numFmtId="164" fontId="140" fillId="0" borderId="55" xfId="268" applyNumberFormat="1" applyFont="1" applyBorder="1"/>
    <xf numFmtId="0" fontId="140" fillId="0" borderId="3" xfId="413" applyFont="1" applyBorder="1" applyAlignment="1">
      <alignment vertical="center"/>
    </xf>
    <xf numFmtId="195" fontId="141" fillId="0" borderId="0" xfId="268" applyNumberFormat="1" applyFont="1" applyBorder="1"/>
    <xf numFmtId="195" fontId="141" fillId="0" borderId="9" xfId="268" applyNumberFormat="1" applyFont="1" applyBorder="1"/>
    <xf numFmtId="0" fontId="138" fillId="0" borderId="0" xfId="0" applyFont="1"/>
    <xf numFmtId="164" fontId="138" fillId="0" borderId="0" xfId="0" applyNumberFormat="1" applyFont="1"/>
    <xf numFmtId="0" fontId="142" fillId="0" borderId="15" xfId="413" applyFont="1" applyFill="1" applyBorder="1" applyAlignment="1">
      <alignment horizontal="left" vertical="center" indent="1"/>
    </xf>
    <xf numFmtId="0" fontId="143" fillId="0" borderId="5" xfId="0" applyFont="1" applyBorder="1"/>
    <xf numFmtId="0" fontId="0" fillId="0" borderId="30" xfId="0" applyBorder="1"/>
    <xf numFmtId="195" fontId="143" fillId="0" borderId="5" xfId="268" applyNumberFormat="1" applyFont="1" applyBorder="1"/>
    <xf numFmtId="195" fontId="143" fillId="0" borderId="30" xfId="268" applyNumberFormat="1" applyFont="1" applyBorder="1"/>
    <xf numFmtId="195" fontId="0" fillId="0" borderId="0" xfId="268" applyNumberFormat="1" applyFont="1"/>
    <xf numFmtId="0" fontId="8" fillId="0" borderId="0" xfId="0" applyFont="1" applyAlignment="1">
      <alignment wrapText="1"/>
    </xf>
    <xf numFmtId="164" fontId="6" fillId="0" borderId="20" xfId="267" applyNumberFormat="1" applyFont="1" applyBorder="1"/>
    <xf numFmtId="0" fontId="6" fillId="0" borderId="19" xfId="413" applyFont="1" applyBorder="1" applyAlignment="1">
      <alignment horizontal="left" indent="1"/>
    </xf>
    <xf numFmtId="2" fontId="17" fillId="0" borderId="0" xfId="267" applyNumberFormat="1" applyFont="1" applyFill="1" applyBorder="1" applyAlignment="1">
      <alignment horizontal="center"/>
    </xf>
    <xf numFmtId="2" fontId="17" fillId="0" borderId="0" xfId="393" applyNumberFormat="1" applyFont="1" applyFill="1" applyBorder="1" applyAlignment="1">
      <alignment horizontal="center"/>
    </xf>
    <xf numFmtId="0" fontId="6" fillId="0" borderId="0" xfId="0" applyFont="1" applyBorder="1" applyAlignment="1">
      <alignment horizontal="center" vertical="center" wrapText="1"/>
    </xf>
    <xf numFmtId="0" fontId="66" fillId="31" borderId="0" xfId="0" applyFont="1" applyFill="1" applyAlignment="1"/>
    <xf numFmtId="176" fontId="66" fillId="31" borderId="0" xfId="0" applyNumberFormat="1" applyFont="1" applyFill="1" applyAlignment="1"/>
    <xf numFmtId="176" fontId="145" fillId="31" borderId="0" xfId="0" applyNumberFormat="1" applyFont="1" applyFill="1" applyAlignment="1">
      <alignment horizontal="right" vertical="center" wrapText="1"/>
    </xf>
    <xf numFmtId="176" fontId="40" fillId="0" borderId="0" xfId="0" applyNumberFormat="1" applyFont="1" applyFill="1" applyAlignment="1">
      <alignment horizontal="right" vertical="center" wrapText="1"/>
    </xf>
    <xf numFmtId="176" fontId="40" fillId="0" borderId="0" xfId="0" quotePrefix="1" applyNumberFormat="1" applyFont="1" applyFill="1" applyAlignment="1">
      <alignment horizontal="left" vertical="center" wrapText="1"/>
    </xf>
    <xf numFmtId="199" fontId="7" fillId="0" borderId="0" xfId="267" applyNumberFormat="1" applyFont="1" applyBorder="1" applyAlignment="1">
      <alignment horizontal="left"/>
    </xf>
    <xf numFmtId="168" fontId="0" fillId="40" borderId="0" xfId="267" applyNumberFormat="1" applyFont="1" applyFill="1"/>
    <xf numFmtId="195" fontId="0" fillId="40" borderId="0" xfId="268" applyNumberFormat="1" applyFont="1" applyFill="1"/>
    <xf numFmtId="168" fontId="6" fillId="40" borderId="0" xfId="267" applyNumberFormat="1" applyFont="1" applyFill="1"/>
    <xf numFmtId="43" fontId="0" fillId="40" borderId="0" xfId="267" applyNumberFormat="1" applyFont="1" applyFill="1"/>
    <xf numFmtId="195" fontId="6" fillId="40" borderId="0" xfId="268" applyNumberFormat="1" applyFont="1" applyFill="1"/>
    <xf numFmtId="44" fontId="0" fillId="40" borderId="0" xfId="268" applyNumberFormat="1" applyFont="1" applyFill="1"/>
    <xf numFmtId="176" fontId="50" fillId="23" borderId="43" xfId="0" applyNumberFormat="1" applyFont="1" applyFill="1" applyBorder="1" applyAlignment="1">
      <alignment horizontal="right" vertical="center" wrapText="1"/>
    </xf>
    <xf numFmtId="176" fontId="50" fillId="27" borderId="0" xfId="0" applyNumberFormat="1" applyFont="1" applyFill="1" applyAlignment="1">
      <alignment horizontal="right" vertical="center" wrapText="1"/>
    </xf>
    <xf numFmtId="174" fontId="6" fillId="0" borderId="0" xfId="413" applyNumberFormat="1"/>
    <xf numFmtId="0" fontId="0" fillId="0" borderId="3" xfId="0" applyBorder="1" applyAlignment="1">
      <alignment vertical="top" wrapText="1"/>
    </xf>
    <xf numFmtId="0" fontId="0" fillId="0" borderId="0" xfId="0" applyAlignment="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0" borderId="4" xfId="0" applyBorder="1" applyAlignment="1">
      <alignment vertical="top" wrapText="1"/>
    </xf>
    <xf numFmtId="0" fontId="0" fillId="0" borderId="23" xfId="0" applyBorder="1" applyAlignment="1">
      <alignment vertical="top" wrapText="1"/>
    </xf>
    <xf numFmtId="176" fontId="49" fillId="27" borderId="0" xfId="0" applyNumberFormat="1" applyFont="1" applyFill="1" applyAlignment="1">
      <alignment horizontal="right" vertical="center" wrapText="1"/>
    </xf>
    <xf numFmtId="176" fontId="146" fillId="27" borderId="0" xfId="0" applyNumberFormat="1" applyFont="1" applyFill="1" applyAlignment="1">
      <alignment horizontal="right" vertical="center" wrapText="1"/>
    </xf>
    <xf numFmtId="176" fontId="147" fillId="23" borderId="43" xfId="0" applyNumberFormat="1" applyFont="1" applyFill="1" applyBorder="1" applyAlignment="1">
      <alignment horizontal="right" vertical="center" wrapText="1"/>
    </xf>
    <xf numFmtId="176" fontId="147" fillId="27" borderId="0" xfId="0" applyNumberFormat="1" applyFont="1" applyFill="1" applyAlignment="1">
      <alignment horizontal="right" vertical="center" wrapText="1"/>
    </xf>
    <xf numFmtId="168" fontId="0" fillId="36" borderId="0" xfId="267" applyNumberFormat="1" applyFont="1" applyFill="1"/>
    <xf numFmtId="0" fontId="59" fillId="41" borderId="141" xfId="0" applyFont="1" applyFill="1" applyBorder="1" applyAlignment="1">
      <alignment vertical="center" wrapText="1"/>
    </xf>
    <xf numFmtId="49" fontId="148" fillId="41" borderId="141" xfId="0" applyNumberFormat="1" applyFont="1" applyFill="1" applyBorder="1" applyAlignment="1">
      <alignment horizontal="left" vertical="center" wrapText="1"/>
    </xf>
    <xf numFmtId="49" fontId="148" fillId="41" borderId="141" xfId="0" applyNumberFormat="1" applyFont="1" applyFill="1" applyBorder="1" applyAlignment="1">
      <alignment horizontal="center" vertical="center" wrapText="1"/>
    </xf>
    <xf numFmtId="193" fontId="149" fillId="42" borderId="141" xfId="0" applyNumberFormat="1" applyFont="1" applyFill="1" applyBorder="1" applyAlignment="1">
      <alignment horizontal="right" vertical="center" wrapText="1"/>
    </xf>
    <xf numFmtId="179" fontId="150" fillId="42" borderId="141" xfId="0" applyNumberFormat="1" applyFont="1" applyFill="1" applyBorder="1" applyAlignment="1">
      <alignment horizontal="right" vertical="center" wrapText="1"/>
    </xf>
    <xf numFmtId="193" fontId="149" fillId="43" borderId="141" xfId="0" applyNumberFormat="1" applyFont="1" applyFill="1" applyBorder="1" applyAlignment="1">
      <alignment horizontal="right" vertical="center" wrapText="1"/>
    </xf>
    <xf numFmtId="179" fontId="150" fillId="43" borderId="141" xfId="0" applyNumberFormat="1" applyFont="1" applyFill="1" applyBorder="1" applyAlignment="1">
      <alignment horizontal="right" vertical="center" wrapText="1"/>
    </xf>
    <xf numFmtId="0" fontId="8" fillId="39" borderId="0" xfId="0" applyFont="1" applyFill="1"/>
    <xf numFmtId="0" fontId="0" fillId="44" borderId="0" xfId="0" applyFill="1"/>
    <xf numFmtId="168" fontId="6" fillId="36" borderId="0" xfId="267" applyNumberFormat="1" applyFont="1" applyFill="1"/>
    <xf numFmtId="0" fontId="7" fillId="0" borderId="3" xfId="413" applyFont="1" applyBorder="1" applyAlignment="1">
      <alignment horizontal="left" vertical="top" wrapText="1"/>
    </xf>
    <xf numFmtId="0" fontId="7" fillId="0" borderId="0" xfId="413" applyFont="1" applyBorder="1" applyAlignment="1">
      <alignment horizontal="left" vertical="top" wrapText="1"/>
    </xf>
    <xf numFmtId="0" fontId="7" fillId="0" borderId="18" xfId="413" applyFont="1" applyBorder="1" applyAlignment="1">
      <alignment horizontal="left" vertical="top" wrapText="1"/>
    </xf>
    <xf numFmtId="174" fontId="151" fillId="0" borderId="18" xfId="0" applyNumberFormat="1" applyFont="1" applyBorder="1" applyAlignment="1">
      <alignment horizontal="center"/>
    </xf>
    <xf numFmtId="174" fontId="7" fillId="0" borderId="30" xfId="267" applyNumberFormat="1" applyFont="1" applyFill="1" applyBorder="1" applyAlignment="1">
      <alignment horizontal="center" vertical="top" wrapText="1"/>
    </xf>
    <xf numFmtId="164" fontId="6" fillId="0" borderId="18" xfId="267" applyNumberFormat="1" applyFont="1" applyFill="1" applyBorder="1"/>
    <xf numFmtId="164" fontId="6" fillId="0" borderId="18" xfId="267" applyNumberFormat="1" applyFont="1" applyFill="1" applyBorder="1" applyAlignment="1">
      <alignment horizontal="right" vertical="center"/>
    </xf>
    <xf numFmtId="164" fontId="6" fillId="0" borderId="23" xfId="267" applyNumberFormat="1" applyFont="1" applyFill="1" applyBorder="1" applyAlignment="1">
      <alignment horizontal="right" vertical="center"/>
    </xf>
    <xf numFmtId="164" fontId="7" fillId="0" borderId="30" xfId="267" applyNumberFormat="1" applyFont="1" applyFill="1" applyBorder="1"/>
    <xf numFmtId="164" fontId="6" fillId="0" borderId="24" xfId="267" applyNumberFormat="1" applyFont="1" applyFill="1" applyBorder="1"/>
    <xf numFmtId="168" fontId="0" fillId="0" borderId="0" xfId="0" applyNumberFormat="1"/>
    <xf numFmtId="0" fontId="16" fillId="0" borderId="20" xfId="422" applyFont="1" applyBorder="1" applyAlignment="1">
      <alignment horizontal="center" wrapText="1"/>
    </xf>
    <xf numFmtId="0" fontId="6" fillId="34" borderId="0" xfId="393" applyFill="1"/>
    <xf numFmtId="0" fontId="6" fillId="23" borderId="0" xfId="393" applyFill="1"/>
    <xf numFmtId="0" fontId="6" fillId="0" borderId="0" xfId="422"/>
    <xf numFmtId="9" fontId="17" fillId="0" borderId="0" xfId="450" applyFont="1" applyFill="1" applyBorder="1" applyAlignment="1"/>
    <xf numFmtId="0" fontId="15" fillId="0" borderId="0" xfId="393" applyFont="1" applyFill="1" applyBorder="1" applyAlignment="1">
      <alignment horizontal="left"/>
    </xf>
    <xf numFmtId="1" fontId="7" fillId="0" borderId="0" xfId="422" applyNumberFormat="1" applyFont="1" applyFill="1" applyBorder="1" applyAlignment="1">
      <alignment horizontal="center"/>
    </xf>
    <xf numFmtId="166" fontId="6" fillId="32" borderId="4" xfId="422" applyNumberFormat="1" applyFont="1" applyFill="1" applyBorder="1" applyAlignment="1">
      <alignment horizontal="center"/>
    </xf>
    <xf numFmtId="0" fontId="6" fillId="32" borderId="19" xfId="422" applyFont="1" applyFill="1" applyBorder="1"/>
    <xf numFmtId="1" fontId="7" fillId="0" borderId="0" xfId="422" applyNumberFormat="1" applyFont="1" applyAlignment="1">
      <alignment horizontal="center"/>
    </xf>
    <xf numFmtId="0" fontId="6" fillId="0" borderId="0" xfId="422" applyFont="1" applyFill="1" applyBorder="1"/>
    <xf numFmtId="166" fontId="6" fillId="32" borderId="0" xfId="422" applyNumberFormat="1" applyFont="1" applyFill="1" applyBorder="1" applyAlignment="1">
      <alignment horizontal="center"/>
    </xf>
    <xf numFmtId="0" fontId="6" fillId="32" borderId="3" xfId="422" applyFont="1" applyFill="1" applyBorder="1"/>
    <xf numFmtId="0" fontId="6" fillId="0" borderId="0" xfId="422" applyFill="1" applyBorder="1"/>
    <xf numFmtId="0" fontId="6" fillId="32" borderId="0" xfId="422" applyFill="1" applyBorder="1"/>
    <xf numFmtId="0" fontId="6" fillId="32" borderId="3" xfId="422" applyFill="1" applyBorder="1"/>
    <xf numFmtId="0" fontId="7" fillId="0" borderId="0" xfId="422" applyFont="1"/>
    <xf numFmtId="201" fontId="7" fillId="32" borderId="0" xfId="422" applyNumberFormat="1" applyFont="1" applyFill="1" applyBorder="1" applyAlignment="1">
      <alignment horizontal="center"/>
    </xf>
    <xf numFmtId="0" fontId="7" fillId="32" borderId="3" xfId="422" applyFont="1" applyFill="1" applyBorder="1"/>
    <xf numFmtId="201" fontId="6" fillId="32" borderId="5" xfId="267" applyNumberFormat="1" applyFill="1" applyBorder="1" applyAlignment="1">
      <alignment horizontal="center"/>
    </xf>
    <xf numFmtId="166" fontId="6" fillId="32" borderId="0" xfId="422" applyNumberFormat="1" applyFill="1" applyBorder="1"/>
    <xf numFmtId="202" fontId="6" fillId="0" borderId="0" xfId="422" applyNumberFormat="1" applyFill="1" applyBorder="1"/>
    <xf numFmtId="0" fontId="7" fillId="32" borderId="0" xfId="422" applyFont="1" applyFill="1" applyBorder="1" applyAlignment="1">
      <alignment horizontal="center"/>
    </xf>
    <xf numFmtId="0" fontId="7" fillId="32" borderId="22" xfId="422" applyFont="1" applyFill="1" applyBorder="1"/>
    <xf numFmtId="168" fontId="6" fillId="32" borderId="15" xfId="267" applyNumberFormat="1" applyFont="1" applyFill="1" applyBorder="1" applyAlignment="1"/>
    <xf numFmtId="1" fontId="7" fillId="0" borderId="0" xfId="422" applyNumberFormat="1" applyFont="1" applyFill="1" applyBorder="1" applyAlignment="1">
      <alignment horizontal="right"/>
    </xf>
    <xf numFmtId="168" fontId="6" fillId="32" borderId="30" xfId="267" applyNumberFormat="1" applyFont="1" applyFill="1" applyBorder="1" applyAlignment="1"/>
    <xf numFmtId="0" fontId="6" fillId="0" borderId="0" xfId="422" applyFill="1"/>
    <xf numFmtId="166" fontId="7" fillId="0" borderId="5" xfId="422" applyNumberFormat="1" applyFont="1" applyBorder="1"/>
    <xf numFmtId="0" fontId="7" fillId="0" borderId="0" xfId="422" applyFont="1" applyFill="1"/>
    <xf numFmtId="1" fontId="7" fillId="0" borderId="0" xfId="422" applyNumberFormat="1" applyFont="1" applyFill="1" applyBorder="1" applyAlignment="1">
      <alignment horizontal="left"/>
    </xf>
    <xf numFmtId="0" fontId="14" fillId="0" borderId="0" xfId="393" applyFont="1" applyFill="1" applyBorder="1"/>
    <xf numFmtId="0" fontId="10" fillId="0" borderId="0" xfId="393" applyFont="1" applyFill="1" applyBorder="1"/>
    <xf numFmtId="0" fontId="7" fillId="23" borderId="5" xfId="422" applyFont="1" applyFill="1" applyBorder="1"/>
    <xf numFmtId="0" fontId="7" fillId="23" borderId="15" xfId="422" applyFont="1" applyFill="1" applyBorder="1"/>
    <xf numFmtId="4" fontId="7" fillId="0" borderId="0" xfId="422" applyNumberFormat="1" applyFont="1" applyFill="1"/>
    <xf numFmtId="166" fontId="6" fillId="0" borderId="0" xfId="422" applyNumberFormat="1"/>
    <xf numFmtId="166" fontId="7" fillId="25" borderId="0" xfId="422" applyNumberFormat="1" applyFont="1" applyFill="1"/>
    <xf numFmtId="0" fontId="6" fillId="0" borderId="0" xfId="393" applyFont="1" applyAlignment="1"/>
    <xf numFmtId="166" fontId="6" fillId="25" borderId="0" xfId="422" applyNumberFormat="1" applyFill="1"/>
    <xf numFmtId="0" fontId="6" fillId="0" borderId="0" xfId="422" applyFont="1" applyFill="1"/>
    <xf numFmtId="0" fontId="6" fillId="0" borderId="0" xfId="393" applyFont="1" applyAlignment="1">
      <alignment wrapText="1"/>
    </xf>
    <xf numFmtId="0" fontId="12" fillId="0" borderId="0" xfId="393" applyFont="1"/>
    <xf numFmtId="201" fontId="7" fillId="0" borderId="5" xfId="267" applyNumberFormat="1" applyFont="1" applyBorder="1"/>
    <xf numFmtId="166" fontId="6" fillId="0" borderId="0" xfId="422" applyNumberFormat="1" applyFill="1"/>
    <xf numFmtId="0" fontId="6" fillId="0" borderId="0" xfId="422" quotePrefix="1"/>
    <xf numFmtId="0" fontId="6" fillId="0" borderId="0" xfId="422" quotePrefix="1" applyFont="1"/>
    <xf numFmtId="0" fontId="12" fillId="0" borderId="0" xfId="393" applyFont="1" applyAlignment="1">
      <alignment wrapText="1"/>
    </xf>
    <xf numFmtId="0" fontId="6" fillId="0" borderId="0" xfId="422" applyAlignment="1">
      <alignment wrapText="1"/>
    </xf>
    <xf numFmtId="0" fontId="6" fillId="0" borderId="0" xfId="422" applyFont="1"/>
    <xf numFmtId="0" fontId="6" fillId="0" borderId="0" xfId="393" applyAlignment="1">
      <alignment wrapText="1"/>
    </xf>
    <xf numFmtId="0" fontId="6" fillId="0" borderId="0" xfId="393" applyAlignment="1"/>
    <xf numFmtId="0" fontId="6" fillId="0" borderId="0" xfId="422" applyFont="1" applyAlignment="1">
      <alignment vertical="top" wrapText="1"/>
    </xf>
    <xf numFmtId="0" fontId="6" fillId="0" borderId="0" xfId="422" applyAlignment="1">
      <alignment vertical="top" wrapText="1"/>
    </xf>
    <xf numFmtId="0" fontId="6" fillId="0" borderId="0" xfId="422" quotePrefix="1" applyFont="1" applyAlignment="1">
      <alignment vertical="top" wrapText="1"/>
    </xf>
    <xf numFmtId="0" fontId="6" fillId="0" borderId="0" xfId="422" applyFont="1" applyAlignment="1"/>
    <xf numFmtId="0" fontId="152" fillId="0" borderId="0" xfId="393" applyFont="1"/>
    <xf numFmtId="0" fontId="7" fillId="0" borderId="0" xfId="393" applyFont="1" applyAlignment="1">
      <alignment wrapText="1"/>
    </xf>
    <xf numFmtId="0" fontId="7" fillId="0" borderId="0" xfId="422" applyFont="1" applyFill="1" applyBorder="1" applyAlignment="1"/>
    <xf numFmtId="0" fontId="11" fillId="0" borderId="0" xfId="422" applyFont="1"/>
    <xf numFmtId="0" fontId="6" fillId="0" borderId="0" xfId="422" applyAlignment="1">
      <alignment horizontal="center"/>
    </xf>
    <xf numFmtId="0" fontId="7" fillId="23" borderId="0" xfId="393" applyFont="1" applyFill="1"/>
    <xf numFmtId="166" fontId="6" fillId="0" borderId="0" xfId="422" applyNumberFormat="1" applyFill="1" applyBorder="1"/>
    <xf numFmtId="0" fontId="6" fillId="0" borderId="0" xfId="422" applyFill="1" applyBorder="1" applyAlignment="1">
      <alignment vertical="top" wrapText="1"/>
    </xf>
    <xf numFmtId="0" fontId="7" fillId="0" borderId="0" xfId="422" applyFont="1" applyFill="1" applyBorder="1"/>
    <xf numFmtId="4" fontId="7" fillId="0" borderId="0" xfId="422" applyNumberFormat="1" applyFont="1" applyFill="1" applyBorder="1"/>
    <xf numFmtId="0" fontId="6" fillId="0" borderId="0" xfId="422" applyFill="1" applyBorder="1" applyAlignment="1">
      <alignment horizontal="center"/>
    </xf>
    <xf numFmtId="0" fontId="11" fillId="0" borderId="0" xfId="422" applyFont="1" applyFill="1" applyBorder="1"/>
    <xf numFmtId="0" fontId="12" fillId="0" borderId="0" xfId="393" applyFont="1" applyFill="1" applyBorder="1"/>
    <xf numFmtId="0" fontId="6" fillId="0" borderId="0" xfId="393" applyFont="1" applyFill="1" applyBorder="1" applyAlignment="1"/>
    <xf numFmtId="201" fontId="7" fillId="0" borderId="0" xfId="267" applyNumberFormat="1" applyFont="1" applyFill="1" applyBorder="1"/>
    <xf numFmtId="0" fontId="7" fillId="0" borderId="0" xfId="393" applyFont="1" applyFill="1" applyBorder="1" applyAlignment="1"/>
    <xf numFmtId="0" fontId="6" fillId="0" borderId="0" xfId="393" applyFill="1" applyBorder="1" applyAlignment="1"/>
    <xf numFmtId="0" fontId="152" fillId="0" borderId="0" xfId="393" applyFont="1" applyFill="1" applyBorder="1"/>
    <xf numFmtId="0" fontId="6" fillId="0" borderId="0" xfId="422" applyFont="1" applyFill="1" applyBorder="1" applyAlignment="1"/>
    <xf numFmtId="0" fontId="6" fillId="0" borderId="0" xfId="422" quotePrefix="1" applyFont="1" applyFill="1" applyBorder="1"/>
    <xf numFmtId="0" fontId="6" fillId="0" borderId="0" xfId="393" applyFill="1" applyBorder="1"/>
    <xf numFmtId="0" fontId="6" fillId="0" borderId="0" xfId="422" quotePrefix="1" applyFill="1" applyBorder="1"/>
    <xf numFmtId="0" fontId="6" fillId="0" borderId="0" xfId="422" quotePrefix="1" applyFont="1" applyFill="1" applyBorder="1" applyAlignment="1">
      <alignment vertical="top" wrapText="1"/>
    </xf>
    <xf numFmtId="0" fontId="6" fillId="0" borderId="0" xfId="422" applyFont="1" applyFill="1" applyBorder="1" applyAlignment="1">
      <alignment vertical="top" wrapText="1"/>
    </xf>
    <xf numFmtId="0" fontId="6" fillId="0" borderId="0" xfId="393" applyFill="1" applyBorder="1" applyAlignment="1">
      <alignment wrapText="1"/>
    </xf>
    <xf numFmtId="0" fontId="6" fillId="0" borderId="0" xfId="422" applyFill="1" applyBorder="1" applyAlignment="1">
      <alignment wrapText="1"/>
    </xf>
    <xf numFmtId="0" fontId="12" fillId="0" borderId="0" xfId="393" applyFont="1" applyFill="1" applyBorder="1" applyAlignment="1"/>
    <xf numFmtId="166" fontId="7" fillId="0" borderId="0" xfId="422" applyNumberFormat="1" applyFont="1" applyFill="1" applyBorder="1"/>
    <xf numFmtId="201" fontId="6" fillId="0" borderId="0" xfId="267" applyNumberFormat="1" applyFill="1" applyBorder="1" applyAlignment="1">
      <alignment horizontal="center"/>
    </xf>
    <xf numFmtId="2" fontId="6" fillId="0" borderId="0" xfId="267" applyNumberFormat="1" applyFill="1" applyBorder="1" applyAlignment="1">
      <alignment horizontal="center"/>
    </xf>
    <xf numFmtId="201" fontId="7" fillId="0" borderId="0" xfId="422" applyNumberFormat="1" applyFont="1" applyFill="1" applyBorder="1" applyAlignment="1">
      <alignment horizontal="center"/>
    </xf>
    <xf numFmtId="166" fontId="6" fillId="0" borderId="0" xfId="422" applyNumberFormat="1" applyFont="1" applyFill="1" applyBorder="1" applyAlignment="1">
      <alignment horizontal="center"/>
    </xf>
    <xf numFmtId="0" fontId="6" fillId="0" borderId="24" xfId="0" applyFont="1" applyBorder="1" applyAlignment="1">
      <alignment horizontal="center"/>
    </xf>
    <xf numFmtId="0" fontId="6" fillId="0" borderId="9" xfId="0" applyFont="1" applyFill="1" applyBorder="1" applyAlignment="1">
      <alignment horizontal="center" vertical="center"/>
    </xf>
    <xf numFmtId="0" fontId="7" fillId="0" borderId="24" xfId="393" applyFont="1" applyFill="1" applyBorder="1" applyAlignment="1">
      <alignment horizontal="center"/>
    </xf>
    <xf numFmtId="10" fontId="6" fillId="0" borderId="0" xfId="450" applyNumberFormat="1" applyFont="1" applyFill="1" applyBorder="1" applyAlignment="1">
      <alignment horizontal="center"/>
    </xf>
    <xf numFmtId="199" fontId="132" fillId="45" borderId="142" xfId="267" applyNumberFormat="1" applyFont="1" applyFill="1" applyBorder="1" applyAlignment="1">
      <alignment horizontal="center"/>
    </xf>
    <xf numFmtId="0" fontId="153" fillId="0" borderId="0" xfId="393" applyFont="1"/>
    <xf numFmtId="176" fontId="154" fillId="43" borderId="0" xfId="0" applyNumberFormat="1" applyFont="1" applyFill="1" applyAlignment="1">
      <alignment horizontal="right" vertical="center" wrapText="1"/>
    </xf>
    <xf numFmtId="176" fontId="155" fillId="46" borderId="143" xfId="0" applyNumberFormat="1" applyFont="1" applyFill="1" applyBorder="1" applyAlignment="1">
      <alignment horizontal="right" vertical="center" wrapText="1"/>
    </xf>
    <xf numFmtId="174" fontId="6" fillId="25" borderId="0" xfId="267" applyNumberFormat="1" applyFont="1" applyFill="1" applyBorder="1" applyAlignment="1">
      <alignment vertical="top" wrapText="1"/>
    </xf>
    <xf numFmtId="3" fontId="6" fillId="25" borderId="0" xfId="0" applyNumberFormat="1" applyFont="1" applyFill="1"/>
    <xf numFmtId="0" fontId="7" fillId="0" borderId="0" xfId="0" applyFont="1" applyBorder="1" applyAlignment="1">
      <alignment horizontal="center"/>
    </xf>
    <xf numFmtId="3" fontId="7" fillId="0" borderId="20" xfId="413" applyNumberFormat="1" applyFont="1" applyBorder="1" applyAlignment="1">
      <alignment horizontal="center" vertical="top" wrapText="1"/>
    </xf>
    <xf numFmtId="0" fontId="6" fillId="0" borderId="24" xfId="413" applyFont="1" applyBorder="1" applyAlignment="1"/>
    <xf numFmtId="3" fontId="6" fillId="0" borderId="3" xfId="0" applyNumberFormat="1" applyFont="1" applyBorder="1" applyAlignment="1">
      <alignment vertical="top" wrapText="1"/>
    </xf>
    <xf numFmtId="174" fontId="7" fillId="0" borderId="18" xfId="0" applyNumberFormat="1" applyFont="1" applyFill="1" applyBorder="1" applyAlignment="1">
      <alignment horizontal="center"/>
    </xf>
    <xf numFmtId="0" fontId="156" fillId="0" borderId="22" xfId="413" applyFont="1" applyBorder="1" applyAlignment="1">
      <alignment horizontal="left" vertical="center" indent="1"/>
    </xf>
    <xf numFmtId="0" fontId="37" fillId="0" borderId="24" xfId="413" applyFont="1" applyBorder="1"/>
    <xf numFmtId="195" fontId="37" fillId="0" borderId="53" xfId="268" applyNumberFormat="1" applyFont="1" applyBorder="1"/>
    <xf numFmtId="0" fontId="37" fillId="0" borderId="3" xfId="413" applyFont="1" applyBorder="1" applyAlignment="1">
      <alignment horizontal="left" vertical="center" indent="1"/>
    </xf>
    <xf numFmtId="0" fontId="37" fillId="0" borderId="18" xfId="413" applyFont="1" applyBorder="1"/>
    <xf numFmtId="195" fontId="37" fillId="0" borderId="8" xfId="268" applyNumberFormat="1" applyFont="1" applyBorder="1"/>
    <xf numFmtId="164" fontId="6" fillId="0" borderId="8" xfId="267" applyNumberFormat="1" applyFont="1" applyBorder="1" applyAlignment="1">
      <alignment horizontal="right"/>
    </xf>
    <xf numFmtId="164" fontId="6" fillId="0" borderId="8" xfId="267" applyNumberFormat="1" applyFont="1" applyFill="1" applyBorder="1" applyAlignment="1">
      <alignment horizontal="right"/>
    </xf>
    <xf numFmtId="0" fontId="37" fillId="0" borderId="19" xfId="413" applyFont="1" applyBorder="1" applyAlignment="1">
      <alignment horizontal="left" vertical="center" indent="1"/>
    </xf>
    <xf numFmtId="0" fontId="37" fillId="0" borderId="23" xfId="413" applyFont="1" applyBorder="1"/>
    <xf numFmtId="195" fontId="37" fillId="0" borderId="55" xfId="268" applyNumberFormat="1" applyFont="1" applyBorder="1"/>
    <xf numFmtId="0" fontId="66" fillId="0" borderId="3" xfId="413" applyFont="1" applyBorder="1" applyAlignment="1">
      <alignment horizontal="left" vertical="center" indent="1"/>
    </xf>
    <xf numFmtId="0" fontId="37" fillId="0" borderId="0" xfId="413" applyFont="1" applyBorder="1"/>
    <xf numFmtId="195" fontId="88" fillId="0" borderId="53" xfId="268" applyNumberFormat="1" applyFont="1" applyBorder="1"/>
    <xf numFmtId="0" fontId="37" fillId="0" borderId="22" xfId="413" applyFont="1" applyBorder="1" applyAlignment="1">
      <alignment horizontal="left" vertical="center" indent="1"/>
    </xf>
    <xf numFmtId="0" fontId="37" fillId="0" borderId="24" xfId="413" applyFont="1" applyBorder="1" applyAlignment="1">
      <alignment horizontal="right" vertical="center"/>
    </xf>
    <xf numFmtId="6" fontId="37" fillId="0" borderId="53" xfId="413" applyNumberFormat="1" applyFont="1" applyBorder="1" applyAlignment="1">
      <alignment horizontal="right" vertical="center"/>
    </xf>
    <xf numFmtId="0" fontId="37" fillId="0" borderId="23" xfId="413" applyFont="1" applyBorder="1" applyAlignment="1">
      <alignment horizontal="right" vertical="center"/>
    </xf>
    <xf numFmtId="6" fontId="37" fillId="0" borderId="55" xfId="413" applyNumberFormat="1" applyFont="1" applyBorder="1" applyAlignment="1">
      <alignment horizontal="right" vertical="center"/>
    </xf>
    <xf numFmtId="0" fontId="66" fillId="0" borderId="15" xfId="413" applyFont="1" applyBorder="1" applyAlignment="1">
      <alignment horizontal="left" vertical="center" indent="1"/>
    </xf>
    <xf numFmtId="0" fontId="66" fillId="0" borderId="30" xfId="413" applyFont="1" applyBorder="1" applyAlignment="1">
      <alignment horizontal="right" vertical="center"/>
    </xf>
    <xf numFmtId="195" fontId="66" fillId="0" borderId="9" xfId="413" applyNumberFormat="1" applyFont="1" applyBorder="1" applyAlignment="1">
      <alignment horizontal="right" vertical="center"/>
    </xf>
    <xf numFmtId="3" fontId="6" fillId="0" borderId="23" xfId="413" applyNumberFormat="1" applyFont="1" applyBorder="1"/>
    <xf numFmtId="0" fontId="6" fillId="0" borderId="19" xfId="413" applyFont="1" applyBorder="1"/>
    <xf numFmtId="174" fontId="41" fillId="0" borderId="23" xfId="413" applyNumberFormat="1" applyFont="1" applyBorder="1" applyAlignment="1">
      <alignment horizontal="center"/>
    </xf>
    <xf numFmtId="0" fontId="37" fillId="0" borderId="22" xfId="413" applyFont="1" applyBorder="1"/>
    <xf numFmtId="0" fontId="37" fillId="0" borderId="20" xfId="413" applyFont="1" applyBorder="1"/>
    <xf numFmtId="0" fontId="37" fillId="0" borderId="3" xfId="413" applyFont="1" applyBorder="1"/>
    <xf numFmtId="0" fontId="66" fillId="0" borderId="3" xfId="413" applyFont="1" applyBorder="1" applyAlignment="1">
      <alignment horizontal="left" vertical="top" wrapText="1"/>
    </xf>
    <xf numFmtId="0" fontId="66" fillId="0" borderId="0" xfId="413" applyFont="1" applyBorder="1" applyAlignment="1">
      <alignment horizontal="left" vertical="top" wrapText="1"/>
    </xf>
    <xf numFmtId="0" fontId="66" fillId="0" borderId="18" xfId="413" applyFont="1" applyBorder="1" applyAlignment="1">
      <alignment horizontal="left" vertical="top" wrapText="1"/>
    </xf>
    <xf numFmtId="0" fontId="7" fillId="0" borderId="3" xfId="421" applyFont="1" applyFill="1" applyBorder="1" applyAlignment="1">
      <alignment horizontal="left" wrapText="1"/>
    </xf>
    <xf numFmtId="0" fontId="39" fillId="0" borderId="0" xfId="0" applyFont="1" applyBorder="1" applyAlignment="1">
      <alignment vertical="top" wrapText="1"/>
    </xf>
    <xf numFmtId="0" fontId="0" fillId="0" borderId="34" xfId="0" applyBorder="1"/>
    <xf numFmtId="174" fontId="6" fillId="0" borderId="0" xfId="267" applyNumberFormat="1" applyFont="1" applyFill="1" applyBorder="1"/>
    <xf numFmtId="3" fontId="8" fillId="0" borderId="18" xfId="267" applyNumberFormat="1" applyFont="1" applyFill="1" applyBorder="1" applyAlignment="1">
      <alignment horizontal="center" vertical="top" wrapText="1"/>
    </xf>
    <xf numFmtId="3" fontId="8" fillId="0" borderId="3" xfId="0" applyNumberFormat="1" applyFont="1" applyFill="1" applyBorder="1" applyAlignment="1">
      <alignment vertical="top" wrapText="1"/>
    </xf>
    <xf numFmtId="3" fontId="25" fillId="0" borderId="0" xfId="0" quotePrefix="1" applyNumberFormat="1" applyFont="1" applyBorder="1" applyAlignment="1">
      <alignment horizontal="center" vertical="top" wrapText="1"/>
    </xf>
    <xf numFmtId="179" fontId="149" fillId="42" borderId="141" xfId="0" applyNumberFormat="1" applyFont="1" applyFill="1" applyBorder="1" applyAlignment="1">
      <alignment horizontal="right" vertical="center" wrapText="1"/>
    </xf>
    <xf numFmtId="179" fontId="149" fillId="43" borderId="141" xfId="0" applyNumberFormat="1" applyFont="1" applyFill="1" applyBorder="1" applyAlignment="1">
      <alignment horizontal="right" vertical="center" wrapText="1"/>
    </xf>
    <xf numFmtId="3" fontId="6" fillId="0" borderId="0" xfId="0" applyNumberFormat="1" applyFont="1" applyBorder="1" applyAlignment="1">
      <alignment vertical="top" wrapText="1"/>
    </xf>
    <xf numFmtId="0" fontId="7" fillId="0" borderId="3" xfId="0" applyFont="1" applyFill="1" applyBorder="1" applyAlignment="1">
      <alignment horizontal="right"/>
    </xf>
    <xf numFmtId="173" fontId="7" fillId="0" borderId="0" xfId="0" applyNumberFormat="1" applyFont="1" applyFill="1" applyBorder="1" applyAlignment="1">
      <alignment horizontal="right"/>
    </xf>
    <xf numFmtId="172" fontId="13" fillId="0" borderId="0" xfId="0" applyNumberFormat="1" applyFont="1" applyFill="1" applyBorder="1" applyAlignment="1">
      <alignment horizontal="center"/>
    </xf>
    <xf numFmtId="3" fontId="13" fillId="0" borderId="0" xfId="0" applyNumberFormat="1" applyFont="1" applyFill="1" applyBorder="1" applyAlignment="1">
      <alignment horizontal="center"/>
    </xf>
    <xf numFmtId="3" fontId="13"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26" xfId="0" applyFill="1" applyBorder="1" applyAlignment="1">
      <alignment horizontal="left"/>
    </xf>
    <xf numFmtId="0" fontId="6" fillId="0" borderId="27" xfId="0" applyFont="1" applyBorder="1" applyAlignment="1">
      <alignment horizontal="center"/>
    </xf>
    <xf numFmtId="1" fontId="0" fillId="0" borderId="0" xfId="0" applyNumberFormat="1" applyFill="1" applyAlignment="1"/>
    <xf numFmtId="0" fontId="39" fillId="0" borderId="135" xfId="0" applyFont="1" applyBorder="1" applyAlignment="1">
      <alignment horizontal="left" vertical="top"/>
    </xf>
    <xf numFmtId="0" fontId="39" fillId="0" borderId="0" xfId="0" applyFont="1" applyBorder="1" applyAlignment="1">
      <alignment horizontal="left" vertical="top"/>
    </xf>
    <xf numFmtId="0" fontId="39" fillId="0" borderId="40" xfId="0" applyFont="1" applyBorder="1" applyAlignment="1">
      <alignment horizontal="left" vertical="top"/>
    </xf>
    <xf numFmtId="0" fontId="39" fillId="0" borderId="136" xfId="0" applyFont="1" applyBorder="1" applyAlignment="1">
      <alignment horizontal="left" vertical="top"/>
    </xf>
    <xf numFmtId="0" fontId="39" fillId="0" borderId="108" xfId="0" applyFont="1" applyBorder="1" applyAlignment="1">
      <alignment horizontal="left" vertical="top"/>
    </xf>
    <xf numFmtId="0" fontId="39" fillId="0" borderId="137" xfId="0" applyFont="1" applyBorder="1" applyAlignment="1">
      <alignment horizontal="left" vertical="top"/>
    </xf>
    <xf numFmtId="0" fontId="39" fillId="0" borderId="40" xfId="0" applyFont="1" applyBorder="1" applyAlignment="1">
      <alignment horizontal="center" vertical="top" wrapText="1"/>
    </xf>
    <xf numFmtId="0" fontId="39" fillId="0" borderId="0" xfId="0" applyFont="1" applyBorder="1" applyAlignment="1">
      <alignment horizontal="center" vertical="top" wrapText="1"/>
    </xf>
    <xf numFmtId="0" fontId="39" fillId="0" borderId="135" xfId="0" applyFont="1" applyBorder="1" applyAlignment="1">
      <alignment horizontal="left" vertical="top" indent="2"/>
    </xf>
    <xf numFmtId="0" fontId="46" fillId="0" borderId="0" xfId="0" applyFont="1" applyBorder="1" applyAlignment="1">
      <alignment horizontal="center" vertical="top"/>
    </xf>
    <xf numFmtId="0" fontId="46" fillId="0" borderId="40" xfId="0" applyFont="1" applyBorder="1" applyAlignment="1">
      <alignment horizontal="center" vertical="top"/>
    </xf>
    <xf numFmtId="0" fontId="46" fillId="47" borderId="0" xfId="0" applyFont="1" applyFill="1" applyBorder="1" applyAlignment="1">
      <alignment horizontal="center" vertical="top"/>
    </xf>
    <xf numFmtId="0" fontId="7" fillId="0" borderId="31" xfId="0" applyFont="1" applyBorder="1" applyAlignment="1">
      <alignment horizontal="left" indent="1"/>
    </xf>
    <xf numFmtId="0" fontId="22" fillId="0" borderId="0" xfId="0" applyFont="1" applyBorder="1" applyAlignment="1">
      <alignment horizontal="center"/>
    </xf>
    <xf numFmtId="0" fontId="7" fillId="0" borderId="0" xfId="0" applyFont="1" applyBorder="1" applyAlignment="1">
      <alignment horizontal="center"/>
    </xf>
    <xf numFmtId="0" fontId="0" fillId="0" borderId="0" xfId="0" applyBorder="1" applyAlignment="1"/>
    <xf numFmtId="0" fontId="0" fillId="0" borderId="18" xfId="0" applyBorder="1" applyAlignment="1"/>
    <xf numFmtId="3" fontId="7" fillId="0" borderId="20" xfId="0" applyNumberFormat="1" applyFont="1" applyBorder="1" applyAlignment="1">
      <alignment horizontal="center" vertical="top" wrapText="1"/>
    </xf>
    <xf numFmtId="0" fontId="0" fillId="0" borderId="24" xfId="0" applyBorder="1" applyAlignment="1"/>
    <xf numFmtId="3" fontId="7" fillId="0" borderId="0" xfId="0" applyNumberFormat="1" applyFont="1" applyBorder="1" applyAlignment="1">
      <alignment horizontal="center" vertical="top"/>
    </xf>
    <xf numFmtId="3" fontId="7" fillId="0" borderId="0" xfId="0" applyNumberFormat="1" applyFont="1" applyBorder="1" applyAlignment="1">
      <alignment horizontal="center" vertical="top" wrapText="1"/>
    </xf>
    <xf numFmtId="174" fontId="10" fillId="0" borderId="0" xfId="0" applyNumberFormat="1" applyFont="1" applyBorder="1" applyAlignment="1">
      <alignment horizontal="center"/>
    </xf>
    <xf numFmtId="174" fontId="34" fillId="0" borderId="0" xfId="0" applyNumberFormat="1" applyFont="1" applyBorder="1" applyAlignment="1">
      <alignment horizontal="center"/>
    </xf>
    <xf numFmtId="0" fontId="58" fillId="0" borderId="0" xfId="0" applyFont="1" applyBorder="1"/>
    <xf numFmtId="3" fontId="7" fillId="0" borderId="20" xfId="0" applyNumberFormat="1" applyFont="1" applyBorder="1" applyAlignment="1">
      <alignment horizontal="center" vertical="top"/>
    </xf>
    <xf numFmtId="3" fontId="6" fillId="0" borderId="3" xfId="0" applyNumberFormat="1" applyFont="1" applyFill="1" applyBorder="1" applyAlignment="1">
      <alignment vertical="top" wrapText="1"/>
    </xf>
    <xf numFmtId="3" fontId="6" fillId="0" borderId="3" xfId="0" applyNumberFormat="1" applyFont="1" applyFill="1" applyBorder="1" applyAlignment="1">
      <alignment horizontal="left" vertical="top" wrapText="1"/>
    </xf>
    <xf numFmtId="174" fontId="0" fillId="0" borderId="145" xfId="0" applyNumberFormat="1" applyBorder="1" applyAlignment="1">
      <alignment horizontal="right" vertical="center"/>
    </xf>
    <xf numFmtId="3" fontId="7" fillId="0" borderId="24" xfId="0" applyNumberFormat="1" applyFont="1" applyBorder="1" applyAlignment="1">
      <alignment horizontal="center" vertical="top"/>
    </xf>
    <xf numFmtId="174" fontId="7" fillId="0" borderId="18" xfId="267" applyNumberFormat="1" applyFont="1" applyFill="1" applyBorder="1" applyAlignment="1">
      <alignment horizontal="center" vertical="top"/>
    </xf>
    <xf numFmtId="3" fontId="7" fillId="0" borderId="3" xfId="0" applyNumberFormat="1" applyFont="1" applyBorder="1" applyAlignment="1">
      <alignment vertical="top"/>
    </xf>
    <xf numFmtId="3" fontId="0" fillId="0" borderId="18" xfId="0" applyNumberFormat="1" applyBorder="1" applyAlignment="1"/>
    <xf numFmtId="174" fontId="15" fillId="0" borderId="0" xfId="0" applyNumberFormat="1" applyFont="1" applyBorder="1" applyAlignment="1"/>
    <xf numFmtId="3" fontId="6" fillId="0" borderId="18" xfId="0" applyNumberFormat="1" applyFont="1" applyFill="1" applyBorder="1" applyAlignment="1"/>
    <xf numFmtId="0" fontId="58" fillId="0" borderId="18" xfId="0" applyFont="1" applyBorder="1" applyAlignment="1"/>
    <xf numFmtId="0" fontId="0" fillId="0" borderId="23" xfId="0" applyBorder="1" applyAlignment="1"/>
    <xf numFmtId="174" fontId="0" fillId="0" borderId="20" xfId="0" applyNumberFormat="1" applyBorder="1"/>
    <xf numFmtId="174" fontId="34" fillId="0" borderId="18" xfId="267" applyNumberFormat="1" applyFont="1" applyFill="1" applyBorder="1" applyAlignment="1">
      <alignment horizontal="center" vertical="top"/>
    </xf>
    <xf numFmtId="174" fontId="151" fillId="0" borderId="18" xfId="267" applyNumberFormat="1" applyFont="1" applyFill="1" applyBorder="1" applyAlignment="1">
      <alignment horizontal="center" vertical="top"/>
    </xf>
    <xf numFmtId="174" fontId="7" fillId="0" borderId="0" xfId="267" applyNumberFormat="1" applyFont="1" applyFill="1" applyBorder="1" applyAlignment="1">
      <alignment horizontal="right" vertical="center"/>
    </xf>
    <xf numFmtId="174" fontId="10" fillId="0" borderId="18" xfId="267" applyNumberFormat="1" applyFont="1" applyFill="1" applyBorder="1" applyAlignment="1">
      <alignment horizontal="right" vertical="center"/>
    </xf>
    <xf numFmtId="3" fontId="13" fillId="0" borderId="19" xfId="0" applyNumberFormat="1" applyFont="1" applyBorder="1" applyAlignment="1">
      <alignment vertical="top"/>
    </xf>
    <xf numFmtId="174" fontId="0" fillId="0" borderId="4" xfId="0" applyNumberFormat="1" applyBorder="1" applyAlignment="1">
      <alignment vertical="top"/>
    </xf>
    <xf numFmtId="174" fontId="6" fillId="0" borderId="4" xfId="267" applyNumberFormat="1" applyFont="1" applyFill="1" applyBorder="1" applyAlignment="1">
      <alignment vertical="top"/>
    </xf>
    <xf numFmtId="174" fontId="151" fillId="0" borderId="23" xfId="267" applyNumberFormat="1" applyFont="1" applyFill="1" applyBorder="1" applyAlignment="1">
      <alignment horizontal="center" vertical="top"/>
    </xf>
    <xf numFmtId="0" fontId="21" fillId="0" borderId="146" xfId="0" applyFont="1" applyBorder="1"/>
    <xf numFmtId="0" fontId="0" fillId="0" borderId="147" xfId="0" applyBorder="1"/>
    <xf numFmtId="0" fontId="21" fillId="0" borderId="147" xfId="0" applyFont="1" applyBorder="1" applyAlignment="1">
      <alignment horizontal="center"/>
    </xf>
    <xf numFmtId="0" fontId="157" fillId="0" borderId="148" xfId="0" applyFont="1" applyBorder="1" applyAlignment="1">
      <alignment horizontal="center"/>
    </xf>
    <xf numFmtId="174" fontId="6" fillId="0" borderId="4" xfId="0" applyNumberFormat="1" applyFont="1" applyBorder="1" applyAlignment="1">
      <alignment horizontal="right" vertical="center"/>
    </xf>
    <xf numFmtId="174" fontId="6" fillId="0" borderId="145" xfId="0" applyNumberFormat="1" applyFont="1" applyBorder="1" applyAlignment="1">
      <alignment horizontal="right" vertical="center"/>
    </xf>
    <xf numFmtId="174" fontId="6" fillId="0" borderId="0" xfId="267" applyNumberFormat="1" applyFont="1" applyFill="1" applyBorder="1" applyAlignment="1">
      <alignment wrapText="1"/>
    </xf>
    <xf numFmtId="3" fontId="6" fillId="0" borderId="3" xfId="0" applyNumberFormat="1" applyFont="1" applyBorder="1" applyAlignment="1">
      <alignment wrapText="1"/>
    </xf>
    <xf numFmtId="174" fontId="0" fillId="0" borderId="0" xfId="0" applyNumberFormat="1" applyFill="1"/>
    <xf numFmtId="174" fontId="6" fillId="0" borderId="4" xfId="267" applyNumberFormat="1" applyFont="1" applyFill="1" applyBorder="1" applyAlignment="1">
      <alignment wrapText="1"/>
    </xf>
    <xf numFmtId="3" fontId="25" fillId="0" borderId="0" xfId="0" applyNumberFormat="1" applyFont="1" applyBorder="1" applyAlignment="1">
      <alignment horizontal="center"/>
    </xf>
    <xf numFmtId="0" fontId="22" fillId="0" borderId="0" xfId="0" applyFont="1" applyBorder="1" applyAlignment="1">
      <alignment horizontal="left" vertical="top" wrapText="1"/>
    </xf>
    <xf numFmtId="0" fontId="8" fillId="0" borderId="0" xfId="0" applyFont="1" applyFill="1" applyBorder="1"/>
    <xf numFmtId="174" fontId="25" fillId="0" borderId="18" xfId="0" applyNumberFormat="1" applyFont="1" applyBorder="1" applyAlignment="1">
      <alignment horizontal="center"/>
    </xf>
    <xf numFmtId="0" fontId="7" fillId="0" borderId="20" xfId="0" applyFont="1" applyBorder="1" applyAlignment="1">
      <alignment horizontal="center"/>
    </xf>
    <xf numFmtId="0" fontId="7" fillId="0" borderId="0" xfId="0" applyFont="1" applyBorder="1" applyAlignment="1">
      <alignment horizontal="center"/>
    </xf>
    <xf numFmtId="0" fontId="7" fillId="0" borderId="18" xfId="0" applyFont="1" applyBorder="1" applyAlignment="1">
      <alignment horizontal="center"/>
    </xf>
    <xf numFmtId="174" fontId="7" fillId="0" borderId="18" xfId="0" applyNumberFormat="1" applyFont="1" applyFill="1" applyBorder="1" applyAlignment="1">
      <alignment horizontal="center" vertical="center"/>
    </xf>
    <xf numFmtId="203" fontId="0" fillId="0" borderId="0" xfId="0" applyNumberFormat="1" applyFill="1" applyAlignment="1"/>
    <xf numFmtId="0" fontId="7" fillId="0" borderId="149" xfId="0" applyFont="1" applyBorder="1" applyAlignment="1">
      <alignment horizontal="left" indent="1"/>
    </xf>
    <xf numFmtId="0" fontId="114" fillId="0" borderId="150" xfId="0" applyFont="1" applyBorder="1" applyAlignment="1">
      <alignment horizontal="center"/>
    </xf>
    <xf numFmtId="0" fontId="158" fillId="0" borderId="151" xfId="0" applyFont="1" applyBorder="1" applyAlignment="1">
      <alignment horizontal="center"/>
    </xf>
    <xf numFmtId="173" fontId="0" fillId="0" borderId="0" xfId="0" applyNumberFormat="1"/>
    <xf numFmtId="0" fontId="3" fillId="0" borderId="0" xfId="496"/>
    <xf numFmtId="169" fontId="25" fillId="0" borderId="0" xfId="0" applyNumberFormat="1" applyFont="1" applyFill="1" applyBorder="1"/>
    <xf numFmtId="174" fontId="0" fillId="0" borderId="0" xfId="0" applyNumberFormat="1" applyFill="1" applyBorder="1" applyAlignment="1">
      <alignment horizontal="right"/>
    </xf>
    <xf numFmtId="174" fontId="0" fillId="0" borderId="0" xfId="0" applyNumberFormat="1" applyFill="1" applyBorder="1" applyAlignment="1"/>
    <xf numFmtId="174" fontId="0" fillId="0" borderId="4" xfId="0" applyNumberFormat="1" applyFill="1" applyBorder="1" applyAlignment="1">
      <alignment horizontal="right" vertical="center"/>
    </xf>
    <xf numFmtId="174" fontId="0" fillId="0" borderId="0" xfId="0" applyNumberFormat="1" applyFill="1" applyBorder="1"/>
    <xf numFmtId="205" fontId="0" fillId="0" borderId="0" xfId="0" applyNumberFormat="1" applyFill="1" applyAlignment="1"/>
    <xf numFmtId="174" fontId="6" fillId="0" borderId="0" xfId="0" applyNumberFormat="1" applyFont="1" applyFill="1" applyBorder="1"/>
    <xf numFmtId="174" fontId="6" fillId="0" borderId="4" xfId="0" applyNumberFormat="1" applyFont="1" applyFill="1" applyBorder="1" applyAlignment="1">
      <alignment horizontal="right" vertical="center"/>
    </xf>
    <xf numFmtId="17" fontId="7" fillId="0" borderId="18" xfId="0" applyNumberFormat="1" applyFont="1" applyBorder="1" applyAlignment="1">
      <alignment horizontal="center"/>
    </xf>
    <xf numFmtId="3" fontId="0" fillId="0" borderId="0" xfId="0" applyNumberFormat="1" applyFill="1"/>
    <xf numFmtId="0" fontId="7" fillId="0" borderId="18" xfId="0" applyFont="1" applyBorder="1" applyAlignment="1">
      <alignment horizontal="center"/>
    </xf>
    <xf numFmtId="0" fontId="0" fillId="0" borderId="0" xfId="0" applyAlignment="1"/>
    <xf numFmtId="0" fontId="0" fillId="0" borderId="3" xfId="0" applyBorder="1" applyAlignment="1">
      <alignment wrapText="1"/>
    </xf>
    <xf numFmtId="0" fontId="0" fillId="0" borderId="3" xfId="0" applyBorder="1" applyAlignment="1"/>
    <xf numFmtId="0" fontId="22" fillId="0" borderId="146" xfId="0" applyFont="1" applyFill="1" applyBorder="1" applyAlignment="1">
      <alignment horizontal="left" indent="1"/>
    </xf>
    <xf numFmtId="0" fontId="22" fillId="0" borderId="147" xfId="0" applyFont="1" applyFill="1" applyBorder="1" applyAlignment="1">
      <alignment horizontal="center"/>
    </xf>
    <xf numFmtId="0" fontId="157" fillId="0" borderId="148" xfId="0" applyFont="1" applyFill="1" applyBorder="1" applyAlignment="1">
      <alignment horizontal="center"/>
    </xf>
    <xf numFmtId="174" fontId="24" fillId="48" borderId="3" xfId="421" applyNumberFormat="1" applyFont="1" applyFill="1" applyBorder="1"/>
    <xf numFmtId="0" fontId="46" fillId="47" borderId="0" xfId="0" applyFont="1" applyFill="1" applyBorder="1" applyAlignment="1">
      <alignment horizontal="center" vertical="top"/>
    </xf>
    <xf numFmtId="0" fontId="21" fillId="0" borderId="149" xfId="0" applyFont="1" applyBorder="1" applyAlignment="1">
      <alignment horizontal="left"/>
    </xf>
    <xf numFmtId="0" fontId="21" fillId="0" borderId="150" xfId="0" applyFont="1" applyBorder="1" applyAlignment="1">
      <alignment horizontal="center"/>
    </xf>
    <xf numFmtId="0" fontId="113" fillId="0" borderId="150" xfId="0" applyFont="1" applyBorder="1" applyAlignment="1">
      <alignment horizontal="center"/>
    </xf>
    <xf numFmtId="0" fontId="21" fillId="0" borderId="149" xfId="0" applyFont="1" applyBorder="1"/>
    <xf numFmtId="0" fontId="0" fillId="0" borderId="150" xfId="0" applyBorder="1"/>
    <xf numFmtId="0" fontId="7" fillId="0" borderId="0" xfId="421" applyFont="1" applyBorder="1" applyAlignment="1">
      <alignment horizontal="center" vertical="center"/>
    </xf>
    <xf numFmtId="0" fontId="7" fillId="0" borderId="0" xfId="421" applyFont="1" applyBorder="1" applyAlignment="1">
      <alignment horizontal="center"/>
    </xf>
    <xf numFmtId="0" fontId="7" fillId="0" borderId="18" xfId="421" applyFont="1" applyBorder="1" applyAlignment="1">
      <alignment horizontal="center"/>
    </xf>
    <xf numFmtId="0" fontId="7" fillId="0" borderId="3" xfId="421" applyFont="1" applyBorder="1" applyAlignment="1">
      <alignment horizontal="center"/>
    </xf>
    <xf numFmtId="0" fontId="7" fillId="0" borderId="20" xfId="421" applyFont="1" applyBorder="1"/>
    <xf numFmtId="17" fontId="7" fillId="0" borderId="0" xfId="421" applyNumberFormat="1" applyFont="1" applyBorder="1" applyAlignment="1">
      <alignment horizontal="center" vertical="center"/>
    </xf>
    <xf numFmtId="0" fontId="7" fillId="0" borderId="18" xfId="421" applyFont="1" applyBorder="1" applyAlignment="1">
      <alignment horizontal="center" vertical="center"/>
    </xf>
    <xf numFmtId="17" fontId="7" fillId="0" borderId="3" xfId="421" applyNumberFormat="1" applyFont="1" applyBorder="1" applyAlignment="1">
      <alignment horizontal="center" vertical="center"/>
    </xf>
    <xf numFmtId="17" fontId="7" fillId="0" borderId="0" xfId="421" applyNumberFormat="1" applyFont="1" applyFill="1" applyBorder="1" applyAlignment="1">
      <alignment horizontal="center" vertical="center"/>
    </xf>
    <xf numFmtId="0" fontId="7" fillId="0" borderId="3" xfId="421" applyFont="1" applyBorder="1" applyAlignment="1">
      <alignment horizontal="right"/>
    </xf>
    <xf numFmtId="196" fontId="6" fillId="0" borderId="18" xfId="267" applyNumberFormat="1" applyFont="1" applyFill="1" applyBorder="1"/>
    <xf numFmtId="196" fontId="24" fillId="0" borderId="3" xfId="421" applyNumberFormat="1" applyFont="1" applyFill="1" applyBorder="1"/>
    <xf numFmtId="196" fontId="24" fillId="0" borderId="18" xfId="421" applyNumberFormat="1" applyFont="1" applyFill="1" applyBorder="1"/>
    <xf numFmtId="171" fontId="7" fillId="0" borderId="19" xfId="267" applyNumberFormat="1" applyFont="1" applyBorder="1"/>
    <xf numFmtId="196" fontId="7" fillId="0" borderId="4" xfId="421" applyNumberFormat="1" applyFont="1" applyBorder="1"/>
    <xf numFmtId="196" fontId="7" fillId="0" borderId="19" xfId="421" applyNumberFormat="1" applyFont="1" applyBorder="1"/>
    <xf numFmtId="171" fontId="6" fillId="0" borderId="0" xfId="267" applyNumberFormat="1" applyFont="1" applyBorder="1"/>
    <xf numFmtId="3" fontId="7" fillId="0" borderId="0" xfId="421" applyNumberFormat="1" applyFont="1" applyBorder="1"/>
    <xf numFmtId="0" fontId="46" fillId="47" borderId="0" xfId="0" applyFont="1" applyFill="1" applyBorder="1" applyAlignment="1">
      <alignment horizontal="center" vertical="top"/>
    </xf>
    <xf numFmtId="174" fontId="24" fillId="48" borderId="0" xfId="421" applyNumberFormat="1" applyFont="1" applyFill="1" applyBorder="1"/>
    <xf numFmtId="206" fontId="39" fillId="25" borderId="18" xfId="0" applyNumberFormat="1" applyFont="1" applyFill="1" applyBorder="1" applyAlignment="1"/>
    <xf numFmtId="0" fontId="37" fillId="0" borderId="0" xfId="0" applyFont="1" applyAlignment="1">
      <alignment vertical="center"/>
    </xf>
    <xf numFmtId="0" fontId="7" fillId="0" borderId="0" xfId="0" applyFont="1" applyAlignment="1">
      <alignment horizontal="center"/>
    </xf>
    <xf numFmtId="0" fontId="161" fillId="0" borderId="0" xfId="0" applyFont="1" applyAlignment="1">
      <alignment horizontal="left" vertical="center" wrapText="1"/>
    </xf>
    <xf numFmtId="0" fontId="162" fillId="0" borderId="0" xfId="0" applyFont="1" applyAlignment="1">
      <alignment horizontal="left" vertical="center" wrapText="1"/>
    </xf>
    <xf numFmtId="0" fontId="162" fillId="0" borderId="3" xfId="0" applyFont="1" applyBorder="1" applyAlignment="1">
      <alignment horizontal="left" vertical="center" wrapText="1"/>
    </xf>
    <xf numFmtId="0" fontId="2" fillId="0" borderId="0" xfId="0" applyFont="1"/>
    <xf numFmtId="204" fontId="2" fillId="0" borderId="0" xfId="0" applyNumberFormat="1" applyFont="1"/>
    <xf numFmtId="172" fontId="0" fillId="0" borderId="0" xfId="0" applyNumberFormat="1" applyFill="1" applyBorder="1" applyAlignment="1">
      <alignment horizontal="center"/>
    </xf>
    <xf numFmtId="0" fontId="2" fillId="0" borderId="0" xfId="0" applyFont="1" applyAlignment="1">
      <alignment horizontal="left" vertical="center"/>
    </xf>
    <xf numFmtId="0" fontId="0" fillId="48" borderId="0" xfId="0" applyFill="1" applyBorder="1"/>
    <xf numFmtId="0" fontId="0" fillId="48" borderId="0" xfId="0" applyFill="1" applyBorder="1" applyAlignment="1">
      <alignment horizontal="center"/>
    </xf>
    <xf numFmtId="0" fontId="6" fillId="48" borderId="0" xfId="0" applyFont="1" applyFill="1" applyBorder="1" applyAlignment="1">
      <alignment horizontal="center" vertical="center" wrapText="1"/>
    </xf>
    <xf numFmtId="0" fontId="0" fillId="48" borderId="27" xfId="0" applyFill="1" applyBorder="1" applyAlignment="1">
      <alignment horizontal="center"/>
    </xf>
    <xf numFmtId="0" fontId="0" fillId="48" borderId="0" xfId="0" applyFill="1" applyBorder="1" applyAlignment="1">
      <alignment horizontal="left"/>
    </xf>
    <xf numFmtId="3" fontId="0" fillId="48" borderId="0" xfId="0" applyNumberFormat="1" applyFill="1" applyBorder="1" applyAlignment="1">
      <alignment horizontal="center"/>
    </xf>
    <xf numFmtId="172" fontId="13" fillId="48" borderId="27" xfId="0" applyNumberFormat="1" applyFont="1" applyFill="1" applyBorder="1" applyAlignment="1">
      <alignment horizontal="center"/>
    </xf>
    <xf numFmtId="176" fontId="154" fillId="0" borderId="0" xfId="0" applyNumberFormat="1" applyFont="1" applyFill="1" applyAlignment="1">
      <alignment horizontal="right" vertical="center" wrapText="1"/>
    </xf>
    <xf numFmtId="204" fontId="164" fillId="0" borderId="0" xfId="0" applyNumberFormat="1" applyFont="1" applyAlignment="1">
      <alignment horizontal="right" vertical="center"/>
    </xf>
    <xf numFmtId="204" fontId="165" fillId="0" borderId="0" xfId="0" applyNumberFormat="1" applyFont="1" applyAlignment="1">
      <alignment horizontal="right" vertical="center"/>
    </xf>
    <xf numFmtId="0" fontId="22" fillId="0" borderId="0" xfId="0" applyFont="1" applyBorder="1" applyAlignment="1">
      <alignment horizontal="center"/>
    </xf>
    <xf numFmtId="0" fontId="6" fillId="0" borderId="0" xfId="0" applyFont="1" applyFill="1" applyBorder="1" applyAlignment="1">
      <alignment horizontal="left"/>
    </xf>
    <xf numFmtId="0" fontId="163" fillId="0" borderId="0" xfId="0" applyFont="1" applyAlignment="1">
      <alignment horizontal="left"/>
    </xf>
    <xf numFmtId="0" fontId="168" fillId="0" borderId="144" xfId="0" applyFont="1" applyBorder="1" applyAlignment="1">
      <alignment horizontal="center"/>
    </xf>
    <xf numFmtId="0" fontId="168" fillId="0" borderId="144" xfId="0" applyFont="1" applyBorder="1" applyAlignment="1">
      <alignment horizontal="center" wrapText="1"/>
    </xf>
    <xf numFmtId="0" fontId="168" fillId="0" borderId="153" xfId="0" applyFont="1" applyBorder="1" applyAlignment="1">
      <alignment horizontal="center"/>
    </xf>
    <xf numFmtId="0" fontId="168" fillId="0" borderId="153" xfId="0" applyFont="1" applyBorder="1" applyAlignment="1">
      <alignment horizontal="center" wrapText="1"/>
    </xf>
    <xf numFmtId="0" fontId="168" fillId="0" borderId="154" xfId="0" applyFont="1" applyBorder="1" applyAlignment="1">
      <alignment horizontal="center"/>
    </xf>
    <xf numFmtId="0" fontId="168" fillId="0" borderId="141" xfId="0" applyFont="1" applyBorder="1" applyAlignment="1">
      <alignment horizontal="center"/>
    </xf>
    <xf numFmtId="0" fontId="168" fillId="0" borderId="144" xfId="0" applyFont="1" applyBorder="1" applyAlignment="1">
      <alignment horizontal="center" vertical="center"/>
    </xf>
    <xf numFmtId="0" fontId="168" fillId="0" borderId="153" xfId="0" applyFont="1" applyBorder="1" applyAlignment="1">
      <alignment horizontal="center" vertical="center"/>
    </xf>
    <xf numFmtId="0" fontId="168" fillId="0" borderId="155" xfId="0" applyFont="1" applyBorder="1" applyAlignment="1">
      <alignment horizontal="center" vertical="center"/>
    </xf>
    <xf numFmtId="0" fontId="168" fillId="0" borderId="156" xfId="0" applyFont="1" applyBorder="1" applyAlignment="1">
      <alignment horizontal="center" vertical="center"/>
    </xf>
    <xf numFmtId="0" fontId="168" fillId="0" borderId="157" xfId="0" applyFont="1" applyBorder="1" applyAlignment="1">
      <alignment horizontal="center"/>
    </xf>
    <xf numFmtId="0" fontId="168" fillId="0" borderId="155" xfId="0" applyFont="1" applyBorder="1" applyAlignment="1">
      <alignment horizontal="center"/>
    </xf>
    <xf numFmtId="0" fontId="168" fillId="0" borderId="156" xfId="0" applyFont="1" applyBorder="1" applyAlignment="1">
      <alignment horizontal="center"/>
    </xf>
    <xf numFmtId="0" fontId="22" fillId="0" borderId="158" xfId="0" applyFont="1" applyBorder="1" applyAlignment="1">
      <alignment horizontal="left" indent="1"/>
    </xf>
    <xf numFmtId="0" fontId="22" fillId="0" borderId="159" xfId="0" applyFont="1" applyBorder="1" applyAlignment="1">
      <alignment horizontal="center"/>
    </xf>
    <xf numFmtId="0" fontId="54" fillId="0" borderId="159" xfId="0" applyFont="1" applyBorder="1" applyAlignment="1">
      <alignment horizontal="center"/>
    </xf>
    <xf numFmtId="0" fontId="169" fillId="0" borderId="160" xfId="0" applyFont="1" applyBorder="1" applyAlignment="1">
      <alignment horizontal="center"/>
    </xf>
    <xf numFmtId="0" fontId="22" fillId="0" borderId="0" xfId="0" applyFont="1" applyFill="1" applyBorder="1" applyAlignment="1">
      <alignment horizontal="left" indent="1"/>
    </xf>
    <xf numFmtId="0" fontId="7" fillId="0" borderId="20" xfId="421" applyFont="1" applyBorder="1" applyAlignment="1">
      <alignment horizontal="center"/>
    </xf>
    <xf numFmtId="0" fontId="6" fillId="0" borderId="3" xfId="393" applyBorder="1" applyAlignment="1">
      <alignment horizontal="center"/>
    </xf>
    <xf numFmtId="0" fontId="6" fillId="0" borderId="105" xfId="393" applyBorder="1" applyAlignment="1">
      <alignment horizontal="center"/>
    </xf>
    <xf numFmtId="0" fontId="6" fillId="0" borderId="106" xfId="393" applyFont="1" applyBorder="1"/>
    <xf numFmtId="0" fontId="6" fillId="0" borderId="107" xfId="393" applyFont="1" applyBorder="1"/>
    <xf numFmtId="0" fontId="160" fillId="0" borderId="96" xfId="393" applyFont="1" applyBorder="1" applyAlignment="1">
      <alignment horizontal="center" wrapText="1"/>
    </xf>
    <xf numFmtId="0" fontId="160" fillId="0" borderId="3" xfId="393" applyFont="1" applyBorder="1" applyAlignment="1">
      <alignment horizontal="center"/>
    </xf>
    <xf numFmtId="0" fontId="160" fillId="0" borderId="22" xfId="393" applyFont="1" applyBorder="1" applyAlignment="1">
      <alignment horizontal="center"/>
    </xf>
    <xf numFmtId="0" fontId="160" fillId="0" borderId="104" xfId="393" applyFont="1" applyBorder="1" applyAlignment="1">
      <alignment horizontal="center"/>
    </xf>
    <xf numFmtId="0" fontId="160" fillId="0" borderId="3" xfId="393" applyFont="1" applyFill="1" applyBorder="1" applyAlignment="1">
      <alignment horizontal="center"/>
    </xf>
    <xf numFmtId="0" fontId="160" fillId="0" borderId="0" xfId="393" applyFont="1" applyFill="1" applyBorder="1" applyAlignment="1">
      <alignment horizontal="center"/>
    </xf>
    <xf numFmtId="0" fontId="6" fillId="50" borderId="132" xfId="393" applyFill="1" applyBorder="1" applyProtection="1">
      <protection locked="0"/>
    </xf>
    <xf numFmtId="0" fontId="6" fillId="50" borderId="19" xfId="393" applyFill="1" applyBorder="1" applyProtection="1">
      <protection locked="0"/>
    </xf>
    <xf numFmtId="172" fontId="6" fillId="49" borderId="19" xfId="393" applyNumberFormat="1" applyFill="1" applyBorder="1"/>
    <xf numFmtId="172" fontId="6" fillId="50" borderId="19" xfId="393" applyNumberFormat="1" applyFill="1" applyBorder="1" applyProtection="1">
      <protection locked="0"/>
    </xf>
    <xf numFmtId="172" fontId="6" fillId="0" borderId="0" xfId="393" applyNumberFormat="1"/>
    <xf numFmtId="172" fontId="6" fillId="51" borderId="19" xfId="393" applyNumberFormat="1" applyFill="1" applyBorder="1" applyProtection="1">
      <protection locked="0"/>
    </xf>
    <xf numFmtId="0" fontId="6" fillId="50" borderId="15" xfId="393" applyFill="1" applyBorder="1" applyProtection="1">
      <protection locked="0"/>
    </xf>
    <xf numFmtId="172" fontId="6" fillId="49" borderId="15" xfId="393" applyNumberFormat="1" applyFill="1" applyBorder="1"/>
    <xf numFmtId="172" fontId="6" fillId="50" borderId="15" xfId="393" applyNumberFormat="1" applyFill="1" applyBorder="1" applyProtection="1">
      <protection locked="0"/>
    </xf>
    <xf numFmtId="172" fontId="6" fillId="51" borderId="15" xfId="393" applyNumberFormat="1" applyFill="1" applyBorder="1" applyProtection="1">
      <protection locked="0"/>
    </xf>
    <xf numFmtId="0" fontId="6" fillId="50" borderId="115" xfId="393" applyFont="1" applyFill="1" applyBorder="1" applyProtection="1">
      <protection locked="0"/>
    </xf>
    <xf numFmtId="0" fontId="6" fillId="50" borderId="115" xfId="393" applyFill="1" applyBorder="1" applyProtection="1">
      <protection locked="0"/>
    </xf>
    <xf numFmtId="0" fontId="6" fillId="46" borderId="19" xfId="393" applyFill="1" applyBorder="1"/>
    <xf numFmtId="172" fontId="6" fillId="50" borderId="133" xfId="393" applyNumberFormat="1" applyFill="1" applyBorder="1" applyProtection="1">
      <protection locked="0"/>
    </xf>
    <xf numFmtId="0" fontId="6" fillId="0" borderId="0" xfId="393" applyFont="1" applyFill="1" applyBorder="1"/>
    <xf numFmtId="3" fontId="7" fillId="0" borderId="0" xfId="393" applyNumberFormat="1"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172" fontId="6" fillId="52" borderId="19" xfId="393" applyNumberFormat="1" applyFill="1" applyBorder="1" applyProtection="1">
      <protection locked="0"/>
    </xf>
    <xf numFmtId="172" fontId="6" fillId="52" borderId="15" xfId="393" applyNumberFormat="1" applyFill="1" applyBorder="1" applyProtection="1">
      <protection locked="0"/>
    </xf>
    <xf numFmtId="0" fontId="6" fillId="52" borderId="0" xfId="393" applyFill="1"/>
    <xf numFmtId="4" fontId="6" fillId="0" borderId="0" xfId="421" applyNumberFormat="1" applyFill="1"/>
    <xf numFmtId="0" fontId="22" fillId="0" borderId="158" xfId="0" applyFont="1" applyFill="1" applyBorder="1" applyAlignment="1">
      <alignment horizontal="center"/>
    </xf>
    <xf numFmtId="0" fontId="22" fillId="0" borderId="159" xfId="0" applyFont="1" applyFill="1" applyBorder="1" applyAlignment="1">
      <alignment horizontal="center"/>
    </xf>
    <xf numFmtId="0" fontId="114" fillId="0" borderId="159" xfId="0" applyFont="1" applyBorder="1" applyAlignment="1">
      <alignment horizontal="center"/>
    </xf>
    <xf numFmtId="0" fontId="169" fillId="0" borderId="160" xfId="0" applyFont="1" applyFill="1" applyBorder="1" applyAlignment="1">
      <alignment horizontal="center"/>
    </xf>
    <xf numFmtId="0" fontId="21" fillId="0" borderId="158" xfId="0" applyFont="1" applyBorder="1"/>
    <xf numFmtId="0" fontId="0" fillId="0" borderId="159" xfId="0" applyBorder="1"/>
    <xf numFmtId="0" fontId="21" fillId="0" borderId="159" xfId="0" applyFont="1" applyBorder="1" applyAlignment="1">
      <alignment horizontal="center"/>
    </xf>
    <xf numFmtId="0" fontId="168" fillId="0" borderId="144" xfId="0" applyFont="1" applyBorder="1" applyAlignment="1">
      <alignment horizontal="center" vertical="center" wrapText="1"/>
    </xf>
    <xf numFmtId="195" fontId="6" fillId="0" borderId="0" xfId="268" applyNumberFormat="1"/>
    <xf numFmtId="172" fontId="0" fillId="50" borderId="19" xfId="0" applyNumberFormat="1" applyFill="1" applyBorder="1" applyProtection="1">
      <protection locked="0"/>
    </xf>
    <xf numFmtId="172" fontId="0" fillId="50" borderId="15" xfId="0" applyNumberFormat="1" applyFill="1" applyBorder="1" applyProtection="1">
      <protection locked="0"/>
    </xf>
    <xf numFmtId="0" fontId="1" fillId="0" borderId="0" xfId="498"/>
    <xf numFmtId="0" fontId="1" fillId="0" borderId="0" xfId="544"/>
    <xf numFmtId="0" fontId="21" fillId="0" borderId="149" xfId="393" applyFont="1" applyBorder="1" applyAlignment="1">
      <alignment horizontal="left"/>
    </xf>
    <xf numFmtId="0" fontId="114" fillId="0" borderId="150" xfId="393" applyFont="1" applyBorder="1" applyAlignment="1">
      <alignment horizontal="center"/>
    </xf>
    <xf numFmtId="0" fontId="113" fillId="0" borderId="150" xfId="393" applyFont="1" applyBorder="1" applyAlignment="1">
      <alignment horizontal="center"/>
    </xf>
    <xf numFmtId="0" fontId="21" fillId="0" borderId="150" xfId="393" applyFont="1" applyBorder="1" applyAlignment="1">
      <alignment horizontal="center"/>
    </xf>
    <xf numFmtId="0" fontId="158" fillId="0" borderId="151" xfId="393" applyFont="1" applyBorder="1" applyAlignment="1">
      <alignment horizontal="center"/>
    </xf>
    <xf numFmtId="176" fontId="154" fillId="44" borderId="0" xfId="0" applyNumberFormat="1" applyFont="1" applyFill="1" applyAlignment="1">
      <alignment horizontal="right" vertical="center" wrapText="1"/>
    </xf>
    <xf numFmtId="176" fontId="40" fillId="44" borderId="0" xfId="0" applyNumberFormat="1" applyFont="1" applyFill="1" applyAlignment="1">
      <alignment horizontal="right" vertical="center" wrapText="1"/>
    </xf>
    <xf numFmtId="176" fontId="39" fillId="27" borderId="0" xfId="0" applyNumberFormat="1" applyFont="1" applyFill="1" applyAlignment="1"/>
    <xf numFmtId="0" fontId="37" fillId="0" borderId="0" xfId="0" applyFont="1"/>
    <xf numFmtId="0" fontId="37" fillId="0" borderId="152" xfId="0" applyFont="1" applyBorder="1" applyAlignment="1">
      <alignment horizontal="center"/>
    </xf>
    <xf numFmtId="0" fontId="37" fillId="0" borderId="0" xfId="0" applyFont="1" applyAlignment="1">
      <alignment horizontal="center"/>
    </xf>
    <xf numFmtId="0" fontId="37" fillId="0" borderId="152" xfId="0" applyFont="1" applyBorder="1" applyAlignment="1">
      <alignment horizontal="center" vertical="center"/>
    </xf>
    <xf numFmtId="0" fontId="37" fillId="0" borderId="0" xfId="0" applyFont="1" applyAlignment="1">
      <alignment horizontal="center" vertical="center"/>
    </xf>
    <xf numFmtId="0" fontId="37" fillId="0" borderId="0" xfId="0" applyFont="1" applyAlignment="1">
      <alignment horizontal="right" vertical="center"/>
    </xf>
    <xf numFmtId="0" fontId="160" fillId="0" borderId="117" xfId="0" applyFont="1" applyBorder="1"/>
    <xf numFmtId="0" fontId="0" fillId="46" borderId="117" xfId="0" applyFill="1" applyBorder="1"/>
    <xf numFmtId="0" fontId="0" fillId="0" borderId="117" xfId="0" applyBorder="1" applyAlignment="1">
      <alignment horizontal="center"/>
    </xf>
    <xf numFmtId="172" fontId="160" fillId="49" borderId="119" xfId="0" applyNumberFormat="1" applyFont="1" applyFill="1" applyBorder="1"/>
    <xf numFmtId="172" fontId="160" fillId="49" borderId="117" xfId="0" applyNumberFormat="1" applyFont="1" applyFill="1" applyBorder="1"/>
    <xf numFmtId="172" fontId="160" fillId="49" borderId="120" xfId="0" applyNumberFormat="1" applyFont="1" applyFill="1" applyBorder="1"/>
    <xf numFmtId="0" fontId="0" fillId="0" borderId="117" xfId="0" applyBorder="1"/>
    <xf numFmtId="0" fontId="160" fillId="0" borderId="161" xfId="0" applyFont="1" applyBorder="1"/>
    <xf numFmtId="0" fontId="0" fillId="46" borderId="161" xfId="0" applyFill="1" applyBorder="1"/>
    <xf numFmtId="0" fontId="0" fillId="0" borderId="161" xfId="0" applyBorder="1" applyAlignment="1">
      <alignment horizontal="center"/>
    </xf>
    <xf numFmtId="172" fontId="160" fillId="49" borderId="162" xfId="0" applyNumberFormat="1" applyFont="1" applyFill="1" applyBorder="1"/>
    <xf numFmtId="172" fontId="160" fillId="49" borderId="163" xfId="0" applyNumberFormat="1" applyFont="1" applyFill="1" applyBorder="1"/>
    <xf numFmtId="172" fontId="160" fillId="49" borderId="164" xfId="0" applyNumberFormat="1" applyFont="1" applyFill="1" applyBorder="1"/>
    <xf numFmtId="172" fontId="160" fillId="49" borderId="161" xfId="0" applyNumberFormat="1" applyFont="1" applyFill="1" applyBorder="1"/>
    <xf numFmtId="172" fontId="160" fillId="49" borderId="165" xfId="0" applyNumberFormat="1" applyFont="1" applyFill="1" applyBorder="1"/>
    <xf numFmtId="0" fontId="160" fillId="49" borderId="166" xfId="0" applyFont="1" applyFill="1" applyBorder="1"/>
    <xf numFmtId="172" fontId="160" fillId="49" borderId="167" xfId="0" applyNumberFormat="1" applyFont="1" applyFill="1" applyBorder="1"/>
    <xf numFmtId="172" fontId="173" fillId="49" borderId="117" xfId="0" applyNumberFormat="1" applyFont="1" applyFill="1" applyBorder="1"/>
    <xf numFmtId="172" fontId="160" fillId="49" borderId="166" xfId="0" applyNumberFormat="1" applyFont="1" applyFill="1" applyBorder="1"/>
    <xf numFmtId="172" fontId="0" fillId="49" borderId="120" xfId="0" applyNumberFormat="1" applyFill="1" applyBorder="1"/>
    <xf numFmtId="0" fontId="0" fillId="0" borderId="96" xfId="0" applyBorder="1"/>
    <xf numFmtId="0" fontId="0" fillId="0" borderId="95" xfId="0" applyBorder="1"/>
    <xf numFmtId="0" fontId="160" fillId="0" borderId="98" xfId="0" applyFont="1" applyBorder="1" applyAlignment="1">
      <alignment horizontal="centerContinuous"/>
    </xf>
    <xf numFmtId="0" fontId="0" fillId="0" borderId="100" xfId="0" applyBorder="1" applyAlignment="1">
      <alignment horizontal="centerContinuous"/>
    </xf>
    <xf numFmtId="0" fontId="0" fillId="0" borderId="101" xfId="0" applyBorder="1" applyAlignment="1">
      <alignment horizontal="centerContinuous"/>
    </xf>
    <xf numFmtId="0" fontId="160" fillId="0" borderId="3" xfId="0" applyFont="1" applyBorder="1"/>
    <xf numFmtId="0" fontId="160" fillId="0" borderId="3" xfId="0" applyFont="1" applyBorder="1" applyAlignment="1">
      <alignment horizontal="center" wrapText="1"/>
    </xf>
    <xf numFmtId="0" fontId="160" fillId="0" borderId="3" xfId="0" applyFont="1" applyBorder="1" applyAlignment="1">
      <alignment horizontal="center"/>
    </xf>
    <xf numFmtId="0" fontId="160" fillId="0" borderId="102" xfId="0" applyFont="1" applyBorder="1" applyAlignment="1">
      <alignment horizontal="center" wrapText="1"/>
    </xf>
    <xf numFmtId="0" fontId="160" fillId="0" borderId="103" xfId="0" applyFont="1" applyBorder="1" applyAlignment="1">
      <alignment horizontal="center" wrapText="1"/>
    </xf>
    <xf numFmtId="0" fontId="160" fillId="0" borderId="22" xfId="0" applyFont="1" applyBorder="1" applyAlignment="1">
      <alignment horizontal="center" wrapText="1"/>
    </xf>
    <xf numFmtId="0" fontId="160" fillId="0" borderId="104" xfId="0" applyFont="1" applyBorder="1" applyAlignment="1">
      <alignment horizontal="center" wrapText="1"/>
    </xf>
    <xf numFmtId="0" fontId="154" fillId="0" borderId="102" xfId="0" applyFont="1" applyBorder="1" applyAlignment="1">
      <alignment horizontal="center"/>
    </xf>
    <xf numFmtId="0" fontId="154" fillId="0" borderId="3" xfId="0" applyFont="1" applyBorder="1" applyAlignment="1">
      <alignment horizontal="center"/>
    </xf>
    <xf numFmtId="0" fontId="154" fillId="0" borderId="105" xfId="0" applyFont="1" applyBorder="1" applyAlignment="1">
      <alignment horizontal="center"/>
    </xf>
    <xf numFmtId="0" fontId="0" fillId="0" borderId="107" xfId="0" applyBorder="1"/>
    <xf numFmtId="0" fontId="160" fillId="0" borderId="106" xfId="0" applyFont="1" applyBorder="1" applyAlignment="1">
      <alignment horizontal="center"/>
    </xf>
    <xf numFmtId="0" fontId="160" fillId="0" borderId="107" xfId="0" applyFont="1" applyBorder="1" applyAlignment="1">
      <alignment horizontal="center"/>
    </xf>
    <xf numFmtId="0" fontId="160" fillId="0" borderId="109" xfId="0" applyFont="1" applyBorder="1" applyAlignment="1">
      <alignment horizontal="center"/>
    </xf>
    <xf numFmtId="0" fontId="0" fillId="46" borderId="122" xfId="0" applyFill="1" applyBorder="1"/>
    <xf numFmtId="0" fontId="0" fillId="0" borderId="122" xfId="0" applyBorder="1" applyAlignment="1">
      <alignment horizontal="center"/>
    </xf>
    <xf numFmtId="0" fontId="0" fillId="49" borderId="121" xfId="0" applyFill="1" applyBorder="1" applyProtection="1"/>
    <xf numFmtId="172" fontId="160" fillId="49" borderId="121" xfId="0" applyNumberFormat="1" applyFont="1" applyFill="1" applyBorder="1"/>
    <xf numFmtId="172" fontId="160" fillId="49" borderId="122" xfId="0" applyNumberFormat="1" applyFont="1" applyFill="1" applyBorder="1"/>
    <xf numFmtId="172" fontId="173" fillId="49" borderId="122" xfId="0" applyNumberFormat="1" applyFont="1" applyFill="1" applyBorder="1"/>
    <xf numFmtId="172" fontId="0" fillId="49" borderId="124" xfId="0" applyNumberFormat="1" applyFill="1" applyBorder="1"/>
    <xf numFmtId="0" fontId="160" fillId="0" borderId="121" xfId="0" applyFont="1" applyBorder="1" applyAlignment="1"/>
    <xf numFmtId="172" fontId="7" fillId="49" borderId="120" xfId="0" applyNumberFormat="1" applyFont="1" applyFill="1" applyBorder="1"/>
    <xf numFmtId="172" fontId="7" fillId="49" borderId="124" xfId="0" applyNumberFormat="1" applyFont="1" applyFill="1" applyBorder="1"/>
    <xf numFmtId="0" fontId="173" fillId="0" borderId="135" xfId="0" applyFont="1" applyBorder="1"/>
    <xf numFmtId="0" fontId="173" fillId="0" borderId="0" xfId="0" applyFont="1" applyBorder="1" applyAlignment="1">
      <alignment horizontal="center" wrapText="1"/>
    </xf>
    <xf numFmtId="0" fontId="173" fillId="0" borderId="40" xfId="0" applyFont="1" applyBorder="1" applyAlignment="1">
      <alignment horizontal="center" wrapText="1"/>
    </xf>
    <xf numFmtId="172" fontId="173" fillId="0" borderId="0" xfId="0" applyNumberFormat="1" applyFont="1" applyFill="1" applyBorder="1"/>
    <xf numFmtId="0" fontId="173" fillId="0" borderId="135" xfId="0" applyFont="1" applyBorder="1" applyAlignment="1"/>
    <xf numFmtId="0" fontId="6" fillId="0" borderId="135" xfId="0" applyFont="1" applyBorder="1"/>
    <xf numFmtId="0" fontId="173" fillId="0" borderId="0" xfId="0" applyFont="1" applyBorder="1" applyAlignment="1">
      <alignment horizontal="centerContinuous"/>
    </xf>
    <xf numFmtId="0" fontId="6" fillId="0" borderId="0" xfId="0" applyFont="1" applyBorder="1" applyAlignment="1">
      <alignment horizontal="centerContinuous"/>
    </xf>
    <xf numFmtId="0" fontId="6" fillId="0" borderId="40" xfId="0" applyFont="1" applyBorder="1" applyAlignment="1">
      <alignment horizontal="centerContinuous"/>
    </xf>
    <xf numFmtId="0" fontId="0" fillId="0" borderId="135" xfId="0" applyBorder="1"/>
    <xf numFmtId="0" fontId="173" fillId="0" borderId="169" xfId="0" applyFont="1" applyBorder="1" applyAlignment="1"/>
    <xf numFmtId="172" fontId="6" fillId="0" borderId="170" xfId="0" applyNumberFormat="1" applyFont="1" applyFill="1" applyBorder="1"/>
    <xf numFmtId="172" fontId="173" fillId="0" borderId="0" xfId="0" applyNumberFormat="1" applyFont="1" applyFill="1" applyBorder="1" applyAlignment="1">
      <alignment horizontal="center"/>
    </xf>
    <xf numFmtId="172" fontId="173" fillId="0" borderId="40" xfId="0" applyNumberFormat="1" applyFont="1" applyFill="1" applyBorder="1" applyAlignment="1">
      <alignment horizontal="center"/>
    </xf>
    <xf numFmtId="172" fontId="6" fillId="0" borderId="40" xfId="0" applyNumberFormat="1" applyFont="1" applyFill="1" applyBorder="1" applyAlignment="1">
      <alignment horizontal="center"/>
    </xf>
    <xf numFmtId="172" fontId="6" fillId="0" borderId="170" xfId="0" applyNumberFormat="1" applyFont="1" applyFill="1" applyBorder="1" applyAlignment="1">
      <alignment horizontal="center"/>
    </xf>
    <xf numFmtId="0" fontId="173" fillId="0" borderId="4" xfId="0" applyFont="1" applyFill="1" applyBorder="1" applyAlignment="1">
      <alignment horizontal="center"/>
    </xf>
    <xf numFmtId="172" fontId="173" fillId="0" borderId="4" xfId="0" applyNumberFormat="1" applyFont="1" applyFill="1" applyBorder="1" applyAlignment="1">
      <alignment horizontal="center"/>
    </xf>
    <xf numFmtId="172" fontId="6" fillId="0" borderId="171" xfId="0" applyNumberFormat="1" applyFont="1" applyFill="1" applyBorder="1" applyAlignment="1">
      <alignment horizontal="center"/>
    </xf>
    <xf numFmtId="0" fontId="21" fillId="0" borderId="159" xfId="0" applyFont="1" applyBorder="1" applyAlignment="1">
      <alignment horizontal="left"/>
    </xf>
    <xf numFmtId="0" fontId="157" fillId="0" borderId="159" xfId="0" applyFont="1" applyBorder="1" applyAlignment="1">
      <alignment horizontal="center"/>
    </xf>
    <xf numFmtId="0" fontId="22" fillId="0" borderId="149" xfId="0" applyFont="1" applyBorder="1" applyAlignment="1">
      <alignment horizontal="left" indent="1"/>
    </xf>
    <xf numFmtId="0" fontId="22" fillId="0" borderId="150" xfId="0" applyFont="1" applyBorder="1" applyAlignment="1">
      <alignment horizontal="center"/>
    </xf>
    <xf numFmtId="0" fontId="54" fillId="0" borderId="150" xfId="0" applyFont="1" applyBorder="1" applyAlignment="1">
      <alignment horizontal="center"/>
    </xf>
    <xf numFmtId="0" fontId="46" fillId="47" borderId="0" xfId="0" applyFont="1" applyFill="1" applyBorder="1" applyAlignment="1">
      <alignment horizontal="center" vertical="top"/>
    </xf>
    <xf numFmtId="0" fontId="6" fillId="0" borderId="3"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23"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69" xfId="0" applyFont="1" applyFill="1" applyBorder="1" applyAlignment="1">
      <alignment horizontal="left" vertical="top" wrapText="1"/>
    </xf>
    <xf numFmtId="0" fontId="6" fillId="48" borderId="26" xfId="0" applyFont="1" applyFill="1" applyBorder="1" applyAlignment="1">
      <alignment horizontal="left" vertical="top" wrapText="1"/>
    </xf>
    <xf numFmtId="0" fontId="6" fillId="48" borderId="0" xfId="0" applyFont="1" applyFill="1" applyBorder="1" applyAlignment="1">
      <alignment horizontal="left" vertical="top" wrapText="1"/>
    </xf>
    <xf numFmtId="0" fontId="6" fillId="48" borderId="27" xfId="0" applyFont="1" applyFill="1" applyBorder="1" applyAlignment="1">
      <alignment horizontal="left" vertical="top" wrapText="1"/>
    </xf>
    <xf numFmtId="0" fontId="6" fillId="48" borderId="46" xfId="0" applyFont="1" applyFill="1" applyBorder="1" applyAlignment="1">
      <alignment horizontal="left" vertical="top" wrapText="1"/>
    </xf>
    <xf numFmtId="0" fontId="6" fillId="48" borderId="47" xfId="0" applyFont="1" applyFill="1" applyBorder="1" applyAlignment="1">
      <alignment horizontal="left" vertical="top" wrapText="1"/>
    </xf>
    <xf numFmtId="0" fontId="6" fillId="48" borderId="69" xfId="0" applyFont="1" applyFill="1" applyBorder="1" applyAlignment="1">
      <alignment horizontal="left" vertical="top" wrapText="1"/>
    </xf>
    <xf numFmtId="0" fontId="39" fillId="0" borderId="70" xfId="0" applyFont="1" applyBorder="1" applyAlignment="1">
      <alignment horizontal="left" vertical="top" wrapText="1"/>
    </xf>
    <xf numFmtId="0" fontId="39" fillId="0" borderId="71" xfId="0" applyFont="1" applyBorder="1" applyAlignment="1">
      <alignment horizontal="left" vertical="top" wrapText="1"/>
    </xf>
    <xf numFmtId="0" fontId="39" fillId="0" borderId="72" xfId="0" applyFont="1" applyBorder="1" applyAlignment="1">
      <alignment horizontal="left" vertical="top" wrapText="1"/>
    </xf>
    <xf numFmtId="0" fontId="39" fillId="0" borderId="135" xfId="0" applyFont="1" applyBorder="1" applyAlignment="1">
      <alignment horizontal="left" vertical="top" wrapText="1"/>
    </xf>
    <xf numFmtId="0" fontId="39" fillId="0" borderId="0" xfId="0" applyFont="1" applyBorder="1" applyAlignment="1">
      <alignment horizontal="left" vertical="top" wrapText="1"/>
    </xf>
    <xf numFmtId="0" fontId="39" fillId="0" borderId="40" xfId="0" applyFont="1" applyBorder="1" applyAlignment="1">
      <alignment horizontal="left" vertical="top" wrapText="1"/>
    </xf>
    <xf numFmtId="0" fontId="39" fillId="0" borderId="136" xfId="0" applyFont="1" applyBorder="1" applyAlignment="1">
      <alignment horizontal="left" vertical="top" wrapText="1"/>
    </xf>
    <xf numFmtId="0" fontId="39" fillId="0" borderId="108" xfId="0" applyFont="1" applyBorder="1" applyAlignment="1">
      <alignment horizontal="left" vertical="top" wrapText="1"/>
    </xf>
    <xf numFmtId="0" fontId="39" fillId="0" borderId="137" xfId="0" applyFont="1" applyBorder="1" applyAlignment="1">
      <alignment horizontal="left" vertical="top" wrapText="1"/>
    </xf>
    <xf numFmtId="0" fontId="46" fillId="47" borderId="0" xfId="0" applyFont="1" applyFill="1" applyBorder="1" applyAlignment="1">
      <alignment horizontal="center" vertical="top"/>
    </xf>
    <xf numFmtId="0" fontId="6" fillId="0" borderId="135" xfId="0" applyFont="1" applyBorder="1" applyAlignment="1">
      <alignment horizontal="left" vertical="center" wrapText="1"/>
    </xf>
    <xf numFmtId="0" fontId="6" fillId="0" borderId="0" xfId="0" applyFont="1" applyBorder="1" applyAlignment="1">
      <alignment horizontal="left" vertical="center" wrapText="1"/>
    </xf>
    <xf numFmtId="0" fontId="6" fillId="0" borderId="40" xfId="0" applyFont="1" applyBorder="1" applyAlignment="1">
      <alignment horizontal="left" vertical="center" wrapText="1"/>
    </xf>
    <xf numFmtId="0" fontId="0" fillId="0" borderId="47" xfId="0" applyBorder="1" applyAlignment="1">
      <alignment horizontal="left" vertical="top" wrapText="1"/>
    </xf>
    <xf numFmtId="0" fontId="0" fillId="0" borderId="69" xfId="0" applyBorder="1" applyAlignment="1">
      <alignment horizontal="left" vertical="top" wrapText="1"/>
    </xf>
    <xf numFmtId="0" fontId="6" fillId="0" borderId="16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2"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24" xfId="0" applyFont="1" applyFill="1" applyBorder="1" applyAlignment="1">
      <alignment horizontal="left" vertical="top" wrapText="1"/>
    </xf>
    <xf numFmtId="0" fontId="0" fillId="0" borderId="20" xfId="0" applyBorder="1" applyAlignment="1">
      <alignment horizontal="left" vertical="top" wrapText="1"/>
    </xf>
    <xf numFmtId="0" fontId="0" fillId="0" borderId="24" xfId="0" applyBorder="1" applyAlignment="1">
      <alignment horizontal="left" vertical="top" wrapText="1"/>
    </xf>
    <xf numFmtId="0" fontId="0" fillId="0" borderId="19" xfId="0" applyBorder="1" applyAlignment="1">
      <alignment horizontal="left" vertical="top" wrapText="1"/>
    </xf>
    <xf numFmtId="0" fontId="0" fillId="0" borderId="4" xfId="0" applyBorder="1" applyAlignment="1">
      <alignment horizontal="left" vertical="top" wrapText="1"/>
    </xf>
    <xf numFmtId="0" fontId="0" fillId="0" borderId="23" xfId="0" applyBorder="1" applyAlignment="1">
      <alignment horizontal="left" vertical="top" wrapText="1"/>
    </xf>
    <xf numFmtId="0" fontId="0" fillId="0" borderId="20" xfId="0" applyFill="1" applyBorder="1" applyAlignment="1">
      <alignment horizontal="left" vertical="top" wrapText="1"/>
    </xf>
    <xf numFmtId="0" fontId="0" fillId="0" borderId="24" xfId="0" applyFill="1" applyBorder="1" applyAlignment="1">
      <alignment horizontal="left" vertical="top" wrapText="1"/>
    </xf>
    <xf numFmtId="0" fontId="0" fillId="0" borderId="19" xfId="0" applyFill="1" applyBorder="1" applyAlignment="1">
      <alignment horizontal="left" vertical="top" wrapText="1"/>
    </xf>
    <xf numFmtId="0" fontId="0" fillId="0" borderId="4" xfId="0" applyFill="1" applyBorder="1" applyAlignment="1">
      <alignment horizontal="left" vertical="top" wrapText="1"/>
    </xf>
    <xf numFmtId="0" fontId="0" fillId="0" borderId="23" xfId="0" applyFill="1" applyBorder="1" applyAlignment="1">
      <alignment horizontal="left" vertical="top" wrapText="1"/>
    </xf>
    <xf numFmtId="0" fontId="13" fillId="0" borderId="22" xfId="0" applyFont="1" applyFill="1" applyBorder="1" applyAlignment="1">
      <alignment horizontal="left" vertical="top" wrapText="1"/>
    </xf>
    <xf numFmtId="0" fontId="13" fillId="0" borderId="20" xfId="0" applyFont="1" applyBorder="1" applyAlignment="1">
      <alignment horizontal="left" vertical="top" wrapText="1"/>
    </xf>
    <xf numFmtId="0" fontId="13" fillId="0" borderId="24" xfId="0" applyFont="1" applyBorder="1" applyAlignment="1">
      <alignment horizontal="left" vertical="top" wrapText="1"/>
    </xf>
    <xf numFmtId="0" fontId="13" fillId="0" borderId="19" xfId="0" applyFont="1" applyBorder="1" applyAlignment="1">
      <alignment horizontal="left" vertical="top" wrapText="1"/>
    </xf>
    <xf numFmtId="0" fontId="13" fillId="0" borderId="4" xfId="0" applyFont="1" applyBorder="1" applyAlignment="1">
      <alignment horizontal="left" vertical="top" wrapText="1"/>
    </xf>
    <xf numFmtId="0" fontId="13" fillId="0" borderId="23" xfId="0" applyFont="1" applyBorder="1" applyAlignment="1">
      <alignment horizontal="left" vertical="top" wrapText="1"/>
    </xf>
    <xf numFmtId="0" fontId="16" fillId="0" borderId="20" xfId="422" applyFont="1" applyBorder="1" applyAlignment="1">
      <alignment horizontal="center" wrapText="1"/>
    </xf>
    <xf numFmtId="0" fontId="6" fillId="0" borderId="3" xfId="393" applyFont="1" applyBorder="1" applyAlignment="1">
      <alignment horizontal="left" wrapText="1"/>
    </xf>
    <xf numFmtId="0" fontId="6" fillId="0" borderId="0" xfId="393" applyFont="1" applyBorder="1" applyAlignment="1">
      <alignment horizontal="left" wrapText="1"/>
    </xf>
    <xf numFmtId="0" fontId="6" fillId="0" borderId="18" xfId="393" applyFont="1" applyBorder="1" applyAlignment="1">
      <alignment horizontal="left" wrapText="1"/>
    </xf>
    <xf numFmtId="0" fontId="6" fillId="0" borderId="22" xfId="393" applyFont="1" applyFill="1" applyBorder="1" applyAlignment="1">
      <alignment horizontal="left" vertical="top" wrapText="1"/>
    </xf>
    <xf numFmtId="0" fontId="6" fillId="0" borderId="20" xfId="393" applyFont="1" applyBorder="1" applyAlignment="1">
      <alignment horizontal="left" vertical="top" wrapText="1"/>
    </xf>
    <xf numFmtId="0" fontId="6" fillId="0" borderId="24" xfId="393" applyFont="1" applyBorder="1" applyAlignment="1">
      <alignment horizontal="left" vertical="top" wrapText="1"/>
    </xf>
    <xf numFmtId="0" fontId="6" fillId="0" borderId="19" xfId="393" applyFont="1" applyBorder="1" applyAlignment="1">
      <alignment horizontal="left" vertical="top" wrapText="1"/>
    </xf>
    <xf numFmtId="0" fontId="6" fillId="0" borderId="4" xfId="393" applyFont="1" applyBorder="1" applyAlignment="1">
      <alignment horizontal="left" vertical="top" wrapText="1"/>
    </xf>
    <xf numFmtId="0" fontId="6" fillId="0" borderId="23" xfId="393" applyFont="1" applyBorder="1" applyAlignment="1">
      <alignment horizontal="left" vertical="top" wrapText="1"/>
    </xf>
    <xf numFmtId="3" fontId="7" fillId="0" borderId="0" xfId="393" applyNumberFormat="1" applyFont="1" applyFill="1" applyBorder="1" applyAlignment="1">
      <alignment horizontal="center" vertical="center"/>
    </xf>
    <xf numFmtId="3" fontId="7" fillId="0" borderId="18" xfId="393" applyNumberFormat="1" applyFont="1" applyFill="1" applyBorder="1" applyAlignment="1">
      <alignment horizontal="center" vertical="center"/>
    </xf>
    <xf numFmtId="0" fontId="39" fillId="0" borderId="20" xfId="393" applyFont="1" applyBorder="1" applyAlignment="1">
      <alignment horizontal="left" vertical="top" wrapText="1"/>
    </xf>
    <xf numFmtId="0" fontId="39" fillId="0" borderId="24" xfId="393" applyFont="1" applyBorder="1" applyAlignment="1">
      <alignment horizontal="left" vertical="top" wrapText="1"/>
    </xf>
    <xf numFmtId="0" fontId="39" fillId="0" borderId="19" xfId="393" applyFont="1" applyBorder="1" applyAlignment="1">
      <alignment horizontal="left" vertical="top" wrapText="1"/>
    </xf>
    <xf numFmtId="0" fontId="39" fillId="0" borderId="4" xfId="393" applyFont="1" applyBorder="1" applyAlignment="1">
      <alignment horizontal="left" vertical="top" wrapText="1"/>
    </xf>
    <xf numFmtId="0" fontId="39" fillId="0" borderId="23" xfId="393" applyFont="1" applyBorder="1" applyAlignment="1">
      <alignment horizontal="left" vertical="top" wrapText="1"/>
    </xf>
    <xf numFmtId="0" fontId="14" fillId="0" borderId="20" xfId="393" applyFont="1" applyFill="1" applyBorder="1" applyAlignment="1">
      <alignment horizontal="left" vertical="top" wrapText="1"/>
    </xf>
    <xf numFmtId="0" fontId="14" fillId="0" borderId="24" xfId="393" applyFont="1" applyFill="1" applyBorder="1" applyAlignment="1">
      <alignment horizontal="left" vertical="top" wrapText="1"/>
    </xf>
    <xf numFmtId="0" fontId="14" fillId="0" borderId="3" xfId="393" applyFont="1" applyFill="1" applyBorder="1" applyAlignment="1">
      <alignment horizontal="left" vertical="top" wrapText="1"/>
    </xf>
    <xf numFmtId="0" fontId="14" fillId="0" borderId="0" xfId="393" applyFont="1" applyFill="1" applyBorder="1" applyAlignment="1">
      <alignment horizontal="left" vertical="top" wrapText="1"/>
    </xf>
    <xf numFmtId="0" fontId="14" fillId="0" borderId="18" xfId="393" applyFont="1" applyFill="1" applyBorder="1" applyAlignment="1">
      <alignment horizontal="left" vertical="top" wrapText="1"/>
    </xf>
    <xf numFmtId="0" fontId="14" fillId="0" borderId="19" xfId="393" applyFont="1" applyFill="1" applyBorder="1" applyAlignment="1">
      <alignment horizontal="left" vertical="top" wrapText="1"/>
    </xf>
    <xf numFmtId="0" fontId="14" fillId="0" borderId="4" xfId="393" applyFont="1" applyFill="1" applyBorder="1" applyAlignment="1">
      <alignment horizontal="left" vertical="top" wrapText="1"/>
    </xf>
    <xf numFmtId="0" fontId="14" fillId="0" borderId="23" xfId="393" applyFont="1" applyFill="1" applyBorder="1" applyAlignment="1">
      <alignment horizontal="left" vertical="top" wrapText="1"/>
    </xf>
    <xf numFmtId="0" fontId="7" fillId="0" borderId="20" xfId="393" applyFont="1" applyBorder="1" applyAlignment="1">
      <alignment horizontal="center"/>
    </xf>
    <xf numFmtId="0" fontId="7" fillId="0" borderId="24" xfId="393" applyFont="1" applyBorder="1" applyAlignment="1">
      <alignment horizontal="center"/>
    </xf>
    <xf numFmtId="0" fontId="7" fillId="0" borderId="0" xfId="393" applyFont="1" applyBorder="1" applyAlignment="1">
      <alignment horizontal="center"/>
    </xf>
    <xf numFmtId="0" fontId="7" fillId="0" borderId="18" xfId="393" applyFont="1" applyBorder="1" applyAlignment="1">
      <alignment horizontal="center"/>
    </xf>
    <xf numFmtId="0" fontId="14" fillId="0" borderId="20" xfId="0" applyFont="1" applyFill="1" applyBorder="1" applyAlignment="1">
      <alignment horizontal="left" vertical="top" wrapText="1"/>
    </xf>
    <xf numFmtId="0" fontId="14" fillId="0" borderId="24"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8"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23" xfId="0" applyFont="1" applyFill="1" applyBorder="1" applyAlignment="1">
      <alignment horizontal="left" vertical="top" wrapText="1"/>
    </xf>
    <xf numFmtId="0" fontId="39" fillId="0" borderId="20" xfId="0" applyFont="1" applyBorder="1" applyAlignment="1">
      <alignment horizontal="left" vertical="top" wrapText="1"/>
    </xf>
    <xf numFmtId="0" fontId="39" fillId="0" borderId="24" xfId="0" applyFont="1" applyBorder="1" applyAlignment="1">
      <alignment horizontal="left" vertical="top" wrapText="1"/>
    </xf>
    <xf numFmtId="0" fontId="39" fillId="0" borderId="19" xfId="0" applyFont="1" applyBorder="1" applyAlignment="1">
      <alignment horizontal="left" vertical="top" wrapText="1"/>
    </xf>
    <xf numFmtId="0" fontId="39" fillId="0" borderId="4" xfId="0" applyFont="1" applyBorder="1" applyAlignment="1">
      <alignment horizontal="left" vertical="top" wrapText="1"/>
    </xf>
    <xf numFmtId="0" fontId="39" fillId="0" borderId="23" xfId="0" applyFont="1" applyBorder="1" applyAlignment="1">
      <alignment horizontal="left" vertical="top" wrapText="1"/>
    </xf>
    <xf numFmtId="0" fontId="7" fillId="0" borderId="20" xfId="0" applyFont="1" applyBorder="1" applyAlignment="1">
      <alignment horizontal="center"/>
    </xf>
    <xf numFmtId="0" fontId="7" fillId="0" borderId="24" xfId="0" applyFont="1" applyBorder="1" applyAlignment="1">
      <alignment horizontal="center"/>
    </xf>
    <xf numFmtId="0" fontId="22" fillId="0" borderId="0" xfId="0" applyFont="1" applyBorder="1" applyAlignment="1">
      <alignment horizontal="center"/>
    </xf>
    <xf numFmtId="0" fontId="22" fillId="0" borderId="18" xfId="0" applyFont="1" applyBorder="1" applyAlignment="1">
      <alignment horizontal="center"/>
    </xf>
    <xf numFmtId="3" fontId="22" fillId="0" borderId="0" xfId="0" applyNumberFormat="1" applyFont="1" applyFill="1" applyBorder="1" applyAlignment="1">
      <alignment horizontal="center" vertical="center"/>
    </xf>
    <xf numFmtId="3" fontId="22" fillId="0" borderId="18" xfId="0" applyNumberFormat="1" applyFont="1" applyFill="1" applyBorder="1" applyAlignment="1">
      <alignment horizontal="center" vertical="center"/>
    </xf>
    <xf numFmtId="0" fontId="6" fillId="0" borderId="20" xfId="0" applyFont="1" applyBorder="1" applyAlignment="1">
      <alignment horizontal="left" vertical="top" wrapText="1"/>
    </xf>
    <xf numFmtId="0" fontId="6" fillId="0" borderId="24" xfId="0" applyFont="1" applyBorder="1" applyAlignment="1">
      <alignment horizontal="left" vertical="top" wrapText="1"/>
    </xf>
    <xf numFmtId="0" fontId="6" fillId="0" borderId="19" xfId="0" applyFont="1" applyBorder="1" applyAlignment="1">
      <alignment horizontal="left" vertical="top" wrapText="1"/>
    </xf>
    <xf numFmtId="0" fontId="6" fillId="0" borderId="4" xfId="0" applyFont="1" applyBorder="1" applyAlignment="1">
      <alignment horizontal="left" vertical="top" wrapText="1"/>
    </xf>
    <xf numFmtId="0" fontId="6" fillId="0" borderId="23" xfId="0" applyFont="1" applyBorder="1" applyAlignment="1">
      <alignment horizontal="left" vertical="top" wrapText="1"/>
    </xf>
    <xf numFmtId="0" fontId="7" fillId="0" borderId="0" xfId="0" applyFont="1" applyBorder="1" applyAlignment="1">
      <alignment horizontal="center"/>
    </xf>
    <xf numFmtId="0" fontId="7" fillId="0" borderId="18" xfId="0" applyFont="1" applyBorder="1" applyAlignment="1">
      <alignment horizontal="center"/>
    </xf>
    <xf numFmtId="3" fontId="7" fillId="0" borderId="0" xfId="0" applyNumberFormat="1" applyFont="1" applyFill="1" applyBorder="1" applyAlignment="1">
      <alignment horizontal="center" vertical="center"/>
    </xf>
    <xf numFmtId="3" fontId="7" fillId="0" borderId="18" xfId="0" applyNumberFormat="1" applyFont="1" applyFill="1" applyBorder="1" applyAlignment="1">
      <alignment horizontal="center" vertical="center"/>
    </xf>
    <xf numFmtId="0" fontId="16" fillId="0" borderId="20" xfId="422" applyFont="1" applyBorder="1" applyAlignment="1">
      <alignment horizontal="center"/>
    </xf>
    <xf numFmtId="0" fontId="16" fillId="0" borderId="24" xfId="422" applyFont="1" applyBorder="1" applyAlignment="1">
      <alignment horizontal="center"/>
    </xf>
    <xf numFmtId="0" fontId="7" fillId="32" borderId="20" xfId="422" applyFont="1" applyFill="1" applyBorder="1" applyAlignment="1">
      <alignment horizontal="center"/>
    </xf>
    <xf numFmtId="0" fontId="7" fillId="0" borderId="0" xfId="422" applyFont="1" applyFill="1" applyBorder="1" applyAlignment="1">
      <alignment horizontal="center"/>
    </xf>
    <xf numFmtId="0" fontId="0" fillId="0" borderId="20" xfId="0" applyBorder="1" applyAlignment="1"/>
    <xf numFmtId="0" fontId="0" fillId="0" borderId="19" xfId="0" applyBorder="1" applyAlignment="1"/>
    <xf numFmtId="0" fontId="0" fillId="0" borderId="4" xfId="0" applyBorder="1" applyAlignment="1"/>
    <xf numFmtId="0" fontId="7" fillId="0" borderId="22" xfId="0" applyFont="1" applyBorder="1" applyAlignment="1"/>
    <xf numFmtId="0" fontId="39" fillId="0" borderId="3" xfId="0" applyFont="1" applyFill="1" applyBorder="1" applyAlignment="1">
      <alignment horizontal="left" vertical="top" wrapText="1"/>
    </xf>
    <xf numFmtId="0" fontId="0" fillId="0" borderId="0" xfId="0" applyAlignment="1"/>
    <xf numFmtId="0" fontId="0" fillId="0" borderId="3" xfId="0" applyBorder="1" applyAlignment="1"/>
    <xf numFmtId="0" fontId="0" fillId="0" borderId="3" xfId="0" applyFill="1" applyBorder="1" applyAlignment="1">
      <alignment horizontal="left" vertical="top" wrapText="1"/>
    </xf>
    <xf numFmtId="0" fontId="0" fillId="0" borderId="0" xfId="0" applyFill="1" applyBorder="1" applyAlignment="1">
      <alignment horizontal="left" vertical="top" wrapText="1"/>
    </xf>
    <xf numFmtId="0" fontId="0" fillId="0" borderId="18" xfId="0" applyFill="1" applyBorder="1" applyAlignment="1">
      <alignment horizontal="left" vertical="top" wrapText="1"/>
    </xf>
    <xf numFmtId="0" fontId="39" fillId="0" borderId="22" xfId="0" applyFont="1" applyFill="1" applyBorder="1" applyAlignment="1">
      <alignment horizontal="left" vertical="top" wrapText="1"/>
    </xf>
    <xf numFmtId="0" fontId="39" fillId="0" borderId="20" xfId="0" applyFont="1" applyFill="1" applyBorder="1" applyAlignment="1">
      <alignment horizontal="left" vertical="top" wrapText="1"/>
    </xf>
    <xf numFmtId="0" fontId="39" fillId="0" borderId="24" xfId="0" applyFont="1" applyFill="1" applyBorder="1" applyAlignment="1">
      <alignment horizontal="left" vertical="top" wrapText="1"/>
    </xf>
    <xf numFmtId="0" fontId="39" fillId="0" borderId="19" xfId="0" applyFont="1" applyFill="1" applyBorder="1" applyAlignment="1">
      <alignment horizontal="left" vertical="top" wrapText="1"/>
    </xf>
    <xf numFmtId="0" fontId="39" fillId="0" borderId="4" xfId="0" applyFont="1" applyFill="1" applyBorder="1" applyAlignment="1">
      <alignment horizontal="left" vertical="top" wrapText="1"/>
    </xf>
    <xf numFmtId="0" fontId="39" fillId="0" borderId="23" xfId="0" applyFont="1" applyFill="1" applyBorder="1" applyAlignment="1">
      <alignment horizontal="left" vertical="top" wrapText="1"/>
    </xf>
    <xf numFmtId="0" fontId="0" fillId="0" borderId="20" xfId="0" applyBorder="1" applyAlignment="1">
      <alignment wrapText="1"/>
    </xf>
    <xf numFmtId="0" fontId="0" fillId="0" borderId="24" xfId="0" applyBorder="1" applyAlignment="1">
      <alignment wrapText="1"/>
    </xf>
    <xf numFmtId="0" fontId="7" fillId="0" borderId="22" xfId="0" applyFont="1" applyBorder="1" applyAlignment="1">
      <alignment vertical="top"/>
    </xf>
    <xf numFmtId="0" fontId="0" fillId="0" borderId="20" xfId="0" applyBorder="1" applyAlignment="1">
      <alignment vertical="top"/>
    </xf>
    <xf numFmtId="0" fontId="0" fillId="0" borderId="3" xfId="0" applyBorder="1" applyAlignment="1">
      <alignment vertical="top"/>
    </xf>
    <xf numFmtId="0" fontId="0" fillId="0" borderId="0" xfId="0" applyBorder="1" applyAlignment="1">
      <alignment vertical="top"/>
    </xf>
    <xf numFmtId="0" fontId="0" fillId="0" borderId="19" xfId="0" applyBorder="1" applyAlignment="1">
      <alignment vertical="top"/>
    </xf>
    <xf numFmtId="0" fontId="0" fillId="0" borderId="4" xfId="0" applyBorder="1" applyAlignment="1">
      <alignment vertical="top"/>
    </xf>
    <xf numFmtId="0" fontId="6" fillId="0" borderId="3" xfId="0" applyFont="1" applyBorder="1" applyAlignment="1">
      <alignment horizontal="left" wrapText="1"/>
    </xf>
    <xf numFmtId="0" fontId="6" fillId="0" borderId="0" xfId="0" applyFont="1" applyBorder="1" applyAlignment="1">
      <alignment horizontal="left" wrapText="1"/>
    </xf>
    <xf numFmtId="0" fontId="6" fillId="0" borderId="18" xfId="0" applyFont="1" applyBorder="1" applyAlignment="1">
      <alignment horizontal="left" wrapText="1"/>
    </xf>
    <xf numFmtId="0" fontId="6" fillId="0" borderId="3" xfId="0" applyFont="1" applyBorder="1" applyAlignment="1">
      <alignment horizontal="left" vertical="top" wrapText="1"/>
    </xf>
    <xf numFmtId="0" fontId="6" fillId="0" borderId="0" xfId="0" applyFont="1" applyAlignment="1">
      <alignment horizontal="left" vertical="top" wrapText="1"/>
    </xf>
    <xf numFmtId="0" fontId="6" fillId="0" borderId="18" xfId="0" applyFont="1" applyBorder="1" applyAlignment="1">
      <alignment horizontal="left" vertical="top" wrapText="1"/>
    </xf>
    <xf numFmtId="0" fontId="13" fillId="0" borderId="0" xfId="0" applyFont="1" applyFill="1" applyBorder="1" applyAlignment="1">
      <alignment horizontal="left" vertical="top" wrapText="1"/>
    </xf>
    <xf numFmtId="0" fontId="6" fillId="0" borderId="15" xfId="413" applyBorder="1" applyAlignment="1">
      <alignment horizontal="center"/>
    </xf>
    <xf numFmtId="0" fontId="6" fillId="0" borderId="5" xfId="413" applyBorder="1" applyAlignment="1">
      <alignment horizontal="center"/>
    </xf>
    <xf numFmtId="0" fontId="6" fillId="0" borderId="30" xfId="413" applyBorder="1" applyAlignment="1">
      <alignment horizontal="center"/>
    </xf>
    <xf numFmtId="0" fontId="6" fillId="0" borderId="3" xfId="413" applyFont="1" applyFill="1" applyBorder="1" applyAlignment="1">
      <alignment horizontal="left" vertical="top" wrapText="1"/>
    </xf>
    <xf numFmtId="0" fontId="6" fillId="0" borderId="0" xfId="393" applyFont="1" applyFill="1" applyAlignment="1">
      <alignment horizontal="left" vertical="top" wrapText="1"/>
    </xf>
    <xf numFmtId="0" fontId="6" fillId="0" borderId="18" xfId="393" applyFont="1" applyFill="1" applyBorder="1" applyAlignment="1">
      <alignment horizontal="left" vertical="top" wrapText="1"/>
    </xf>
    <xf numFmtId="3" fontId="7" fillId="0" borderId="20" xfId="413" applyNumberFormat="1" applyFont="1" applyBorder="1" applyAlignment="1">
      <alignment horizontal="center" vertical="top" wrapText="1"/>
    </xf>
    <xf numFmtId="3" fontId="6" fillId="0" borderId="20" xfId="413" applyNumberFormat="1" applyFont="1" applyBorder="1" applyAlignment="1">
      <alignment horizontal="center" vertical="top" wrapText="1"/>
    </xf>
    <xf numFmtId="168" fontId="6" fillId="0" borderId="15" xfId="267" applyNumberFormat="1" applyFont="1" applyFill="1" applyBorder="1" applyAlignment="1">
      <alignment horizontal="center" vertical="top"/>
    </xf>
    <xf numFmtId="168" fontId="6" fillId="0" borderId="5" xfId="267" applyNumberFormat="1" applyFont="1" applyFill="1" applyBorder="1" applyAlignment="1">
      <alignment horizontal="center" vertical="top"/>
    </xf>
    <xf numFmtId="168" fontId="6" fillId="0" borderId="30" xfId="267" applyNumberFormat="1" applyFont="1" applyFill="1" applyBorder="1" applyAlignment="1">
      <alignment horizontal="center" vertical="top"/>
    </xf>
    <xf numFmtId="168" fontId="6" fillId="0" borderId="15" xfId="267" applyNumberFormat="1" applyFont="1" applyFill="1" applyBorder="1" applyAlignment="1">
      <alignment horizontal="center" vertical="top" wrapText="1"/>
    </xf>
    <xf numFmtId="168" fontId="6" fillId="0" borderId="5" xfId="267" applyNumberFormat="1" applyFont="1" applyFill="1" applyBorder="1" applyAlignment="1">
      <alignment horizontal="center" vertical="top" wrapText="1"/>
    </xf>
    <xf numFmtId="168" fontId="6" fillId="0" borderId="30" xfId="267" applyNumberFormat="1" applyFont="1" applyFill="1" applyBorder="1" applyAlignment="1">
      <alignment horizontal="center" vertical="top" wrapText="1"/>
    </xf>
    <xf numFmtId="0" fontId="11" fillId="0" borderId="15" xfId="413" applyFont="1" applyBorder="1" applyAlignment="1">
      <alignment horizontal="center"/>
    </xf>
    <xf numFmtId="0" fontId="11" fillId="0" borderId="5" xfId="413" applyFont="1" applyBorder="1" applyAlignment="1">
      <alignment horizontal="center"/>
    </xf>
    <xf numFmtId="0" fontId="11" fillId="0" borderId="30" xfId="413" applyFont="1" applyBorder="1" applyAlignment="1">
      <alignment horizontal="center"/>
    </xf>
    <xf numFmtId="0" fontId="6" fillId="0" borderId="3" xfId="413" applyFont="1" applyBorder="1" applyAlignment="1">
      <alignment horizontal="left" vertical="top" wrapText="1"/>
    </xf>
    <xf numFmtId="0" fontId="6" fillId="0" borderId="0" xfId="393" applyFont="1" applyAlignment="1">
      <alignment horizontal="left" vertical="top" wrapText="1"/>
    </xf>
    <xf numFmtId="0" fontId="6" fillId="0" borderId="18" xfId="393" applyFont="1" applyBorder="1" applyAlignment="1">
      <alignment horizontal="left" vertical="top" wrapText="1"/>
    </xf>
    <xf numFmtId="0" fontId="6" fillId="0" borderId="22" xfId="413" applyFont="1" applyFill="1" applyBorder="1" applyAlignment="1">
      <alignment horizontal="left" vertical="top" wrapText="1"/>
    </xf>
    <xf numFmtId="0" fontId="6" fillId="0" borderId="20" xfId="413" applyFont="1" applyBorder="1" applyAlignment="1">
      <alignment horizontal="left" vertical="top" wrapText="1"/>
    </xf>
    <xf numFmtId="0" fontId="6" fillId="0" borderId="24" xfId="413" applyFont="1" applyBorder="1" applyAlignment="1">
      <alignment horizontal="left" vertical="top" wrapText="1"/>
    </xf>
    <xf numFmtId="0" fontId="6" fillId="0" borderId="19" xfId="413" applyFont="1" applyBorder="1" applyAlignment="1">
      <alignment horizontal="left" vertical="top" wrapText="1"/>
    </xf>
    <xf numFmtId="0" fontId="6" fillId="0" borderId="4" xfId="413" applyFont="1" applyBorder="1" applyAlignment="1">
      <alignment horizontal="left" vertical="top" wrapText="1"/>
    </xf>
    <xf numFmtId="0" fontId="6" fillId="0" borderId="23" xfId="413" applyFont="1" applyBorder="1" applyAlignment="1">
      <alignment horizontal="left" vertical="top" wrapText="1"/>
    </xf>
    <xf numFmtId="0" fontId="6" fillId="0" borderId="0" xfId="413" applyFont="1" applyBorder="1" applyAlignment="1">
      <alignment horizontal="left" vertical="top" wrapText="1"/>
    </xf>
    <xf numFmtId="0" fontId="6" fillId="0" borderId="18" xfId="413" applyFont="1" applyBorder="1" applyAlignment="1">
      <alignment horizontal="left" vertical="top" wrapText="1"/>
    </xf>
    <xf numFmtId="0" fontId="7" fillId="0" borderId="22" xfId="413" applyFont="1" applyBorder="1" applyAlignment="1">
      <alignment horizontal="left" vertical="top" wrapText="1"/>
    </xf>
    <xf numFmtId="0" fontId="6" fillId="0" borderId="20" xfId="393" applyBorder="1" applyAlignment="1">
      <alignment horizontal="left" vertical="top" wrapText="1"/>
    </xf>
    <xf numFmtId="0" fontId="6" fillId="0" borderId="24" xfId="393" applyBorder="1" applyAlignment="1">
      <alignment horizontal="left" vertical="top" wrapText="1"/>
    </xf>
    <xf numFmtId="0" fontId="37" fillId="0" borderId="22" xfId="413" applyFont="1" applyFill="1" applyBorder="1" applyAlignment="1">
      <alignment horizontal="left" vertical="top" wrapText="1"/>
    </xf>
    <xf numFmtId="0" fontId="37" fillId="0" borderId="20" xfId="413" applyFont="1" applyBorder="1" applyAlignment="1">
      <alignment horizontal="left" vertical="top" wrapText="1"/>
    </xf>
    <xf numFmtId="0" fontId="37" fillId="0" borderId="24" xfId="413" applyFont="1" applyBorder="1" applyAlignment="1">
      <alignment horizontal="left" vertical="top" wrapText="1"/>
    </xf>
    <xf numFmtId="0" fontId="37" fillId="0" borderId="19" xfId="413" applyFont="1" applyBorder="1" applyAlignment="1">
      <alignment horizontal="left" vertical="top" wrapText="1"/>
    </xf>
    <xf numFmtId="0" fontId="37" fillId="0" borderId="4" xfId="413" applyFont="1" applyBorder="1" applyAlignment="1">
      <alignment horizontal="left" vertical="top" wrapText="1"/>
    </xf>
    <xf numFmtId="0" fontId="37" fillId="0" borderId="23" xfId="413" applyFont="1" applyBorder="1" applyAlignment="1">
      <alignment horizontal="left" vertical="top" wrapText="1"/>
    </xf>
    <xf numFmtId="0" fontId="37" fillId="0" borderId="3" xfId="413" applyFont="1" applyBorder="1" applyAlignment="1">
      <alignment horizontal="left" vertical="top" wrapText="1"/>
    </xf>
    <xf numFmtId="0" fontId="37" fillId="0" borderId="0" xfId="413" applyFont="1" applyBorder="1" applyAlignment="1">
      <alignment horizontal="left" vertical="top" wrapText="1"/>
    </xf>
    <xf numFmtId="0" fontId="37" fillId="0" borderId="18" xfId="413" applyFont="1" applyBorder="1" applyAlignment="1">
      <alignment horizontal="left" vertical="top" wrapText="1"/>
    </xf>
    <xf numFmtId="0" fontId="66" fillId="0" borderId="22" xfId="413" applyFont="1" applyBorder="1" applyAlignment="1">
      <alignment horizontal="left" vertical="top" wrapText="1"/>
    </xf>
    <xf numFmtId="0" fontId="37" fillId="0" borderId="20" xfId="393" applyFont="1" applyBorder="1" applyAlignment="1">
      <alignment horizontal="left" vertical="top" wrapText="1"/>
    </xf>
    <xf numFmtId="0" fontId="37" fillId="0" borderId="24" xfId="393" applyFont="1" applyBorder="1" applyAlignment="1">
      <alignment horizontal="left" vertical="top" wrapText="1"/>
    </xf>
    <xf numFmtId="0" fontId="6" fillId="0" borderId="0" xfId="0" applyFont="1" applyFill="1" applyAlignment="1">
      <alignment horizontal="left" vertical="top" wrapText="1"/>
    </xf>
    <xf numFmtId="0" fontId="0" fillId="0" borderId="0" xfId="0" applyFill="1" applyAlignment="1">
      <alignment horizontal="left" vertical="top"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6" fillId="0" borderId="24" xfId="413" applyFont="1" applyBorder="1" applyAlignment="1"/>
    <xf numFmtId="0" fontId="7" fillId="0" borderId="20" xfId="413" applyFont="1" applyBorder="1" applyAlignment="1">
      <alignment horizontal="left" vertical="top" wrapText="1"/>
    </xf>
    <xf numFmtId="0" fontId="7" fillId="0" borderId="24" xfId="413" applyFont="1" applyBorder="1" applyAlignment="1">
      <alignment horizontal="left" vertical="top" wrapText="1"/>
    </xf>
    <xf numFmtId="0" fontId="7" fillId="0" borderId="3" xfId="413" applyFont="1" applyBorder="1" applyAlignment="1">
      <alignment horizontal="left" vertical="top" wrapText="1"/>
    </xf>
    <xf numFmtId="0" fontId="7" fillId="0" borderId="0" xfId="413" applyFont="1" applyBorder="1" applyAlignment="1">
      <alignment horizontal="left" vertical="top" wrapText="1"/>
    </xf>
    <xf numFmtId="0" fontId="7" fillId="0" borderId="18" xfId="413" applyFont="1" applyBorder="1" applyAlignment="1">
      <alignment horizontal="left" vertical="top" wrapText="1"/>
    </xf>
    <xf numFmtId="0" fontId="7" fillId="0" borderId="19" xfId="413" applyFont="1" applyBorder="1" applyAlignment="1">
      <alignment horizontal="left" vertical="top" wrapText="1"/>
    </xf>
    <xf numFmtId="0" fontId="7" fillId="0" borderId="4" xfId="413" applyFont="1" applyBorder="1" applyAlignment="1">
      <alignment horizontal="left" vertical="top" wrapText="1"/>
    </xf>
    <xf numFmtId="0" fontId="7" fillId="0" borderId="23" xfId="413" applyFont="1" applyBorder="1" applyAlignment="1">
      <alignment horizontal="left" vertical="top" wrapText="1"/>
    </xf>
    <xf numFmtId="0" fontId="137" fillId="32" borderId="3" xfId="0" applyFont="1" applyFill="1" applyBorder="1" applyAlignment="1">
      <alignment horizontal="center"/>
    </xf>
    <xf numFmtId="0" fontId="137" fillId="32" borderId="0" xfId="0" applyFont="1" applyFill="1" applyBorder="1" applyAlignment="1">
      <alignment horizontal="center"/>
    </xf>
    <xf numFmtId="0" fontId="138" fillId="0" borderId="15" xfId="0" applyFont="1" applyBorder="1" applyAlignment="1">
      <alignment horizontal="center"/>
    </xf>
    <xf numFmtId="0" fontId="138" fillId="0" borderId="5" xfId="0" applyFont="1" applyBorder="1" applyAlignment="1">
      <alignment horizontal="center"/>
    </xf>
    <xf numFmtId="0" fontId="138" fillId="0" borderId="30" xfId="0" applyFont="1" applyBorder="1" applyAlignment="1">
      <alignment horizontal="center"/>
    </xf>
    <xf numFmtId="0" fontId="128" fillId="0" borderId="15" xfId="0" applyFont="1" applyBorder="1" applyAlignment="1">
      <alignment horizontal="center"/>
    </xf>
    <xf numFmtId="0" fontId="140" fillId="0" borderId="15" xfId="413" applyFont="1" applyBorder="1" applyAlignment="1">
      <alignment horizontal="center"/>
    </xf>
    <xf numFmtId="0" fontId="140" fillId="0" borderId="5" xfId="413" applyFont="1" applyBorder="1" applyAlignment="1">
      <alignment horizontal="center"/>
    </xf>
    <xf numFmtId="0" fontId="140" fillId="0" borderId="30" xfId="413" applyFont="1" applyBorder="1" applyAlignment="1">
      <alignment horizontal="center"/>
    </xf>
    <xf numFmtId="3" fontId="17" fillId="0" borderId="22" xfId="0" applyNumberFormat="1" applyFont="1" applyFill="1" applyBorder="1" applyAlignment="1">
      <alignment horizontal="left" vertical="top" wrapText="1"/>
    </xf>
    <xf numFmtId="0" fontId="17" fillId="0" borderId="22" xfId="0" applyFont="1" applyBorder="1" applyAlignment="1">
      <alignment horizontal="left" vertical="top" wrapText="1"/>
    </xf>
    <xf numFmtId="0" fontId="0" fillId="0" borderId="0" xfId="0" applyBorder="1" applyAlignment="1">
      <alignment horizontal="left" vertical="top" wrapText="1"/>
    </xf>
    <xf numFmtId="3" fontId="25" fillId="0" borderId="20" xfId="0" applyNumberFormat="1" applyFont="1" applyBorder="1" applyAlignment="1">
      <alignment horizontal="center" vertical="top" wrapText="1"/>
    </xf>
    <xf numFmtId="3" fontId="27" fillId="0" borderId="20" xfId="0" applyNumberFormat="1" applyFont="1" applyBorder="1" applyAlignment="1">
      <alignment horizontal="center" vertical="top" wrapText="1"/>
    </xf>
    <xf numFmtId="0" fontId="17" fillId="0" borderId="22"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24" xfId="0" applyFont="1" applyFill="1" applyBorder="1" applyAlignment="1">
      <alignment horizontal="left" vertical="top" wrapText="1"/>
    </xf>
    <xf numFmtId="0" fontId="17" fillId="0" borderId="19"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23" xfId="0"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18" xfId="0" applyFont="1" applyFill="1" applyBorder="1" applyAlignment="1">
      <alignment horizontal="left" vertical="top" wrapText="1"/>
    </xf>
    <xf numFmtId="0" fontId="6" fillId="0" borderId="22" xfId="0" applyFont="1" applyBorder="1" applyAlignment="1">
      <alignment horizontal="left" vertical="top" wrapText="1"/>
    </xf>
    <xf numFmtId="0" fontId="6" fillId="0" borderId="0" xfId="0" applyFont="1" applyBorder="1" applyAlignment="1">
      <alignment horizontal="left" vertical="top" wrapText="1"/>
    </xf>
    <xf numFmtId="0" fontId="0" fillId="0" borderId="20" xfId="0" applyFill="1" applyBorder="1" applyAlignment="1">
      <alignment wrapText="1"/>
    </xf>
    <xf numFmtId="0" fontId="0" fillId="0" borderId="24" xfId="0" applyFill="1" applyBorder="1" applyAlignment="1">
      <alignment wrapText="1"/>
    </xf>
    <xf numFmtId="0" fontId="0" fillId="0" borderId="3" xfId="0" applyFill="1" applyBorder="1" applyAlignment="1">
      <alignment wrapText="1"/>
    </xf>
    <xf numFmtId="0" fontId="0" fillId="0" borderId="0" xfId="0" applyFill="1" applyAlignment="1">
      <alignment wrapText="1"/>
    </xf>
    <xf numFmtId="0" fontId="0" fillId="0" borderId="18" xfId="0" applyFill="1" applyBorder="1" applyAlignment="1">
      <alignment wrapText="1"/>
    </xf>
    <xf numFmtId="0" fontId="0" fillId="0" borderId="19" xfId="0" applyFill="1" applyBorder="1" applyAlignment="1">
      <alignment wrapText="1"/>
    </xf>
    <xf numFmtId="0" fontId="0" fillId="0" borderId="4" xfId="0" applyFill="1" applyBorder="1" applyAlignment="1">
      <alignment wrapText="1"/>
    </xf>
    <xf numFmtId="0" fontId="0" fillId="0" borderId="23" xfId="0" applyFill="1" applyBorder="1" applyAlignment="1">
      <alignment wrapText="1"/>
    </xf>
    <xf numFmtId="0" fontId="0" fillId="0" borderId="22" xfId="0" applyBorder="1" applyAlignment="1">
      <alignment horizontal="left" vertical="top" wrapText="1"/>
    </xf>
    <xf numFmtId="0" fontId="39" fillId="0" borderId="22" xfId="0" applyFont="1" applyBorder="1" applyAlignment="1">
      <alignment horizontal="left" vertical="top" wrapText="1"/>
    </xf>
    <xf numFmtId="0" fontId="25" fillId="0" borderId="53" xfId="0" applyFont="1" applyBorder="1" applyAlignment="1">
      <alignment horizontal="left" vertical="center"/>
    </xf>
    <xf numFmtId="0" fontId="25" fillId="0" borderId="8" xfId="0" applyFont="1" applyBorder="1" applyAlignment="1">
      <alignment horizontal="left" vertical="center"/>
    </xf>
    <xf numFmtId="0" fontId="25" fillId="0" borderId="55" xfId="0" applyFont="1" applyBorder="1" applyAlignment="1">
      <alignment horizontal="left" vertical="center"/>
    </xf>
    <xf numFmtId="0" fontId="8" fillId="0" borderId="53" xfId="0" applyFont="1" applyBorder="1" applyAlignment="1">
      <alignment horizontal="left" vertical="center"/>
    </xf>
    <xf numFmtId="0" fontId="8" fillId="0" borderId="8" xfId="0" applyFont="1" applyBorder="1" applyAlignment="1">
      <alignment horizontal="left" vertical="center"/>
    </xf>
    <xf numFmtId="0" fontId="8" fillId="0" borderId="55" xfId="0" applyFont="1" applyBorder="1" applyAlignment="1">
      <alignment horizontal="left" vertical="center"/>
    </xf>
    <xf numFmtId="0" fontId="11" fillId="0" borderId="20" xfId="413" applyFont="1" applyFill="1" applyBorder="1" applyAlignment="1">
      <alignment horizontal="left" vertical="top" wrapText="1"/>
    </xf>
    <xf numFmtId="0" fontId="11" fillId="0" borderId="24" xfId="413" applyFont="1" applyFill="1" applyBorder="1" applyAlignment="1">
      <alignment horizontal="left" vertical="top" wrapText="1"/>
    </xf>
    <xf numFmtId="0" fontId="11" fillId="0" borderId="3" xfId="413" applyFont="1" applyFill="1" applyBorder="1" applyAlignment="1">
      <alignment horizontal="left" vertical="top" wrapText="1"/>
    </xf>
    <xf numFmtId="0" fontId="11" fillId="0" borderId="0" xfId="413" applyFont="1" applyFill="1" applyAlignment="1">
      <alignment horizontal="left" vertical="top" wrapText="1"/>
    </xf>
    <xf numFmtId="0" fontId="11" fillId="0" borderId="18" xfId="413" applyFont="1" applyFill="1" applyBorder="1" applyAlignment="1">
      <alignment horizontal="left" vertical="top" wrapText="1"/>
    </xf>
    <xf numFmtId="0" fontId="11" fillId="0" borderId="19" xfId="413" applyFont="1" applyFill="1" applyBorder="1" applyAlignment="1">
      <alignment horizontal="left" vertical="top" wrapText="1"/>
    </xf>
    <xf numFmtId="0" fontId="11" fillId="0" borderId="4" xfId="413" applyFont="1" applyFill="1" applyBorder="1" applyAlignment="1">
      <alignment horizontal="left" vertical="top" wrapText="1"/>
    </xf>
    <xf numFmtId="0" fontId="11" fillId="0" borderId="23" xfId="413" applyFont="1" applyFill="1" applyBorder="1" applyAlignment="1">
      <alignment horizontal="left" vertical="top" wrapText="1"/>
    </xf>
    <xf numFmtId="0" fontId="15" fillId="0" borderId="20" xfId="413" applyFont="1" applyFill="1" applyBorder="1" applyAlignment="1">
      <alignment horizontal="left" vertical="top" wrapText="1"/>
    </xf>
    <xf numFmtId="0" fontId="15" fillId="0" borderId="24" xfId="413" applyFont="1" applyFill="1" applyBorder="1" applyAlignment="1">
      <alignment horizontal="left" vertical="top" wrapText="1"/>
    </xf>
    <xf numFmtId="0" fontId="15" fillId="0" borderId="3" xfId="413" applyFont="1" applyFill="1" applyBorder="1" applyAlignment="1">
      <alignment horizontal="left" vertical="top" wrapText="1"/>
    </xf>
    <xf numFmtId="0" fontId="15" fillId="0" borderId="0" xfId="413" applyFont="1" applyFill="1" applyAlignment="1">
      <alignment horizontal="left" vertical="top" wrapText="1"/>
    </xf>
    <xf numFmtId="0" fontId="15" fillId="0" borderId="18" xfId="413" applyFont="1" applyFill="1" applyBorder="1" applyAlignment="1">
      <alignment horizontal="left" vertical="top" wrapText="1"/>
    </xf>
    <xf numFmtId="0" fontId="15" fillId="0" borderId="19" xfId="413" applyFont="1" applyFill="1" applyBorder="1" applyAlignment="1">
      <alignment horizontal="left" vertical="top" wrapText="1"/>
    </xf>
    <xf numFmtId="0" fontId="15" fillId="0" borderId="4" xfId="413" applyFont="1" applyFill="1" applyBorder="1" applyAlignment="1">
      <alignment horizontal="left" vertical="top" wrapText="1"/>
    </xf>
    <xf numFmtId="0" fontId="15" fillId="0" borderId="23" xfId="413" applyFont="1" applyFill="1" applyBorder="1" applyAlignment="1">
      <alignment horizontal="left" vertical="top" wrapText="1"/>
    </xf>
    <xf numFmtId="0" fontId="13" fillId="0" borderId="15" xfId="0" applyFont="1" applyFill="1" applyBorder="1" applyAlignment="1">
      <alignment horizontal="left" vertical="top" wrapText="1"/>
    </xf>
    <xf numFmtId="0" fontId="13" fillId="0" borderId="30" xfId="0" applyFont="1" applyFill="1" applyBorder="1" applyAlignment="1">
      <alignment horizontal="left" vertical="top" wrapText="1"/>
    </xf>
    <xf numFmtId="0" fontId="7" fillId="0" borderId="15" xfId="0" applyFont="1" applyBorder="1" applyAlignment="1">
      <alignment horizontal="center" vertical="top"/>
    </xf>
    <xf numFmtId="0" fontId="7" fillId="0" borderId="30" xfId="0" applyFont="1" applyBorder="1" applyAlignment="1">
      <alignment horizontal="center" vertical="top"/>
    </xf>
    <xf numFmtId="0" fontId="6" fillId="0" borderId="15" xfId="0" applyFont="1" applyFill="1" applyBorder="1" applyAlignment="1">
      <alignment horizontal="left" vertical="top" wrapText="1"/>
    </xf>
    <xf numFmtId="0" fontId="6" fillId="0" borderId="30" xfId="0" applyFont="1" applyFill="1" applyBorder="1" applyAlignment="1">
      <alignment horizontal="left" vertical="top" wrapText="1"/>
    </xf>
    <xf numFmtId="0" fontId="0" fillId="0" borderId="30" xfId="0" applyBorder="1" applyAlignment="1"/>
    <xf numFmtId="0" fontId="6" fillId="0" borderId="22" xfId="421" applyFont="1" applyFill="1" applyBorder="1" applyAlignment="1">
      <alignment horizontal="left" vertical="top" wrapText="1"/>
    </xf>
    <xf numFmtId="0" fontId="6" fillId="0" borderId="20" xfId="421" applyFont="1" applyFill="1" applyBorder="1" applyAlignment="1">
      <alignment horizontal="left" vertical="top" wrapText="1"/>
    </xf>
    <xf numFmtId="0" fontId="6" fillId="0" borderId="24" xfId="421" applyFont="1" applyFill="1" applyBorder="1" applyAlignment="1">
      <alignment horizontal="left" vertical="top" wrapText="1"/>
    </xf>
    <xf numFmtId="0" fontId="6" fillId="0" borderId="3" xfId="421" applyFont="1" applyFill="1" applyBorder="1" applyAlignment="1">
      <alignment horizontal="left" vertical="top" wrapText="1"/>
    </xf>
    <xf numFmtId="0" fontId="6" fillId="0" borderId="0" xfId="421" applyFont="1" applyFill="1" applyBorder="1" applyAlignment="1">
      <alignment horizontal="left" vertical="top" wrapText="1"/>
    </xf>
    <xf numFmtId="0" fontId="6" fillId="0" borderId="18" xfId="421" applyFont="1" applyFill="1" applyBorder="1" applyAlignment="1">
      <alignment horizontal="left" vertical="top" wrapText="1"/>
    </xf>
    <xf numFmtId="0" fontId="6" fillId="0" borderId="19" xfId="421" applyFont="1" applyFill="1" applyBorder="1" applyAlignment="1">
      <alignment horizontal="left" vertical="top" wrapText="1"/>
    </xf>
    <xf numFmtId="0" fontId="6" fillId="0" borderId="4" xfId="421" applyFont="1" applyFill="1" applyBorder="1" applyAlignment="1">
      <alignment horizontal="left" vertical="top" wrapText="1"/>
    </xf>
    <xf numFmtId="0" fontId="6" fillId="0" borderId="23" xfId="421" applyFont="1" applyFill="1" applyBorder="1" applyAlignment="1">
      <alignment horizontal="left" vertical="top" wrapText="1"/>
    </xf>
    <xf numFmtId="0" fontId="7" fillId="0" borderId="20" xfId="421" applyFont="1" applyBorder="1" applyAlignment="1">
      <alignment horizontal="center"/>
    </xf>
    <xf numFmtId="0" fontId="7" fillId="0" borderId="24" xfId="421" applyFont="1" applyBorder="1" applyAlignment="1">
      <alignment horizontal="center"/>
    </xf>
    <xf numFmtId="0" fontId="7" fillId="0" borderId="22" xfId="421" applyFont="1" applyBorder="1" applyAlignment="1">
      <alignment horizontal="center"/>
    </xf>
    <xf numFmtId="0" fontId="7" fillId="36" borderId="0" xfId="0" applyFont="1" applyFill="1" applyAlignment="1">
      <alignment horizontal="center"/>
    </xf>
    <xf numFmtId="0" fontId="165" fillId="0" borderId="0" xfId="0" applyFont="1" applyAlignment="1">
      <alignment horizontal="left" vertical="center"/>
    </xf>
    <xf numFmtId="0" fontId="167" fillId="0" borderId="0" xfId="0" applyFont="1" applyAlignment="1">
      <alignment horizontal="right"/>
    </xf>
    <xf numFmtId="0" fontId="37" fillId="0" borderId="0" xfId="0" applyFont="1" applyAlignment="1">
      <alignment horizontal="left"/>
    </xf>
    <xf numFmtId="0" fontId="37" fillId="0" borderId="0" xfId="0" applyFont="1" applyAlignment="1">
      <alignment horizontal="left" vertical="center"/>
    </xf>
    <xf numFmtId="0" fontId="171" fillId="0" borderId="0" xfId="0" applyFont="1" applyAlignment="1">
      <alignment horizontal="left"/>
    </xf>
    <xf numFmtId="0" fontId="166" fillId="0" borderId="0" xfId="0" applyFont="1" applyAlignment="1">
      <alignment horizontal="center"/>
    </xf>
    <xf numFmtId="3" fontId="7" fillId="0" borderId="0" xfId="0" applyNumberFormat="1" applyFont="1" applyBorder="1" applyAlignment="1">
      <alignment horizontal="center" vertical="top"/>
    </xf>
    <xf numFmtId="0" fontId="7" fillId="0" borderId="0" xfId="0" applyFont="1" applyAlignment="1">
      <alignment horizontal="center"/>
    </xf>
    <xf numFmtId="3" fontId="7" fillId="0" borderId="0" xfId="0" applyNumberFormat="1" applyFont="1" applyBorder="1" applyAlignment="1">
      <alignment horizontal="center" vertical="top" wrapText="1"/>
    </xf>
    <xf numFmtId="0" fontId="0" fillId="0" borderId="0" xfId="0" applyBorder="1" applyAlignment="1"/>
    <xf numFmtId="3" fontId="0" fillId="0" borderId="0" xfId="0" applyNumberFormat="1" applyBorder="1" applyAlignment="1">
      <alignment horizontal="center" vertical="top" wrapText="1"/>
    </xf>
    <xf numFmtId="0" fontId="20" fillId="0" borderId="20" xfId="423" applyFont="1" applyBorder="1" applyAlignment="1" applyProtection="1">
      <alignment horizontal="center"/>
    </xf>
    <xf numFmtId="0" fontId="11" fillId="35" borderId="0" xfId="423" applyFont="1" applyFill="1" applyAlignment="1" applyProtection="1">
      <alignment horizontal="center"/>
    </xf>
    <xf numFmtId="0" fontId="111" fillId="0" borderId="138" xfId="423" applyFont="1" applyBorder="1" applyAlignment="1" applyProtection="1">
      <alignment horizontal="center"/>
    </xf>
    <xf numFmtId="0" fontId="111" fillId="0" borderId="139" xfId="423" applyFont="1" applyBorder="1" applyAlignment="1" applyProtection="1">
      <alignment horizontal="center"/>
    </xf>
    <xf numFmtId="0" fontId="111" fillId="0" borderId="140" xfId="423" applyFont="1" applyBorder="1" applyAlignment="1" applyProtection="1">
      <alignment horizontal="center"/>
    </xf>
    <xf numFmtId="0" fontId="13" fillId="25" borderId="22" xfId="425" applyFont="1" applyFill="1" applyBorder="1" applyAlignment="1" applyProtection="1">
      <alignment horizontal="left" vertical="top" wrapText="1"/>
      <protection locked="0"/>
    </xf>
    <xf numFmtId="0" fontId="13" fillId="25" borderId="20" xfId="425" applyFont="1" applyFill="1" applyBorder="1" applyAlignment="1" applyProtection="1">
      <alignment horizontal="left" vertical="top" wrapText="1"/>
      <protection locked="0"/>
    </xf>
    <xf numFmtId="0" fontId="13" fillId="25" borderId="24" xfId="425" applyFont="1" applyFill="1" applyBorder="1" applyAlignment="1" applyProtection="1">
      <alignment horizontal="left" vertical="top" wrapText="1"/>
      <protection locked="0"/>
    </xf>
    <xf numFmtId="0" fontId="13" fillId="25" borderId="3" xfId="425" applyFont="1" applyFill="1" applyBorder="1" applyAlignment="1" applyProtection="1">
      <alignment horizontal="left" vertical="top" wrapText="1"/>
      <protection locked="0"/>
    </xf>
    <xf numFmtId="0" fontId="13" fillId="25" borderId="0" xfId="425" applyFont="1" applyFill="1" applyBorder="1" applyAlignment="1" applyProtection="1">
      <alignment horizontal="left" vertical="top" wrapText="1"/>
      <protection locked="0"/>
    </xf>
    <xf numFmtId="0" fontId="13" fillId="25" borderId="18" xfId="425" applyFont="1" applyFill="1" applyBorder="1" applyAlignment="1" applyProtection="1">
      <alignment horizontal="left" vertical="top" wrapText="1"/>
      <protection locked="0"/>
    </xf>
    <xf numFmtId="0" fontId="13" fillId="25" borderId="19" xfId="425" applyFont="1" applyFill="1" applyBorder="1" applyAlignment="1" applyProtection="1">
      <alignment horizontal="left" vertical="top" wrapText="1"/>
      <protection locked="0"/>
    </xf>
    <xf numFmtId="0" fontId="13" fillId="25" borderId="4" xfId="425" applyFont="1" applyFill="1" applyBorder="1" applyAlignment="1" applyProtection="1">
      <alignment horizontal="left" vertical="top" wrapText="1"/>
      <protection locked="0"/>
    </xf>
    <xf numFmtId="0" fontId="13" fillId="25" borderId="23" xfId="425" applyFont="1" applyFill="1" applyBorder="1" applyAlignment="1" applyProtection="1">
      <alignment horizontal="left" vertical="top" wrapText="1"/>
      <protection locked="0"/>
    </xf>
    <xf numFmtId="0" fontId="11" fillId="0" borderId="0" xfId="423" applyFont="1" applyAlignment="1" applyProtection="1">
      <alignment horizontal="center"/>
    </xf>
    <xf numFmtId="0" fontId="123" fillId="27" borderId="0" xfId="0" applyFont="1" applyFill="1" applyAlignment="1">
      <alignment vertical="top" wrapText="1"/>
    </xf>
    <xf numFmtId="0" fontId="0" fillId="27" borderId="0" xfId="0" applyFill="1" applyAlignment="1">
      <alignment horizontal="center" wrapText="1"/>
    </xf>
    <xf numFmtId="0" fontId="125" fillId="27" borderId="0" xfId="0" applyFont="1" applyFill="1" applyAlignment="1">
      <alignment horizontal="right" vertical="top" wrapText="1"/>
    </xf>
  </cellXfs>
  <cellStyles count="545">
    <cellStyle name="_CIPS" xfId="1"/>
    <cellStyle name="_Commissioning summary" xfId="2"/>
    <cellStyle name="_East Kent PCT 4 year Tracker March 2011" xfId="3"/>
    <cellStyle name="_East Sussex PCTs 4 year Tracker March 2011" xfId="4"/>
    <cellStyle name="_ESDW 5 Year Plan 2010-2015 V15 FIMS" xfId="5"/>
    <cellStyle name="_ESDW 5 Year Plan 2011-2016 V2" xfId="6"/>
    <cellStyle name="_ESDW EMR 2009_10" xfId="7"/>
    <cellStyle name="_Forecast mth 4 20 Aug" xfId="8"/>
    <cellStyle name="_Risks &amp; Opps Log 2010_11" xfId="9"/>
    <cellStyle name="_SLA Matrix Workings M4 Reserves adj" xfId="10"/>
    <cellStyle name="_West Kent PCT 4 year Tracker March 2011" xfId="11"/>
    <cellStyle name="_West Sussex PCT 4 year Tracker March 2011" xfId="12"/>
    <cellStyle name="0,0_x000a__x000a_NA_x000a__x000a_" xfId="13"/>
    <cellStyle name="0,0_x000a__x000a_NA_x000a__x000a_ 2" xfId="14"/>
    <cellStyle name="0,0_x000a__x000a_NA_x000a__x000a_ 2 2" xfId="15"/>
    <cellStyle name="0,0_x000a__x000a_NA_x000a__x000a_ 2 2 2" xfId="503"/>
    <cellStyle name="0,0_x000a__x000a_NA_x000a__x000a_ 2 3" xfId="502"/>
    <cellStyle name="0,0_x000a__x000a_NA_x000a__x000a_ 2_2010 Budget_5P7_Consolidation v4b - Mar31" xfId="16"/>
    <cellStyle name="0,0_x000a__x000a_NA_x000a__x000a_ 3" xfId="17"/>
    <cellStyle name="0,0_x000a__x000a_NA_x000a__x000a_ 3 2" xfId="504"/>
    <cellStyle name="0,0_x000a__x000a_NA_x000a__x000a_ 4" xfId="501"/>
    <cellStyle name="0,0_x000a__x000a_NA_x000a__x000a__2010 Budget_5P7_Consolidation v3 - Feb22" xfId="18"/>
    <cellStyle name="0,0_x000d__x000a_NA_x000d__x000a_" xfId="19"/>
    <cellStyle name="20% - Accent1 10" xfId="20"/>
    <cellStyle name="20% - Accent1 2" xfId="21"/>
    <cellStyle name="20% - Accent1 3" xfId="22"/>
    <cellStyle name="20% - Accent1 4" xfId="23"/>
    <cellStyle name="20% - Accent1 5" xfId="24"/>
    <cellStyle name="20% - Accent1 6" xfId="25"/>
    <cellStyle name="20% - Accent1 7" xfId="26"/>
    <cellStyle name="20% - Accent1 8" xfId="27"/>
    <cellStyle name="20% - Accent1 9" xfId="28"/>
    <cellStyle name="20% - Accent2 10" xfId="29"/>
    <cellStyle name="20% - Accent2 2" xfId="30"/>
    <cellStyle name="20% - Accent2 3" xfId="31"/>
    <cellStyle name="20% - Accent2 4" xfId="32"/>
    <cellStyle name="20% - Accent2 5" xfId="33"/>
    <cellStyle name="20% - Accent2 6" xfId="34"/>
    <cellStyle name="20% - Accent2 7" xfId="35"/>
    <cellStyle name="20% - Accent2 8" xfId="36"/>
    <cellStyle name="20% - Accent2 9" xfId="37"/>
    <cellStyle name="20% - Accent3 10" xfId="38"/>
    <cellStyle name="20% - Accent3 2" xfId="39"/>
    <cellStyle name="20% - Accent3 3" xfId="40"/>
    <cellStyle name="20% - Accent3 4" xfId="41"/>
    <cellStyle name="20% - Accent3 5" xfId="42"/>
    <cellStyle name="20% - Accent3 6" xfId="43"/>
    <cellStyle name="20% - Accent3 7" xfId="44"/>
    <cellStyle name="20% - Accent3 8" xfId="45"/>
    <cellStyle name="20% - Accent3 9" xfId="46"/>
    <cellStyle name="20% - Accent4 10" xfId="47"/>
    <cellStyle name="20% - Accent4 2" xfId="48"/>
    <cellStyle name="20% - Accent4 3" xfId="49"/>
    <cellStyle name="20% - Accent4 4" xfId="50"/>
    <cellStyle name="20% - Accent4 5" xfId="51"/>
    <cellStyle name="20% - Accent4 6" xfId="52"/>
    <cellStyle name="20% - Accent4 7" xfId="53"/>
    <cellStyle name="20% - Accent4 8" xfId="54"/>
    <cellStyle name="20% - Accent4 9" xfId="55"/>
    <cellStyle name="20% - Accent5 10" xfId="56"/>
    <cellStyle name="20% - Accent5 2" xfId="57"/>
    <cellStyle name="20% - Accent5 3" xfId="58"/>
    <cellStyle name="20% - Accent5 4" xfId="59"/>
    <cellStyle name="20% - Accent5 5" xfId="60"/>
    <cellStyle name="20% - Accent5 6" xfId="61"/>
    <cellStyle name="20% - Accent5 7" xfId="62"/>
    <cellStyle name="20% - Accent5 8" xfId="63"/>
    <cellStyle name="20% - Accent5 9" xfId="64"/>
    <cellStyle name="20% - Accent6 10" xfId="65"/>
    <cellStyle name="20% - Accent6 2" xfId="66"/>
    <cellStyle name="20% - Accent6 3" xfId="67"/>
    <cellStyle name="20% - Accent6 4" xfId="68"/>
    <cellStyle name="20% - Accent6 5" xfId="69"/>
    <cellStyle name="20% - Accent6 6" xfId="70"/>
    <cellStyle name="20% - Accent6 7" xfId="71"/>
    <cellStyle name="20% - Accent6 8" xfId="72"/>
    <cellStyle name="20% - Accent6 9" xfId="73"/>
    <cellStyle name="40% - Accent1 10" xfId="74"/>
    <cellStyle name="40% - Accent1 2" xfId="75"/>
    <cellStyle name="40% - Accent1 3" xfId="76"/>
    <cellStyle name="40% - Accent1 4" xfId="77"/>
    <cellStyle name="40% - Accent1 5" xfId="78"/>
    <cellStyle name="40% - Accent1 6" xfId="79"/>
    <cellStyle name="40% - Accent1 7" xfId="80"/>
    <cellStyle name="40% - Accent1 8" xfId="81"/>
    <cellStyle name="40% - Accent1 9" xfId="82"/>
    <cellStyle name="40% - Accent2 10" xfId="83"/>
    <cellStyle name="40% - Accent2 2" xfId="84"/>
    <cellStyle name="40% - Accent2 3" xfId="85"/>
    <cellStyle name="40% - Accent2 4" xfId="86"/>
    <cellStyle name="40% - Accent2 5" xfId="87"/>
    <cellStyle name="40% - Accent2 6" xfId="88"/>
    <cellStyle name="40% - Accent2 7" xfId="89"/>
    <cellStyle name="40% - Accent2 8" xfId="90"/>
    <cellStyle name="40% - Accent2 9" xfId="91"/>
    <cellStyle name="40% - Accent3 10" xfId="92"/>
    <cellStyle name="40% - Accent3 2" xfId="93"/>
    <cellStyle name="40% - Accent3 3" xfId="94"/>
    <cellStyle name="40% - Accent3 4" xfId="95"/>
    <cellStyle name="40% - Accent3 5" xfId="96"/>
    <cellStyle name="40% - Accent3 6" xfId="97"/>
    <cellStyle name="40% - Accent3 7" xfId="98"/>
    <cellStyle name="40% - Accent3 8" xfId="99"/>
    <cellStyle name="40% - Accent3 9" xfId="100"/>
    <cellStyle name="40% - Accent4 10" xfId="101"/>
    <cellStyle name="40% - Accent4 2" xfId="102"/>
    <cellStyle name="40% - Accent4 3" xfId="103"/>
    <cellStyle name="40% - Accent4 4" xfId="104"/>
    <cellStyle name="40% - Accent4 5" xfId="105"/>
    <cellStyle name="40% - Accent4 6" xfId="106"/>
    <cellStyle name="40% - Accent4 7" xfId="107"/>
    <cellStyle name="40% - Accent4 8" xfId="108"/>
    <cellStyle name="40% - Accent4 9" xfId="109"/>
    <cellStyle name="40% - Accent5 10" xfId="110"/>
    <cellStyle name="40% - Accent5 2" xfId="111"/>
    <cellStyle name="40% - Accent5 3" xfId="112"/>
    <cellStyle name="40% - Accent5 4" xfId="113"/>
    <cellStyle name="40% - Accent5 5" xfId="114"/>
    <cellStyle name="40% - Accent5 6" xfId="115"/>
    <cellStyle name="40% - Accent5 7" xfId="116"/>
    <cellStyle name="40% - Accent5 8" xfId="117"/>
    <cellStyle name="40% - Accent5 9" xfId="118"/>
    <cellStyle name="40% - Accent6 10" xfId="119"/>
    <cellStyle name="40% - Accent6 2" xfId="120"/>
    <cellStyle name="40% - Accent6 3" xfId="121"/>
    <cellStyle name="40% - Accent6 4" xfId="122"/>
    <cellStyle name="40% - Accent6 5" xfId="123"/>
    <cellStyle name="40% - Accent6 6" xfId="124"/>
    <cellStyle name="40% - Accent6 7" xfId="125"/>
    <cellStyle name="40% - Accent6 8" xfId="126"/>
    <cellStyle name="40% - Accent6 9" xfId="127"/>
    <cellStyle name="60% - Accent1 10" xfId="128"/>
    <cellStyle name="60% - Accent1 2" xfId="129"/>
    <cellStyle name="60% - Accent1 3" xfId="130"/>
    <cellStyle name="60% - Accent1 4" xfId="131"/>
    <cellStyle name="60% - Accent1 5" xfId="132"/>
    <cellStyle name="60% - Accent1 6" xfId="133"/>
    <cellStyle name="60% - Accent1 7" xfId="134"/>
    <cellStyle name="60% - Accent1 8" xfId="135"/>
    <cellStyle name="60% - Accent1 9" xfId="136"/>
    <cellStyle name="60% - Accent2 10" xfId="137"/>
    <cellStyle name="60% - Accent2 2" xfId="138"/>
    <cellStyle name="60% - Accent2 3" xfId="139"/>
    <cellStyle name="60% - Accent2 4" xfId="140"/>
    <cellStyle name="60% - Accent2 5" xfId="141"/>
    <cellStyle name="60% - Accent2 6" xfId="142"/>
    <cellStyle name="60% - Accent2 7" xfId="143"/>
    <cellStyle name="60% - Accent2 8" xfId="144"/>
    <cellStyle name="60% - Accent2 9" xfId="145"/>
    <cellStyle name="60% - Accent3 10" xfId="146"/>
    <cellStyle name="60% - Accent3 2" xfId="147"/>
    <cellStyle name="60% - Accent3 3" xfId="148"/>
    <cellStyle name="60% - Accent3 4" xfId="149"/>
    <cellStyle name="60% - Accent3 5" xfId="150"/>
    <cellStyle name="60% - Accent3 6" xfId="151"/>
    <cellStyle name="60% - Accent3 7" xfId="152"/>
    <cellStyle name="60% - Accent3 8" xfId="153"/>
    <cellStyle name="60% - Accent3 9" xfId="154"/>
    <cellStyle name="60% - Accent4 10" xfId="155"/>
    <cellStyle name="60% - Accent4 2" xfId="156"/>
    <cellStyle name="60% - Accent4 3" xfId="157"/>
    <cellStyle name="60% - Accent4 4" xfId="158"/>
    <cellStyle name="60% - Accent4 5" xfId="159"/>
    <cellStyle name="60% - Accent4 6" xfId="160"/>
    <cellStyle name="60% - Accent4 7" xfId="161"/>
    <cellStyle name="60% - Accent4 8" xfId="162"/>
    <cellStyle name="60% - Accent4 9" xfId="163"/>
    <cellStyle name="60% - Accent5 10" xfId="164"/>
    <cellStyle name="60% - Accent5 2" xfId="165"/>
    <cellStyle name="60% - Accent5 3" xfId="166"/>
    <cellStyle name="60% - Accent5 4" xfId="167"/>
    <cellStyle name="60% - Accent5 5" xfId="168"/>
    <cellStyle name="60% - Accent5 6" xfId="169"/>
    <cellStyle name="60% - Accent5 7" xfId="170"/>
    <cellStyle name="60% - Accent5 8" xfId="171"/>
    <cellStyle name="60% - Accent5 9" xfId="172"/>
    <cellStyle name="60% - Accent6 10" xfId="173"/>
    <cellStyle name="60% - Accent6 2" xfId="174"/>
    <cellStyle name="60% - Accent6 3" xfId="175"/>
    <cellStyle name="60% - Accent6 4" xfId="176"/>
    <cellStyle name="60% - Accent6 5" xfId="177"/>
    <cellStyle name="60% - Accent6 6" xfId="178"/>
    <cellStyle name="60% - Accent6 7" xfId="179"/>
    <cellStyle name="60% - Accent6 8" xfId="180"/>
    <cellStyle name="60% - Accent6 9" xfId="181"/>
    <cellStyle name="Accent1 10" xfId="182"/>
    <cellStyle name="Accent1 2" xfId="183"/>
    <cellStyle name="Accent1 3" xfId="184"/>
    <cellStyle name="Accent1 4" xfId="185"/>
    <cellStyle name="Accent1 5" xfId="186"/>
    <cellStyle name="Accent1 6" xfId="187"/>
    <cellStyle name="Accent1 7" xfId="188"/>
    <cellStyle name="Accent1 8" xfId="189"/>
    <cellStyle name="Accent1 9" xfId="190"/>
    <cellStyle name="Accent2 10" xfId="191"/>
    <cellStyle name="Accent2 2" xfId="192"/>
    <cellStyle name="Accent2 3" xfId="193"/>
    <cellStyle name="Accent2 4" xfId="194"/>
    <cellStyle name="Accent2 5" xfId="195"/>
    <cellStyle name="Accent2 6" xfId="196"/>
    <cellStyle name="Accent2 7" xfId="197"/>
    <cellStyle name="Accent2 8" xfId="198"/>
    <cellStyle name="Accent2 9" xfId="199"/>
    <cellStyle name="Accent3 10" xfId="200"/>
    <cellStyle name="Accent3 2" xfId="201"/>
    <cellStyle name="Accent3 3" xfId="202"/>
    <cellStyle name="Accent3 4" xfId="203"/>
    <cellStyle name="Accent3 5" xfId="204"/>
    <cellStyle name="Accent3 6" xfId="205"/>
    <cellStyle name="Accent3 7" xfId="206"/>
    <cellStyle name="Accent3 8" xfId="207"/>
    <cellStyle name="Accent3 9" xfId="208"/>
    <cellStyle name="Accent4 10" xfId="209"/>
    <cellStyle name="Accent4 2" xfId="210"/>
    <cellStyle name="Accent4 3" xfId="211"/>
    <cellStyle name="Accent4 4" xfId="212"/>
    <cellStyle name="Accent4 5" xfId="213"/>
    <cellStyle name="Accent4 6" xfId="214"/>
    <cellStyle name="Accent4 7" xfId="215"/>
    <cellStyle name="Accent4 8" xfId="216"/>
    <cellStyle name="Accent4 9" xfId="217"/>
    <cellStyle name="Accent5 10" xfId="218"/>
    <cellStyle name="Accent5 2" xfId="219"/>
    <cellStyle name="Accent5 3" xfId="220"/>
    <cellStyle name="Accent5 4" xfId="221"/>
    <cellStyle name="Accent5 5" xfId="222"/>
    <cellStyle name="Accent5 6" xfId="223"/>
    <cellStyle name="Accent5 7" xfId="224"/>
    <cellStyle name="Accent5 8" xfId="225"/>
    <cellStyle name="Accent5 9" xfId="226"/>
    <cellStyle name="Accent6 10" xfId="227"/>
    <cellStyle name="Accent6 2" xfId="228"/>
    <cellStyle name="Accent6 3" xfId="229"/>
    <cellStyle name="Accent6 4" xfId="230"/>
    <cellStyle name="Accent6 5" xfId="231"/>
    <cellStyle name="Accent6 6" xfId="232"/>
    <cellStyle name="Accent6 7" xfId="233"/>
    <cellStyle name="Accent6 8" xfId="234"/>
    <cellStyle name="Accent6 9" xfId="235"/>
    <cellStyle name="ariel" xfId="236"/>
    <cellStyle name="ariel 2" xfId="505"/>
    <cellStyle name="Bad 10" xfId="237"/>
    <cellStyle name="Bad 2" xfId="238"/>
    <cellStyle name="Bad 3" xfId="239"/>
    <cellStyle name="Bad 4" xfId="240"/>
    <cellStyle name="Bad 5" xfId="241"/>
    <cellStyle name="Bad 6" xfId="242"/>
    <cellStyle name="Bad 7" xfId="243"/>
    <cellStyle name="Bad 8" xfId="244"/>
    <cellStyle name="Bad 9" xfId="245"/>
    <cellStyle name="blank" xfId="246"/>
    <cellStyle name="blank 2" xfId="506"/>
    <cellStyle name="Calculation 10" xfId="247"/>
    <cellStyle name="Calculation 2" xfId="248"/>
    <cellStyle name="Calculation 3" xfId="249"/>
    <cellStyle name="Calculation 4" xfId="250"/>
    <cellStyle name="Calculation 5" xfId="251"/>
    <cellStyle name="Calculation 6" xfId="252"/>
    <cellStyle name="Calculation 7" xfId="253"/>
    <cellStyle name="Calculation 8" xfId="254"/>
    <cellStyle name="Calculation 9" xfId="255"/>
    <cellStyle name="Check Cell 10" xfId="256"/>
    <cellStyle name="Check Cell 2" xfId="257"/>
    <cellStyle name="Check Cell 3" xfId="258"/>
    <cellStyle name="Check Cell 4" xfId="259"/>
    <cellStyle name="Check Cell 5" xfId="260"/>
    <cellStyle name="Check Cell 6" xfId="261"/>
    <cellStyle name="Check Cell 7" xfId="262"/>
    <cellStyle name="Check Cell 8" xfId="263"/>
    <cellStyle name="Check Cell 9" xfId="264"/>
    <cellStyle name="CodeHeading" xfId="265"/>
    <cellStyle name="Col_Top_Wrap" xfId="266"/>
    <cellStyle name="Comma" xfId="267" builtinId="3"/>
    <cellStyle name="Comma 2" xfId="507"/>
    <cellStyle name="Currency" xfId="268" builtinId="4"/>
    <cellStyle name="Currency 2" xfId="508"/>
    <cellStyle name="Euro" xfId="269"/>
    <cellStyle name="Euro 2" xfId="509"/>
    <cellStyle name="Explanation" xfId="270"/>
    <cellStyle name="Explanation 2" xfId="510"/>
    <cellStyle name="Explanatory Text 10" xfId="271"/>
    <cellStyle name="Explanatory Text 2" xfId="272"/>
    <cellStyle name="Explanatory Text 3" xfId="273"/>
    <cellStyle name="Explanatory Text 4" xfId="274"/>
    <cellStyle name="Explanatory Text 5" xfId="275"/>
    <cellStyle name="Explanatory Text 6" xfId="276"/>
    <cellStyle name="Explanatory Text 7" xfId="277"/>
    <cellStyle name="Explanatory Text 8" xfId="278"/>
    <cellStyle name="Explanatory Text 9" xfId="279"/>
    <cellStyle name="EYBlocked" xfId="280"/>
    <cellStyle name="EYDate" xfId="281"/>
    <cellStyle name="EYHeader1" xfId="282"/>
    <cellStyle name="EYHeader2" xfId="283"/>
    <cellStyle name="EYInputPercent" xfId="284"/>
    <cellStyle name="EYInputValue" xfId="285"/>
    <cellStyle name="Good 10" xfId="286"/>
    <cellStyle name="Good 2" xfId="287"/>
    <cellStyle name="Good 3" xfId="288"/>
    <cellStyle name="Good 4" xfId="289"/>
    <cellStyle name="Good 5" xfId="290"/>
    <cellStyle name="Good 6" xfId="291"/>
    <cellStyle name="Good 7" xfId="292"/>
    <cellStyle name="Good 8" xfId="293"/>
    <cellStyle name="Good 9" xfId="294"/>
    <cellStyle name="Greyed" xfId="295"/>
    <cellStyle name="hard no." xfId="296"/>
    <cellStyle name="Heading 1 10" xfId="297"/>
    <cellStyle name="Heading 1 2" xfId="298"/>
    <cellStyle name="Heading 1 3" xfId="299"/>
    <cellStyle name="Heading 1 4" xfId="300"/>
    <cellStyle name="Heading 1 5" xfId="301"/>
    <cellStyle name="Heading 1 6" xfId="302"/>
    <cellStyle name="Heading 1 7" xfId="303"/>
    <cellStyle name="Heading 1 8" xfId="304"/>
    <cellStyle name="Heading 1 9" xfId="305"/>
    <cellStyle name="Heading 2 10" xfId="306"/>
    <cellStyle name="Heading 2 2" xfId="307"/>
    <cellStyle name="Heading 2 3" xfId="308"/>
    <cellStyle name="Heading 2 4" xfId="309"/>
    <cellStyle name="Heading 2 5" xfId="310"/>
    <cellStyle name="Heading 2 6" xfId="311"/>
    <cellStyle name="Heading 2 7" xfId="312"/>
    <cellStyle name="Heading 2 8" xfId="313"/>
    <cellStyle name="Heading 2 9" xfId="314"/>
    <cellStyle name="Heading 3 10" xfId="315"/>
    <cellStyle name="Heading 3 2" xfId="316"/>
    <cellStyle name="Heading 3 3" xfId="317"/>
    <cellStyle name="Heading 3 4" xfId="318"/>
    <cellStyle name="Heading 3 5" xfId="319"/>
    <cellStyle name="Heading 3 6" xfId="320"/>
    <cellStyle name="Heading 3 7" xfId="321"/>
    <cellStyle name="Heading 3 8" xfId="322"/>
    <cellStyle name="Heading 3 9" xfId="323"/>
    <cellStyle name="Heading 4 10" xfId="324"/>
    <cellStyle name="Heading 4 2" xfId="325"/>
    <cellStyle name="Heading 4 3" xfId="326"/>
    <cellStyle name="Heading 4 4" xfId="327"/>
    <cellStyle name="Heading 4 5" xfId="328"/>
    <cellStyle name="Heading 4 6" xfId="329"/>
    <cellStyle name="Heading 4 7" xfId="330"/>
    <cellStyle name="Heading 4 8" xfId="331"/>
    <cellStyle name="Heading 4 9" xfId="332"/>
    <cellStyle name="Hyperlink 2" xfId="333"/>
    <cellStyle name="Hyperlink 3" xfId="334"/>
    <cellStyle name="Hyperlink 3 2" xfId="335"/>
    <cellStyle name="Hyperlink 3 3" xfId="336"/>
    <cellStyle name="Hyperlink 3 3 2" xfId="337"/>
    <cellStyle name="Hyperlink 3 3 3" xfId="338"/>
    <cellStyle name="Hyperlink 3 3 4" xfId="511"/>
    <cellStyle name="Hyperlink 3 3_Board Report Month 03 2013_14" xfId="339"/>
    <cellStyle name="Hyperlink 3_East Kent PCT 4 year Tracker March 2011" xfId="340"/>
    <cellStyle name="Input 1" xfId="341"/>
    <cellStyle name="Input 10" xfId="342"/>
    <cellStyle name="Input 2" xfId="343"/>
    <cellStyle name="Input 3" xfId="344"/>
    <cellStyle name="Input 4" xfId="345"/>
    <cellStyle name="Input 5" xfId="346"/>
    <cellStyle name="Input 6" xfId="347"/>
    <cellStyle name="Input 7" xfId="348"/>
    <cellStyle name="Input 8" xfId="349"/>
    <cellStyle name="Input 9" xfId="350"/>
    <cellStyle name="Input Cell" xfId="351"/>
    <cellStyle name="KPMG Heading 1" xfId="352"/>
    <cellStyle name="KPMG Heading 2" xfId="353"/>
    <cellStyle name="KPMG Heading 3" xfId="354"/>
    <cellStyle name="KPMG Heading 4" xfId="355"/>
    <cellStyle name="KPMG Normal" xfId="356"/>
    <cellStyle name="KPMG Normal Text" xfId="357"/>
    <cellStyle name="Large" xfId="358"/>
    <cellStyle name="Large 2" xfId="512"/>
    <cellStyle name="Linked Cell 10" xfId="359"/>
    <cellStyle name="Linked Cell 2" xfId="360"/>
    <cellStyle name="Linked Cell 3" xfId="361"/>
    <cellStyle name="Linked Cell 4" xfId="362"/>
    <cellStyle name="Linked Cell 5" xfId="363"/>
    <cellStyle name="Linked Cell 6" xfId="364"/>
    <cellStyle name="Linked Cell 7" xfId="365"/>
    <cellStyle name="Linked Cell 8" xfId="366"/>
    <cellStyle name="Linked Cell 9" xfId="367"/>
    <cellStyle name="Mid_Centred" xfId="368"/>
    <cellStyle name="Neutral 10" xfId="369"/>
    <cellStyle name="Neutral 2" xfId="370"/>
    <cellStyle name="Neutral 3" xfId="371"/>
    <cellStyle name="Neutral 4" xfId="372"/>
    <cellStyle name="Neutral 5" xfId="373"/>
    <cellStyle name="Neutral 6" xfId="374"/>
    <cellStyle name="Neutral 7" xfId="375"/>
    <cellStyle name="Neutral 8" xfId="376"/>
    <cellStyle name="Neutral 9" xfId="377"/>
    <cellStyle name="Normal" xfId="0" builtinId="0"/>
    <cellStyle name="Normal - Style1" xfId="378"/>
    <cellStyle name="Normal 1" xfId="379"/>
    <cellStyle name="Normal 1 2" xfId="513"/>
    <cellStyle name="Normal 10" xfId="380"/>
    <cellStyle name="Normal 10 2" xfId="514"/>
    <cellStyle name="Normal 11" xfId="381"/>
    <cellStyle name="Normal 11 2" xfId="515"/>
    <cellStyle name="Normal 12" xfId="382"/>
    <cellStyle name="Normal 13" xfId="383"/>
    <cellStyle name="Normal 14" xfId="384"/>
    <cellStyle name="Normal 15" xfId="385"/>
    <cellStyle name="Normal 16" xfId="386"/>
    <cellStyle name="Normal 17" xfId="387"/>
    <cellStyle name="Normal 18" xfId="388"/>
    <cellStyle name="Normal 19" xfId="389"/>
    <cellStyle name="Normal 2" xfId="390"/>
    <cellStyle name="Normal 2 2" xfId="391"/>
    <cellStyle name="Normal 2 2 2" xfId="392"/>
    <cellStyle name="Normal 2 2 2 2" xfId="518"/>
    <cellStyle name="Normal 2 2 3" xfId="517"/>
    <cellStyle name="Normal 2 2_Board Report Month 03 2013_14" xfId="393"/>
    <cellStyle name="Normal 2 3" xfId="516"/>
    <cellStyle name="Normal 2_1.0 QIPP Report Card" xfId="394"/>
    <cellStyle name="Normal 20" xfId="395"/>
    <cellStyle name="Normal 21" xfId="396"/>
    <cellStyle name="Normal 22" xfId="397"/>
    <cellStyle name="Normal 23" xfId="398"/>
    <cellStyle name="Normal 24" xfId="399"/>
    <cellStyle name="Normal 25" xfId="400"/>
    <cellStyle name="Normal 26" xfId="401"/>
    <cellStyle name="Normal 27" xfId="402"/>
    <cellStyle name="Normal 28" xfId="403"/>
    <cellStyle name="Normal 29" xfId="404"/>
    <cellStyle name="Normal 3" xfId="405"/>
    <cellStyle name="Normal 3 2" xfId="406"/>
    <cellStyle name="Normal 3 2 2" xfId="520"/>
    <cellStyle name="Normal 3 3" xfId="519"/>
    <cellStyle name="Normal 3_Board Report Month 03 2013_14" xfId="407"/>
    <cellStyle name="Normal 30" xfId="408"/>
    <cellStyle name="Normal 31" xfId="409"/>
    <cellStyle name="Normal 32" xfId="410"/>
    <cellStyle name="Normal 33" xfId="411"/>
    <cellStyle name="Normal 34" xfId="412"/>
    <cellStyle name="Normal 35" xfId="413"/>
    <cellStyle name="Normal 36" xfId="494"/>
    <cellStyle name="Normal 36 2" xfId="540"/>
    <cellStyle name="Normal 37" xfId="495"/>
    <cellStyle name="Normal 37 2" xfId="541"/>
    <cellStyle name="Normal 38" xfId="496"/>
    <cellStyle name="Normal 38 2" xfId="542"/>
    <cellStyle name="Normal 39" xfId="497"/>
    <cellStyle name="Normal 39 2" xfId="543"/>
    <cellStyle name="Normal 4" xfId="414"/>
    <cellStyle name="Normal 4 2" xfId="521"/>
    <cellStyle name="Normal 40" xfId="498"/>
    <cellStyle name="Normal 41" xfId="500"/>
    <cellStyle name="Normal 42" xfId="499"/>
    <cellStyle name="Normal 43" xfId="538"/>
    <cellStyle name="Normal 44" xfId="544"/>
    <cellStyle name="Normal 5" xfId="415"/>
    <cellStyle name="Normal 5 2" xfId="522"/>
    <cellStyle name="Normal 6" xfId="416"/>
    <cellStyle name="Normal 6 2" xfId="523"/>
    <cellStyle name="Normal 7" xfId="417"/>
    <cellStyle name="Normal 7 2" xfId="524"/>
    <cellStyle name="Normal 8" xfId="418"/>
    <cellStyle name="Normal 8 2" xfId="525"/>
    <cellStyle name="Normal 9" xfId="419"/>
    <cellStyle name="Normal 9 2" xfId="526"/>
    <cellStyle name="Normal_Annual Plan template version 1.01" xfId="420"/>
    <cellStyle name="Normal_IaW201289 Board Report Month 11 2011_12_new" xfId="421"/>
    <cellStyle name="Normal_Monitor Metrics" xfId="422"/>
    <cellStyle name="Normal_Monitor Metrics_RYR Key Data M5_revised" xfId="423"/>
    <cellStyle name="Normal_Normalised Position 26th September" xfId="424"/>
    <cellStyle name="Normal_RXH Key Data M06" xfId="425"/>
    <cellStyle name="Note 10" xfId="426"/>
    <cellStyle name="Note 2" xfId="427"/>
    <cellStyle name="Note 3" xfId="428"/>
    <cellStyle name="Note 4" xfId="429"/>
    <cellStyle name="Note 5" xfId="430"/>
    <cellStyle name="Note 6" xfId="431"/>
    <cellStyle name="Note 7" xfId="432"/>
    <cellStyle name="Note 8" xfId="433"/>
    <cellStyle name="Note 9" xfId="434"/>
    <cellStyle name="Option" xfId="435"/>
    <cellStyle name="Output 10" xfId="436"/>
    <cellStyle name="Output 2" xfId="437"/>
    <cellStyle name="Output 3" xfId="438"/>
    <cellStyle name="Output 4" xfId="439"/>
    <cellStyle name="Output 5" xfId="440"/>
    <cellStyle name="Output 6" xfId="441"/>
    <cellStyle name="Output 7" xfId="442"/>
    <cellStyle name="Output 8" xfId="443"/>
    <cellStyle name="Output 9" xfId="444"/>
    <cellStyle name="Output Amounts" xfId="445"/>
    <cellStyle name="Output Column Headings" xfId="446"/>
    <cellStyle name="Output Line Items" xfId="447"/>
    <cellStyle name="Output Report Heading" xfId="448"/>
    <cellStyle name="Output Report Title" xfId="449"/>
    <cellStyle name="Percent" xfId="450" builtinId="5"/>
    <cellStyle name="Percent +/-" xfId="451"/>
    <cellStyle name="Percent 2" xfId="452"/>
    <cellStyle name="Percent 2 2" xfId="528"/>
    <cellStyle name="Percent 3" xfId="453"/>
    <cellStyle name="Percent 3 2" xfId="454"/>
    <cellStyle name="Percent 3 2 2" xfId="530"/>
    <cellStyle name="Percent 3 3" xfId="455"/>
    <cellStyle name="Percent 3 3 2" xfId="456"/>
    <cellStyle name="Percent 3 3 2 2" xfId="532"/>
    <cellStyle name="Percent 3 3 3" xfId="457"/>
    <cellStyle name="Percent 3 3 3 2" xfId="533"/>
    <cellStyle name="Percent 3 3 4" xfId="531"/>
    <cellStyle name="Percent 3 4" xfId="529"/>
    <cellStyle name="Percent 4" xfId="458"/>
    <cellStyle name="Percent 4 2" xfId="534"/>
    <cellStyle name="Percent 5" xfId="527"/>
    <cellStyle name="Shaded" xfId="459"/>
    <cellStyle name="Shaded 2" xfId="535"/>
    <cellStyle name="sioning" xfId="460"/>
    <cellStyle name="sioning 2" xfId="536"/>
    <cellStyle name="Small" xfId="461"/>
    <cellStyle name="Style 1" xfId="462"/>
    <cellStyle name="Title 1" xfId="463"/>
    <cellStyle name="Title 10" xfId="464"/>
    <cellStyle name="Title 2" xfId="465"/>
    <cellStyle name="Title 3" xfId="466"/>
    <cellStyle name="Title 4" xfId="467"/>
    <cellStyle name="Title 5" xfId="468"/>
    <cellStyle name="Title 6" xfId="469"/>
    <cellStyle name="Title 7" xfId="470"/>
    <cellStyle name="Title 8" xfId="471"/>
    <cellStyle name="Title 9" xfId="472"/>
    <cellStyle name="Top_Centred" xfId="473"/>
    <cellStyle name="Topline" xfId="474"/>
    <cellStyle name="Topline 2" xfId="537"/>
    <cellStyle name="Total 10" xfId="475"/>
    <cellStyle name="Total 2" xfId="476"/>
    <cellStyle name="Total 3" xfId="477"/>
    <cellStyle name="Total 4" xfId="478"/>
    <cellStyle name="Total 5" xfId="479"/>
    <cellStyle name="Total 6" xfId="480"/>
    <cellStyle name="Total 7" xfId="481"/>
    <cellStyle name="Total 8" xfId="482"/>
    <cellStyle name="Total 9" xfId="483"/>
    <cellStyle name="Warning Text 10" xfId="484"/>
    <cellStyle name="Warning Text 2" xfId="485"/>
    <cellStyle name="Warning Text 3" xfId="486"/>
    <cellStyle name="Warning Text 4" xfId="487"/>
    <cellStyle name="Warning Text 5" xfId="488"/>
    <cellStyle name="Warning Text 6" xfId="489"/>
    <cellStyle name="Warning Text 7" xfId="490"/>
    <cellStyle name="Warning Text 8" xfId="491"/>
    <cellStyle name="Warning Text 9" xfId="492"/>
    <cellStyle name="_x0007_ଘƦ" xfId="493"/>
    <cellStyle name="_x0007_ଘƦ 2" xfId="539"/>
  </cellStyles>
  <dxfs count="11">
    <dxf>
      <font>
        <b val="0"/>
        <i val="0"/>
        <condense val="0"/>
        <extend val="0"/>
        <color auto="1"/>
      </font>
      <fill>
        <patternFill>
          <bgColor indexed="30"/>
        </patternFill>
      </fill>
      <border>
        <left style="thin">
          <color indexed="64"/>
        </left>
        <right style="thin">
          <color indexed="64"/>
        </right>
        <top style="thin">
          <color indexed="64"/>
        </top>
        <bottom style="thin">
          <color indexed="64"/>
        </bottom>
      </border>
    </dxf>
    <dxf>
      <font>
        <b val="0"/>
        <i val="0"/>
        <condense val="0"/>
        <extend val="0"/>
        <color auto="1"/>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24"/>
      </font>
      <fill>
        <patternFill>
          <bgColor indexed="26"/>
        </patternFill>
      </fill>
      <border>
        <left style="thin">
          <color indexed="64"/>
        </left>
        <right style="thin">
          <color indexed="64"/>
        </right>
        <top style="thin">
          <color indexed="64"/>
        </top>
        <bottom style="thin">
          <color indexed="64"/>
        </bottom>
      </border>
    </dxf>
    <dxf>
      <font>
        <b val="0"/>
        <i val="0"/>
        <condense val="0"/>
        <extend val="0"/>
        <color auto="1"/>
      </font>
      <fill>
        <patternFill>
          <bgColor indexed="26"/>
        </patternFill>
      </fill>
      <border>
        <left style="thin">
          <color indexed="64"/>
        </left>
        <right style="thin">
          <color indexed="64"/>
        </right>
        <top style="thin">
          <color indexed="64"/>
        </top>
        <bottom style="thin">
          <color indexed="64"/>
        </bottom>
      </border>
    </dxf>
    <dxf>
      <font>
        <b val="0"/>
        <i val="0"/>
        <condense val="0"/>
        <extend val="0"/>
        <color auto="1"/>
      </font>
      <fill>
        <patternFill>
          <bgColor indexed="41"/>
        </patternFill>
      </fill>
      <border>
        <left style="thin">
          <color indexed="64"/>
        </left>
        <right style="thin">
          <color indexed="64"/>
        </right>
        <top style="thin">
          <color indexed="64"/>
        </top>
        <bottom style="thin">
          <color indexed="64"/>
        </bottom>
      </border>
    </dxf>
    <dxf>
      <font>
        <b val="0"/>
        <i val="0"/>
        <condense val="0"/>
        <extend val="0"/>
        <color indexed="24"/>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9"/>
      </font>
      <fill>
        <patternFill>
          <bgColor indexed="10"/>
        </patternFill>
      </fill>
    </dxf>
    <dxf>
      <font>
        <b/>
        <i val="0"/>
        <condense val="0"/>
        <extend val="0"/>
        <color indexed="9"/>
      </font>
      <fill>
        <patternFill>
          <bgColor indexed="17"/>
        </patternFill>
      </fill>
    </dxf>
    <dxf>
      <font>
        <b val="0"/>
        <i val="0"/>
        <condense val="0"/>
        <extend val="0"/>
        <color auto="1"/>
      </font>
      <fill>
        <patternFill>
          <bgColor indexed="26"/>
        </patternFill>
      </fill>
      <border>
        <left style="thin">
          <color indexed="64"/>
        </left>
        <right style="thin">
          <color indexed="64"/>
        </right>
        <top style="thin">
          <color indexed="64"/>
        </top>
        <bottom style="thin">
          <color indexed="64"/>
        </bottom>
      </border>
    </dxf>
    <dxf>
      <font>
        <b val="0"/>
        <i val="0"/>
        <condense val="0"/>
        <extend val="0"/>
        <color auto="1"/>
      </font>
      <fill>
        <patternFill>
          <bgColor indexed="41"/>
        </patternFill>
      </fill>
      <border>
        <left style="thin">
          <color indexed="64"/>
        </left>
        <right style="thin">
          <color indexed="64"/>
        </right>
        <top style="thin">
          <color indexed="64"/>
        </top>
        <bottom style="thin">
          <color indexed="64"/>
        </bottom>
      </border>
    </dxf>
    <dxf>
      <font>
        <b val="0"/>
        <i val="0"/>
        <condense val="0"/>
        <extend val="0"/>
        <color indexed="24"/>
      </font>
      <fill>
        <patternFill>
          <bgColor indexed="29"/>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FF"/>
      <color rgb="FFFFFFCC"/>
      <color rgb="FFCCFFCC"/>
      <color rgb="FFCCFF99"/>
      <color rgb="FFCC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Deficit by Month 2016/17</a:t>
            </a:r>
          </a:p>
        </c:rich>
      </c:tx>
      <c:layout>
        <c:manualLayout>
          <c:xMode val="edge"/>
          <c:yMode val="edge"/>
          <c:x val="0.36226415832099201"/>
          <c:y val="3.8327376313455702E-2"/>
        </c:manualLayout>
      </c:layout>
      <c:overlay val="0"/>
      <c:spPr>
        <a:noFill/>
        <a:ln w="25400">
          <a:noFill/>
        </a:ln>
      </c:spPr>
    </c:title>
    <c:autoTitleDeleted val="0"/>
    <c:plotArea>
      <c:layout>
        <c:manualLayout>
          <c:layoutTarget val="inner"/>
          <c:xMode val="edge"/>
          <c:yMode val="edge"/>
          <c:x val="0.12600869025450032"/>
          <c:y val="0.17628265216847894"/>
          <c:w val="0.81440099317194259"/>
          <c:h val="0.55631399317406138"/>
        </c:manualLayout>
      </c:layout>
      <c:lineChart>
        <c:grouping val="standard"/>
        <c:varyColors val="0"/>
        <c:ser>
          <c:idx val="0"/>
          <c:order val="0"/>
          <c:tx>
            <c:strRef>
              <c:f>'Chart Data'!$A$4</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'Chart Data'!$B$3:$M$3</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Data'!$B$4:$M$4</c:f>
              <c:numCache>
                <c:formatCode>#,##0;[Red]\(#,##0\)</c:formatCode>
                <c:ptCount val="12"/>
                <c:pt idx="0">
                  <c:v>2917.851999999999</c:v>
                </c:pt>
                <c:pt idx="1">
                  <c:v>2932.7390000000014</c:v>
                </c:pt>
                <c:pt idx="2">
                  <c:v>2945.6010000000024</c:v>
                </c:pt>
                <c:pt idx="3">
                  <c:v>1611.2800000000061</c:v>
                </c:pt>
                <c:pt idx="4">
                  <c:v>1746.0000000000146</c:v>
                </c:pt>
                <c:pt idx="5">
                  <c:v>1910.922999999988</c:v>
                </c:pt>
                <c:pt idx="6">
                  <c:v>319.63100000000122</c:v>
                </c:pt>
                <c:pt idx="7">
                  <c:v>536.31899999999587</c:v>
                </c:pt>
                <c:pt idx="8">
                  <c:v>272.0879999999961</c:v>
                </c:pt>
                <c:pt idx="9">
                  <c:v>187.44099999999162</c:v>
                </c:pt>
                <c:pt idx="10">
                  <c:v>198.21100000001024</c:v>
                </c:pt>
                <c:pt idx="11">
                  <c:v>-7.8920000000071013</c:v>
                </c:pt>
              </c:numCache>
            </c:numRef>
          </c:val>
          <c:smooth val="0"/>
        </c:ser>
        <c:ser>
          <c:idx val="1"/>
          <c:order val="1"/>
          <c:tx>
            <c:strRef>
              <c:f>'Chart Data'!$A$5</c:f>
              <c:strCache>
                <c:ptCount val="1"/>
                <c:pt idx="0">
                  <c:v>Actual / Forecast</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dPt>
          <c:cat>
            <c:numRef>
              <c:f>'Chart Data'!$B$3:$M$3</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Data'!$B$5:$M$5</c:f>
              <c:numCache>
                <c:formatCode>#,##0;[Red]\(#,##0\)</c:formatCode>
                <c:ptCount val="12"/>
                <c:pt idx="0">
                  <c:v>4702.8399999999974</c:v>
                </c:pt>
                <c:pt idx="1">
                  <c:v>6385.8990000000076</c:v>
                </c:pt>
                <c:pt idx="2">
                  <c:v>4869.2059999999983</c:v>
                </c:pt>
                <c:pt idx="3">
                  <c:v>-122.47100000000501</c:v>
                </c:pt>
                <c:pt idx="4">
                  <c:v>2404.622000000003</c:v>
                </c:pt>
                <c:pt idx="5">
                  <c:v>2609.0570000000007</c:v>
                </c:pt>
                <c:pt idx="6">
                  <c:v>-2594.5649999999878</c:v>
                </c:pt>
                <c:pt idx="7">
                  <c:v>1251.9070000000138</c:v>
                </c:pt>
                <c:pt idx="8">
                  <c:v>984.40099999999802</c:v>
                </c:pt>
                <c:pt idx="9">
                  <c:v>-2759.7349999999933</c:v>
                </c:pt>
                <c:pt idx="10">
                  <c:v>810.97499999999854</c:v>
                </c:pt>
                <c:pt idx="11">
                  <c:v>-2971.9459999999945</c:v>
                </c:pt>
              </c:numCache>
            </c:numRef>
          </c:val>
          <c:smooth val="0"/>
        </c:ser>
        <c:dLbls>
          <c:showLegendKey val="0"/>
          <c:showVal val="0"/>
          <c:showCatName val="0"/>
          <c:showSerName val="0"/>
          <c:showPercent val="0"/>
          <c:showBubbleSize val="0"/>
        </c:dLbls>
        <c:marker val="1"/>
        <c:smooth val="0"/>
        <c:axId val="62728832"/>
        <c:axId val="62734720"/>
      </c:lineChart>
      <c:dateAx>
        <c:axId val="6272883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a:pPr>
            <a:endParaRPr lang="en-US"/>
          </a:p>
        </c:txPr>
        <c:crossAx val="62734720"/>
        <c:crossesAt val="-4000"/>
        <c:auto val="1"/>
        <c:lblOffset val="100"/>
        <c:baseTimeUnit val="months"/>
        <c:majorUnit val="1"/>
        <c:majorTimeUnit val="months"/>
        <c:minorUnit val="1"/>
        <c:minorTimeUnit val="months"/>
      </c:dateAx>
      <c:valAx>
        <c:axId val="62734720"/>
        <c:scaling>
          <c:orientation val="minMax"/>
        </c:scaling>
        <c:delete val="0"/>
        <c:axPos val="l"/>
        <c:majorGridlines>
          <c:spPr>
            <a:ln w="3175">
              <a:solidFill>
                <a:srgbClr val="000000"/>
              </a:solidFill>
              <a:prstDash val="solid"/>
            </a:ln>
          </c:spPr>
        </c:majorGridlines>
        <c:title>
          <c:tx>
            <c:rich>
              <a:bodyPr/>
              <a:lstStyle/>
              <a:p>
                <a:pPr>
                  <a:defRPr/>
                </a:pPr>
                <a:r>
                  <a:rPr lang="en-GB"/>
                  <a:t>£k</a:t>
                </a:r>
              </a:p>
            </c:rich>
          </c:tx>
          <c:layout>
            <c:manualLayout>
              <c:xMode val="edge"/>
              <c:yMode val="edge"/>
              <c:x val="3.0188712444464045E-2"/>
              <c:y val="0.46341458170971039"/>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a:pPr>
            <a:endParaRPr lang="en-US"/>
          </a:p>
        </c:txPr>
        <c:crossAx val="62728832"/>
        <c:crosses val="autoZero"/>
        <c:crossBetween val="between"/>
        <c:majorUnit val="1000"/>
      </c:valAx>
      <c:spPr>
        <a:noFill/>
        <a:ln w="12700">
          <a:solidFill>
            <a:srgbClr val="808080"/>
          </a:solidFill>
          <a:prstDash val="solid"/>
        </a:ln>
      </c:spPr>
    </c:plotArea>
    <c:legend>
      <c:legendPos val="r"/>
      <c:layout>
        <c:manualLayout>
          <c:xMode val="edge"/>
          <c:yMode val="edge"/>
          <c:x val="0.59714463066418377"/>
          <c:y val="0.89988623435722415"/>
          <c:w val="0.36933581626319056"/>
          <c:h val="6.5984072810011382E-2"/>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Income Waterfall Year End Forecast 2016/17</a:t>
            </a:r>
          </a:p>
        </c:rich>
      </c:tx>
      <c:layout>
        <c:manualLayout>
          <c:xMode val="edge"/>
          <c:yMode val="edge"/>
          <c:x val="0.21841151106111753"/>
          <c:y val="3.4482680405690032E-2"/>
        </c:manualLayout>
      </c:layout>
      <c:overlay val="0"/>
      <c:spPr>
        <a:noFill/>
        <a:ln w="25400">
          <a:noFill/>
        </a:ln>
      </c:spPr>
    </c:title>
    <c:autoTitleDeleted val="0"/>
    <c:plotArea>
      <c:layout>
        <c:manualLayout>
          <c:layoutTarget val="inner"/>
          <c:xMode val="edge"/>
          <c:yMode val="edge"/>
          <c:x val="0.10288808664259905"/>
          <c:y val="0.13166144200627036"/>
          <c:w val="0.87184115523465988"/>
          <c:h val="0.46708463949843282"/>
        </c:manualLayout>
      </c:layout>
      <c:barChart>
        <c:barDir val="col"/>
        <c:grouping val="stacked"/>
        <c:varyColors val="0"/>
        <c:ser>
          <c:idx val="0"/>
          <c:order val="0"/>
          <c:tx>
            <c:strRef>
              <c:f>'Chart Data'!$B$146:$B$147</c:f>
              <c:strCache>
                <c:ptCount val="1"/>
                <c:pt idx="0">
                  <c:v>Base</c:v>
                </c:pt>
              </c:strCache>
            </c:strRef>
          </c:tx>
          <c:spPr>
            <a:noFill/>
            <a:ln w="25400">
              <a:noFill/>
            </a:ln>
          </c:spPr>
          <c:invertIfNegative val="0"/>
          <c:cat>
            <c:strRef>
              <c:f>'Chart Data'!$A$148:$A$161</c:f>
              <c:strCache>
                <c:ptCount val="14"/>
                <c:pt idx="0">
                  <c:v>Plan</c:v>
                </c:pt>
                <c:pt idx="1">
                  <c:v>SHA</c:v>
                </c:pt>
                <c:pt idx="2">
                  <c:v>NHS Trusts</c:v>
                </c:pt>
                <c:pt idx="3">
                  <c:v>CCG - Patients</c:v>
                </c:pt>
                <c:pt idx="4">
                  <c:v>CCG - Devolved Inc</c:v>
                </c:pt>
                <c:pt idx="5">
                  <c:v>CCG - Non Activity</c:v>
                </c:pt>
                <c:pt idx="6">
                  <c:v>Other  NHS</c:v>
                </c:pt>
                <c:pt idx="7">
                  <c:v>Private Patients</c:v>
                </c:pt>
                <c:pt idx="8">
                  <c:v>Other Non-NHS</c:v>
                </c:pt>
                <c:pt idx="9">
                  <c:v>Educ, Training &amp; Res</c:v>
                </c:pt>
                <c:pt idx="10">
                  <c:v>Donated Asset Reserve</c:v>
                </c:pt>
                <c:pt idx="11">
                  <c:v>Income Generation </c:v>
                </c:pt>
                <c:pt idx="12">
                  <c:v>Other Income</c:v>
                </c:pt>
                <c:pt idx="13">
                  <c:v>Forecast</c:v>
                </c:pt>
              </c:strCache>
            </c:strRef>
          </c:cat>
          <c:val>
            <c:numRef>
              <c:f>'Chart Data'!$B$148:$B$161</c:f>
              <c:numCache>
                <c:formatCode>#,##0_);[Red]\(#,##0\)</c:formatCode>
                <c:ptCount val="14"/>
                <c:pt idx="1">
                  <c:v>549636.28699999989</c:v>
                </c:pt>
                <c:pt idx="2">
                  <c:v>549462.88299999991</c:v>
                </c:pt>
                <c:pt idx="3">
                  <c:v>549462.88299999991</c:v>
                </c:pt>
                <c:pt idx="4">
                  <c:v>553769.93799999997</c:v>
                </c:pt>
                <c:pt idx="5">
                  <c:v>552870.07699999993</c:v>
                </c:pt>
                <c:pt idx="6">
                  <c:v>552814.00499999989</c:v>
                </c:pt>
                <c:pt idx="7">
                  <c:v>552589.79799999984</c:v>
                </c:pt>
                <c:pt idx="8">
                  <c:v>552589.79799999984</c:v>
                </c:pt>
                <c:pt idx="9">
                  <c:v>552147.7089999998</c:v>
                </c:pt>
                <c:pt idx="10">
                  <c:v>552147.7089999998</c:v>
                </c:pt>
                <c:pt idx="11">
                  <c:v>552147.7089999998</c:v>
                </c:pt>
                <c:pt idx="12">
                  <c:v>552491.04599999986</c:v>
                </c:pt>
              </c:numCache>
            </c:numRef>
          </c:val>
        </c:ser>
        <c:ser>
          <c:idx val="1"/>
          <c:order val="1"/>
          <c:tx>
            <c:strRef>
              <c:f>'Chart Data'!$C$146:$C$147</c:f>
              <c:strCache>
                <c:ptCount val="1"/>
                <c:pt idx="0">
                  <c:v>End</c:v>
                </c:pt>
              </c:strCache>
            </c:strRef>
          </c:tx>
          <c:spPr>
            <a:solidFill>
              <a:srgbClr val="C0C0C0"/>
            </a:solidFill>
            <a:ln w="12700">
              <a:solidFill>
                <a:srgbClr val="000000"/>
              </a:solidFill>
              <a:prstDash val="solid"/>
            </a:ln>
          </c:spPr>
          <c:invertIfNegative val="0"/>
          <c:cat>
            <c:strRef>
              <c:f>'Chart Data'!$A$148:$A$161</c:f>
              <c:strCache>
                <c:ptCount val="14"/>
                <c:pt idx="0">
                  <c:v>Plan</c:v>
                </c:pt>
                <c:pt idx="1">
                  <c:v>SHA</c:v>
                </c:pt>
                <c:pt idx="2">
                  <c:v>NHS Trusts</c:v>
                </c:pt>
                <c:pt idx="3">
                  <c:v>CCG - Patients</c:v>
                </c:pt>
                <c:pt idx="4">
                  <c:v>CCG - Devolved Inc</c:v>
                </c:pt>
                <c:pt idx="5">
                  <c:v>CCG - Non Activity</c:v>
                </c:pt>
                <c:pt idx="6">
                  <c:v>Other  NHS</c:v>
                </c:pt>
                <c:pt idx="7">
                  <c:v>Private Patients</c:v>
                </c:pt>
                <c:pt idx="8">
                  <c:v>Other Non-NHS</c:v>
                </c:pt>
                <c:pt idx="9">
                  <c:v>Educ, Training &amp; Res</c:v>
                </c:pt>
                <c:pt idx="10">
                  <c:v>Donated Asset Reserve</c:v>
                </c:pt>
                <c:pt idx="11">
                  <c:v>Income Generation </c:v>
                </c:pt>
                <c:pt idx="12">
                  <c:v>Other Income</c:v>
                </c:pt>
                <c:pt idx="13">
                  <c:v>Forecast</c:v>
                </c:pt>
              </c:strCache>
            </c:strRef>
          </c:cat>
          <c:val>
            <c:numRef>
              <c:f>'Chart Data'!$C$148:$C$161</c:f>
              <c:numCache>
                <c:formatCode>#,##0_);[Red]\(#,##0\)</c:formatCode>
                <c:ptCount val="14"/>
                <c:pt idx="13">
                  <c:v>552709.2649999999</c:v>
                </c:pt>
              </c:numCache>
            </c:numRef>
          </c:val>
        </c:ser>
        <c:ser>
          <c:idx val="2"/>
          <c:order val="2"/>
          <c:tx>
            <c:strRef>
              <c:f>'Chart Data'!$D$146:$D$147</c:f>
              <c:strCache>
                <c:ptCount val="1"/>
                <c:pt idx="0">
                  <c:v>Down</c:v>
                </c:pt>
              </c:strCache>
            </c:strRef>
          </c:tx>
          <c:spPr>
            <a:solidFill>
              <a:srgbClr val="FF0000"/>
            </a:solidFill>
            <a:ln w="12700">
              <a:solidFill>
                <a:srgbClr val="000000"/>
              </a:solidFill>
              <a:prstDash val="solid"/>
            </a:ln>
          </c:spPr>
          <c:invertIfNegative val="0"/>
          <c:cat>
            <c:strRef>
              <c:f>'Chart Data'!$A$148:$A$161</c:f>
              <c:strCache>
                <c:ptCount val="14"/>
                <c:pt idx="0">
                  <c:v>Plan</c:v>
                </c:pt>
                <c:pt idx="1">
                  <c:v>SHA</c:v>
                </c:pt>
                <c:pt idx="2">
                  <c:v>NHS Trusts</c:v>
                </c:pt>
                <c:pt idx="3">
                  <c:v>CCG - Patients</c:v>
                </c:pt>
                <c:pt idx="4">
                  <c:v>CCG - Devolved Inc</c:v>
                </c:pt>
                <c:pt idx="5">
                  <c:v>CCG - Non Activity</c:v>
                </c:pt>
                <c:pt idx="6">
                  <c:v>Other  NHS</c:v>
                </c:pt>
                <c:pt idx="7">
                  <c:v>Private Patients</c:v>
                </c:pt>
                <c:pt idx="8">
                  <c:v>Other Non-NHS</c:v>
                </c:pt>
                <c:pt idx="9">
                  <c:v>Educ, Training &amp; Res</c:v>
                </c:pt>
                <c:pt idx="10">
                  <c:v>Donated Asset Reserve</c:v>
                </c:pt>
                <c:pt idx="11">
                  <c:v>Income Generation </c:v>
                </c:pt>
                <c:pt idx="12">
                  <c:v>Other Income</c:v>
                </c:pt>
                <c:pt idx="13">
                  <c:v>Forecast</c:v>
                </c:pt>
              </c:strCache>
            </c:strRef>
          </c:cat>
          <c:val>
            <c:numRef>
              <c:f>'Chart Data'!$D$148:$D$161</c:f>
              <c:numCache>
                <c:formatCode>#,##0_);[Red]\(#,##0\)</c:formatCode>
                <c:ptCount val="14"/>
                <c:pt idx="1">
                  <c:v>0</c:v>
                </c:pt>
                <c:pt idx="2">
                  <c:v>173.40400000000227</c:v>
                </c:pt>
                <c:pt idx="3">
                  <c:v>0</c:v>
                </c:pt>
                <c:pt idx="4">
                  <c:v>0</c:v>
                </c:pt>
                <c:pt idx="5">
                  <c:v>899.86799999999675</c:v>
                </c:pt>
                <c:pt idx="6">
                  <c:v>56.072000000000003</c:v>
                </c:pt>
                <c:pt idx="7">
                  <c:v>224.20700000000033</c:v>
                </c:pt>
                <c:pt idx="8">
                  <c:v>0</c:v>
                </c:pt>
                <c:pt idx="9">
                  <c:v>467.27200000000812</c:v>
                </c:pt>
                <c:pt idx="10">
                  <c:v>0</c:v>
                </c:pt>
                <c:pt idx="11">
                  <c:v>0</c:v>
                </c:pt>
                <c:pt idx="12">
                  <c:v>0</c:v>
                </c:pt>
              </c:numCache>
            </c:numRef>
          </c:val>
        </c:ser>
        <c:ser>
          <c:idx val="3"/>
          <c:order val="3"/>
          <c:tx>
            <c:strRef>
              <c:f>'Chart Data'!$E$146:$E$147</c:f>
              <c:strCache>
                <c:ptCount val="1"/>
                <c:pt idx="0">
                  <c:v>Up</c:v>
                </c:pt>
              </c:strCache>
            </c:strRef>
          </c:tx>
          <c:spPr>
            <a:solidFill>
              <a:srgbClr val="339966"/>
            </a:solidFill>
            <a:ln w="12700">
              <a:solidFill>
                <a:srgbClr val="000000"/>
              </a:solidFill>
              <a:prstDash val="solid"/>
            </a:ln>
          </c:spPr>
          <c:invertIfNegative val="0"/>
          <c:cat>
            <c:strRef>
              <c:f>'Chart Data'!$A$148:$A$161</c:f>
              <c:strCache>
                <c:ptCount val="14"/>
                <c:pt idx="0">
                  <c:v>Plan</c:v>
                </c:pt>
                <c:pt idx="1">
                  <c:v>SHA</c:v>
                </c:pt>
                <c:pt idx="2">
                  <c:v>NHS Trusts</c:v>
                </c:pt>
                <c:pt idx="3">
                  <c:v>CCG - Patients</c:v>
                </c:pt>
                <c:pt idx="4">
                  <c:v>CCG - Devolved Inc</c:v>
                </c:pt>
                <c:pt idx="5">
                  <c:v>CCG - Non Activity</c:v>
                </c:pt>
                <c:pt idx="6">
                  <c:v>Other  NHS</c:v>
                </c:pt>
                <c:pt idx="7">
                  <c:v>Private Patients</c:v>
                </c:pt>
                <c:pt idx="8">
                  <c:v>Other Non-NHS</c:v>
                </c:pt>
                <c:pt idx="9">
                  <c:v>Educ, Training &amp; Res</c:v>
                </c:pt>
                <c:pt idx="10">
                  <c:v>Donated Asset Reserve</c:v>
                </c:pt>
                <c:pt idx="11">
                  <c:v>Income Generation </c:v>
                </c:pt>
                <c:pt idx="12">
                  <c:v>Other Income</c:v>
                </c:pt>
                <c:pt idx="13">
                  <c:v>Forecast</c:v>
                </c:pt>
              </c:strCache>
            </c:strRef>
          </c:cat>
          <c:val>
            <c:numRef>
              <c:f>'Chart Data'!$E$148:$E$161</c:f>
              <c:numCache>
                <c:formatCode>#,##0_);[Red]\(#,##0\)</c:formatCode>
                <c:ptCount val="14"/>
                <c:pt idx="1">
                  <c:v>0</c:v>
                </c:pt>
                <c:pt idx="2">
                  <c:v>0</c:v>
                </c:pt>
                <c:pt idx="3">
                  <c:v>4307.0550000000512</c:v>
                </c:pt>
                <c:pt idx="4">
                  <c:v>7.0000000000000001E-3</c:v>
                </c:pt>
                <c:pt idx="5">
                  <c:v>0</c:v>
                </c:pt>
                <c:pt idx="6">
                  <c:v>0</c:v>
                </c:pt>
                <c:pt idx="7">
                  <c:v>0</c:v>
                </c:pt>
                <c:pt idx="8">
                  <c:v>25.182999999999993</c:v>
                </c:pt>
                <c:pt idx="9">
                  <c:v>0</c:v>
                </c:pt>
                <c:pt idx="10">
                  <c:v>0</c:v>
                </c:pt>
                <c:pt idx="11">
                  <c:v>343.33699999999999</c:v>
                </c:pt>
                <c:pt idx="12">
                  <c:v>218.21900000000096</c:v>
                </c:pt>
              </c:numCache>
            </c:numRef>
          </c:val>
        </c:ser>
        <c:ser>
          <c:idx val="4"/>
          <c:order val="4"/>
          <c:tx>
            <c:strRef>
              <c:f>'Chart Data'!$F$146:$F$147</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Data'!$A$148:$A$161</c:f>
              <c:strCache>
                <c:ptCount val="14"/>
                <c:pt idx="0">
                  <c:v>Plan</c:v>
                </c:pt>
                <c:pt idx="1">
                  <c:v>SHA</c:v>
                </c:pt>
                <c:pt idx="2">
                  <c:v>NHS Trusts</c:v>
                </c:pt>
                <c:pt idx="3">
                  <c:v>CCG - Patients</c:v>
                </c:pt>
                <c:pt idx="4">
                  <c:v>CCG - Devolved Inc</c:v>
                </c:pt>
                <c:pt idx="5">
                  <c:v>CCG - Non Activity</c:v>
                </c:pt>
                <c:pt idx="6">
                  <c:v>Other  NHS</c:v>
                </c:pt>
                <c:pt idx="7">
                  <c:v>Private Patients</c:v>
                </c:pt>
                <c:pt idx="8">
                  <c:v>Other Non-NHS</c:v>
                </c:pt>
                <c:pt idx="9">
                  <c:v>Educ, Training &amp; Res</c:v>
                </c:pt>
                <c:pt idx="10">
                  <c:v>Donated Asset Reserve</c:v>
                </c:pt>
                <c:pt idx="11">
                  <c:v>Income Generation </c:v>
                </c:pt>
                <c:pt idx="12">
                  <c:v>Other Income</c:v>
                </c:pt>
                <c:pt idx="13">
                  <c:v>Forecast</c:v>
                </c:pt>
              </c:strCache>
            </c:strRef>
          </c:cat>
          <c:val>
            <c:numRef>
              <c:f>'Chart Data'!$F$148:$F$161</c:f>
              <c:numCache>
                <c:formatCode>#,##0_);[Red]\(#,##0\)</c:formatCode>
                <c:ptCount val="14"/>
                <c:pt idx="0">
                  <c:v>549636.28699999989</c:v>
                </c:pt>
              </c:numCache>
            </c:numRef>
          </c:val>
        </c:ser>
        <c:dLbls>
          <c:showLegendKey val="0"/>
          <c:showVal val="0"/>
          <c:showCatName val="0"/>
          <c:showSerName val="0"/>
          <c:showPercent val="0"/>
          <c:showBubbleSize val="0"/>
        </c:dLbls>
        <c:gapWidth val="150"/>
        <c:overlap val="100"/>
        <c:axId val="106496000"/>
        <c:axId val="106497536"/>
      </c:barChart>
      <c:catAx>
        <c:axId val="106496000"/>
        <c:scaling>
          <c:orientation val="minMax"/>
        </c:scaling>
        <c:delete val="0"/>
        <c:axPos val="b"/>
        <c:numFmt formatCode="General" sourceLinked="1"/>
        <c:majorTickMark val="none"/>
        <c:minorTickMark val="none"/>
        <c:tickLblPos val="low"/>
        <c:spPr>
          <a:ln w="3175">
            <a:solidFill>
              <a:srgbClr val="000000"/>
            </a:solidFill>
            <a:prstDash val="solid"/>
          </a:ln>
        </c:spPr>
        <c:txPr>
          <a:bodyPr rot="-3960000" vert="horz"/>
          <a:lstStyle/>
          <a:p>
            <a:pPr>
              <a:defRPr sz="800" b="0" i="0" u="none" strike="noStrike" baseline="0">
                <a:solidFill>
                  <a:srgbClr val="000000"/>
                </a:solidFill>
                <a:latin typeface="Arial"/>
                <a:ea typeface="Arial"/>
                <a:cs typeface="Arial"/>
              </a:defRPr>
            </a:pPr>
            <a:endParaRPr lang="en-US"/>
          </a:p>
        </c:txPr>
        <c:crossAx val="106497536"/>
        <c:crosses val="autoZero"/>
        <c:auto val="1"/>
        <c:lblAlgn val="ctr"/>
        <c:lblOffset val="100"/>
        <c:tickLblSkip val="1"/>
        <c:tickMarkSkip val="1"/>
        <c:noMultiLvlLbl val="0"/>
      </c:catAx>
      <c:valAx>
        <c:axId val="106497536"/>
        <c:scaling>
          <c:orientation val="minMax"/>
          <c:min val="548000"/>
        </c:scaling>
        <c:delete val="0"/>
        <c:axPos val="l"/>
        <c:majorGridlines>
          <c:spPr>
            <a:ln w="3175">
              <a:solidFill>
                <a:srgbClr val="000000"/>
              </a:solidFill>
              <a:prstDash val="solid"/>
            </a:ln>
          </c:spPr>
        </c:majorGridlines>
        <c:title>
          <c:tx>
            <c:rich>
              <a:bodyPr rot="0" vert="horz"/>
              <a:lstStyle/>
              <a:p>
                <a:pPr>
                  <a:defRPr sz="800"/>
                </a:pPr>
                <a:r>
                  <a:rPr lang="en-GB" sz="800"/>
                  <a:t>£k</a:t>
                </a:r>
              </a:p>
            </c:rich>
          </c:tx>
          <c:layout>
            <c:manualLayout>
              <c:xMode val="edge"/>
              <c:yMode val="edge"/>
              <c:x val="2.3809523809523812E-2"/>
              <c:y val="4.49567415184213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496000"/>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GB"/>
              <a:t>Operating Costs In Month 2016/17</a:t>
            </a:r>
          </a:p>
        </c:rich>
      </c:tx>
      <c:layout>
        <c:manualLayout>
          <c:xMode val="edge"/>
          <c:yMode val="edge"/>
          <c:x val="0.31835256340261109"/>
          <c:y val="3.3613509154729201E-2"/>
        </c:manualLayout>
      </c:layout>
      <c:overlay val="0"/>
      <c:spPr>
        <a:noFill/>
        <a:ln w="25400">
          <a:noFill/>
        </a:ln>
      </c:spPr>
    </c:title>
    <c:autoTitleDeleted val="0"/>
    <c:plotArea>
      <c:layout>
        <c:manualLayout>
          <c:layoutTarget val="inner"/>
          <c:xMode val="edge"/>
          <c:yMode val="edge"/>
          <c:x val="0.12326665668535838"/>
          <c:y val="0.16867536032944405"/>
          <c:w val="0.83975409866900508"/>
          <c:h val="0.52209040101970783"/>
        </c:manualLayout>
      </c:layout>
      <c:lineChart>
        <c:grouping val="standard"/>
        <c:varyColors val="0"/>
        <c:ser>
          <c:idx val="0"/>
          <c:order val="0"/>
          <c:tx>
            <c:strRef>
              <c:f>'Chart Data'!$A$15</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'Chart Data'!$B$14:$M$14</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Data'!$B$15:$M$15</c:f>
              <c:numCache>
                <c:formatCode>#,##0;[Red]\(#,##0\)</c:formatCode>
                <c:ptCount val="12"/>
                <c:pt idx="0">
                  <c:v>45843.851999999999</c:v>
                </c:pt>
                <c:pt idx="1">
                  <c:v>45829.737999999998</c:v>
                </c:pt>
                <c:pt idx="2">
                  <c:v>45881.599999999999</c:v>
                </c:pt>
                <c:pt idx="3">
                  <c:v>44578.28</c:v>
                </c:pt>
                <c:pt idx="4">
                  <c:v>44688</c:v>
                </c:pt>
                <c:pt idx="5">
                  <c:v>44545.011999999995</c:v>
                </c:pt>
                <c:pt idx="6">
                  <c:v>43636.729999999996</c:v>
                </c:pt>
                <c:pt idx="7">
                  <c:v>43531.417999999998</c:v>
                </c:pt>
                <c:pt idx="8">
                  <c:v>43247.088999999993</c:v>
                </c:pt>
                <c:pt idx="9">
                  <c:v>43224.441999999995</c:v>
                </c:pt>
                <c:pt idx="10">
                  <c:v>43221.212</c:v>
                </c:pt>
                <c:pt idx="11">
                  <c:v>43249.102999999996</c:v>
                </c:pt>
              </c:numCache>
            </c:numRef>
          </c:val>
          <c:smooth val="0"/>
        </c:ser>
        <c:ser>
          <c:idx val="1"/>
          <c:order val="1"/>
          <c:tx>
            <c:strRef>
              <c:f>'Chart Data'!$A$16</c:f>
              <c:strCache>
                <c:ptCount val="1"/>
                <c:pt idx="0">
                  <c:v>Actual / Forecast</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cat>
            <c:numRef>
              <c:f>'Chart Data'!$B$14:$M$14</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Data'!$B$16:$M$16</c:f>
              <c:numCache>
                <c:formatCode>#,##0;[Red]\(#,##0\)</c:formatCode>
                <c:ptCount val="12"/>
                <c:pt idx="0">
                  <c:v>46356.441999999995</c:v>
                </c:pt>
                <c:pt idx="1">
                  <c:v>47622.233</c:v>
                </c:pt>
                <c:pt idx="2">
                  <c:v>46720.433999999994</c:v>
                </c:pt>
                <c:pt idx="3">
                  <c:v>45558.064999999995</c:v>
                </c:pt>
                <c:pt idx="4">
                  <c:v>44441.14</c:v>
                </c:pt>
                <c:pt idx="5">
                  <c:v>44395.428999999996</c:v>
                </c:pt>
                <c:pt idx="6">
                  <c:v>43391.573000000004</c:v>
                </c:pt>
                <c:pt idx="7">
                  <c:v>43325.633000000002</c:v>
                </c:pt>
                <c:pt idx="8">
                  <c:v>43069.017</c:v>
                </c:pt>
                <c:pt idx="9">
                  <c:v>43003.654999999999</c:v>
                </c:pt>
                <c:pt idx="10">
                  <c:v>42966.466</c:v>
                </c:pt>
                <c:pt idx="11">
                  <c:v>43054.851000000002</c:v>
                </c:pt>
              </c:numCache>
            </c:numRef>
          </c:val>
          <c:smooth val="0"/>
        </c:ser>
        <c:dLbls>
          <c:showLegendKey val="0"/>
          <c:showVal val="0"/>
          <c:showCatName val="0"/>
          <c:showSerName val="0"/>
          <c:showPercent val="0"/>
          <c:showBubbleSize val="0"/>
        </c:dLbls>
        <c:marker val="1"/>
        <c:smooth val="0"/>
        <c:axId val="106690816"/>
        <c:axId val="106569728"/>
      </c:lineChart>
      <c:dateAx>
        <c:axId val="10669081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6569728"/>
        <c:crosses val="autoZero"/>
        <c:auto val="1"/>
        <c:lblOffset val="100"/>
        <c:baseTimeUnit val="months"/>
        <c:majorUnit val="1"/>
        <c:majorTimeUnit val="months"/>
        <c:minorUnit val="1"/>
        <c:minorTimeUnit val="months"/>
      </c:dateAx>
      <c:valAx>
        <c:axId val="1065697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£k</a:t>
                </a:r>
              </a:p>
            </c:rich>
          </c:tx>
          <c:layout>
            <c:manualLayout>
              <c:xMode val="edge"/>
              <c:yMode val="edge"/>
              <c:x val="2.9962510464312152E-2"/>
              <c:y val="0.41736794948824213"/>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690816"/>
        <c:crosses val="autoZero"/>
        <c:crossBetween val="between"/>
      </c:valAx>
      <c:spPr>
        <a:noFill/>
        <a:ln w="12700">
          <a:solidFill>
            <a:srgbClr val="808080"/>
          </a:solidFill>
          <a:prstDash val="solid"/>
        </a:ln>
      </c:spPr>
    </c:plotArea>
    <c:legend>
      <c:legendPos val="r"/>
      <c:layout>
        <c:manualLayout>
          <c:xMode val="edge"/>
          <c:yMode val="edge"/>
          <c:x val="0.44530046224961561"/>
          <c:y val="0.88353413654618473"/>
          <c:w val="0.27580893682588653"/>
          <c:h val="8.8353413654618476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Operating Costs Waterfall Year End Forecast 2016/17
</a:t>
            </a:r>
          </a:p>
        </c:rich>
      </c:tx>
      <c:layout>
        <c:manualLayout>
          <c:xMode val="edge"/>
          <c:yMode val="edge"/>
          <c:x val="0.19188192177197363"/>
          <c:y val="3.3057742782152282E-2"/>
        </c:manualLayout>
      </c:layout>
      <c:overlay val="0"/>
      <c:spPr>
        <a:noFill/>
        <a:ln w="25400">
          <a:noFill/>
        </a:ln>
      </c:spPr>
    </c:title>
    <c:autoTitleDeleted val="0"/>
    <c:plotArea>
      <c:layout>
        <c:manualLayout>
          <c:layoutTarget val="inner"/>
          <c:xMode val="edge"/>
          <c:yMode val="edge"/>
          <c:x val="0.10365853658536585"/>
          <c:y val="0.16129032258064521"/>
          <c:w val="0.875000000000003"/>
          <c:h val="0.36290322580645323"/>
        </c:manualLayout>
      </c:layout>
      <c:barChart>
        <c:barDir val="col"/>
        <c:grouping val="stacked"/>
        <c:varyColors val="0"/>
        <c:ser>
          <c:idx val="0"/>
          <c:order val="0"/>
          <c:tx>
            <c:strRef>
              <c:f>'Chart Data'!$B$116:$B$117</c:f>
              <c:strCache>
                <c:ptCount val="1"/>
                <c:pt idx="0">
                  <c:v>Base</c:v>
                </c:pt>
              </c:strCache>
            </c:strRef>
          </c:tx>
          <c:spPr>
            <a:noFill/>
            <a:ln w="25400">
              <a:noFill/>
            </a:ln>
          </c:spPr>
          <c:invertIfNegative val="0"/>
          <c:cat>
            <c:strRef>
              <c:f>'Chart Data'!$A$118:$A$139</c:f>
              <c:strCache>
                <c:ptCount val="22"/>
                <c:pt idx="0">
                  <c:v>Plan</c:v>
                </c:pt>
                <c:pt idx="1">
                  <c:v> Management</c:v>
                </c:pt>
                <c:pt idx="2">
                  <c:v> Medical and Dental Staff</c:v>
                </c:pt>
                <c:pt idx="3">
                  <c:v> Nursing &amp; Midwifery</c:v>
                </c:pt>
                <c:pt idx="4">
                  <c:v> Other Healthcare</c:v>
                </c:pt>
                <c:pt idx="5">
                  <c:v> Ancillary Staff</c:v>
                </c:pt>
                <c:pt idx="6">
                  <c:v> Administrative &amp; Clerical</c:v>
                </c:pt>
                <c:pt idx="7">
                  <c:v> Maintenance Staff</c:v>
                </c:pt>
                <c:pt idx="8">
                  <c:v> Other Staff</c:v>
                </c:pt>
                <c:pt idx="9">
                  <c:v>Drugs &amp; Medical Gases</c:v>
                </c:pt>
                <c:pt idx="10">
                  <c:v>Supplies and Services - Clinical</c:v>
                </c:pt>
                <c:pt idx="11">
                  <c:v>Supplies and Services General</c:v>
                </c:pt>
                <c:pt idx="12">
                  <c:v>Establishment Expenses</c:v>
                </c:pt>
                <c:pt idx="13">
                  <c:v>Transport Expenses</c:v>
                </c:pt>
                <c:pt idx="14">
                  <c:v>Premises</c:v>
                </c:pt>
                <c:pt idx="15">
                  <c:v>Purchase of Healthcare from Non NHS provider</c:v>
                </c:pt>
                <c:pt idx="16">
                  <c:v>Other Non Pay/Reserves</c:v>
                </c:pt>
                <c:pt idx="17">
                  <c:v>Clinical Negligence Premium</c:v>
                </c:pt>
                <c:pt idx="18">
                  <c:v>Education and Training</c:v>
                </c:pt>
                <c:pt idx="19">
                  <c:v>Services from Other NHS Bodies</c:v>
                </c:pt>
                <c:pt idx="21">
                  <c:v>Forecast</c:v>
                </c:pt>
              </c:strCache>
            </c:strRef>
          </c:cat>
          <c:val>
            <c:numRef>
              <c:f>'Chart Data'!$B$118:$B$139</c:f>
              <c:numCache>
                <c:formatCode>#,##0_);[Red]\(#,##0\)</c:formatCode>
                <c:ptCount val="22"/>
                <c:pt idx="1">
                  <c:v>531476.47600000002</c:v>
                </c:pt>
                <c:pt idx="2">
                  <c:v>531288.85</c:v>
                </c:pt>
                <c:pt idx="3">
                  <c:v>531276.40500000003</c:v>
                </c:pt>
                <c:pt idx="4">
                  <c:v>531276.40500000003</c:v>
                </c:pt>
                <c:pt idx="5">
                  <c:v>531472.52800000005</c:v>
                </c:pt>
                <c:pt idx="6">
                  <c:v>531497.48300000001</c:v>
                </c:pt>
                <c:pt idx="7">
                  <c:v>531446.56299999997</c:v>
                </c:pt>
                <c:pt idx="8">
                  <c:v>531446.56299999997</c:v>
                </c:pt>
                <c:pt idx="9">
                  <c:v>531535.21799999999</c:v>
                </c:pt>
                <c:pt idx="10">
                  <c:v>533082.76699999999</c:v>
                </c:pt>
                <c:pt idx="11">
                  <c:v>533082.76699999999</c:v>
                </c:pt>
                <c:pt idx="12">
                  <c:v>532958.10099999991</c:v>
                </c:pt>
                <c:pt idx="13">
                  <c:v>532957.14599999995</c:v>
                </c:pt>
                <c:pt idx="14">
                  <c:v>532400.69199999992</c:v>
                </c:pt>
                <c:pt idx="15">
                  <c:v>532315.93499999994</c:v>
                </c:pt>
                <c:pt idx="16">
                  <c:v>532315.93499999994</c:v>
                </c:pt>
                <c:pt idx="17">
                  <c:v>532894.93499999994</c:v>
                </c:pt>
                <c:pt idx="18">
                  <c:v>532682.10099999991</c:v>
                </c:pt>
                <c:pt idx="19">
                  <c:v>532682.10099999991</c:v>
                </c:pt>
                <c:pt idx="20">
                  <c:v>533071.98499999987</c:v>
                </c:pt>
              </c:numCache>
            </c:numRef>
          </c:val>
        </c:ser>
        <c:ser>
          <c:idx val="1"/>
          <c:order val="1"/>
          <c:tx>
            <c:strRef>
              <c:f>'Chart Data'!$C$116:$C$117</c:f>
              <c:strCache>
                <c:ptCount val="1"/>
                <c:pt idx="0">
                  <c:v>End</c:v>
                </c:pt>
              </c:strCache>
            </c:strRef>
          </c:tx>
          <c:spPr>
            <a:solidFill>
              <a:srgbClr val="993366"/>
            </a:solidFill>
            <a:ln w="12700">
              <a:solidFill>
                <a:srgbClr val="000000"/>
              </a:solidFill>
              <a:prstDash val="solid"/>
            </a:ln>
          </c:spPr>
          <c:invertIfNegative val="0"/>
          <c:dPt>
            <c:idx val="20"/>
            <c:invertIfNegative val="0"/>
            <c:bubble3D val="0"/>
            <c:spPr>
              <a:solidFill>
                <a:srgbClr val="C0C0C0"/>
              </a:solidFill>
              <a:ln w="12700">
                <a:solidFill>
                  <a:srgbClr val="000000"/>
                </a:solidFill>
                <a:prstDash val="solid"/>
              </a:ln>
            </c:spPr>
          </c:dPt>
          <c:cat>
            <c:strRef>
              <c:f>'Chart Data'!$A$118:$A$139</c:f>
              <c:strCache>
                <c:ptCount val="22"/>
                <c:pt idx="0">
                  <c:v>Plan</c:v>
                </c:pt>
                <c:pt idx="1">
                  <c:v> Management</c:v>
                </c:pt>
                <c:pt idx="2">
                  <c:v> Medical and Dental Staff</c:v>
                </c:pt>
                <c:pt idx="3">
                  <c:v> Nursing &amp; Midwifery</c:v>
                </c:pt>
                <c:pt idx="4">
                  <c:v> Other Healthcare</c:v>
                </c:pt>
                <c:pt idx="5">
                  <c:v> Ancillary Staff</c:v>
                </c:pt>
                <c:pt idx="6">
                  <c:v> Administrative &amp; Clerical</c:v>
                </c:pt>
                <c:pt idx="7">
                  <c:v> Maintenance Staff</c:v>
                </c:pt>
                <c:pt idx="8">
                  <c:v> Other Staff</c:v>
                </c:pt>
                <c:pt idx="9">
                  <c:v>Drugs &amp; Medical Gases</c:v>
                </c:pt>
                <c:pt idx="10">
                  <c:v>Supplies and Services - Clinical</c:v>
                </c:pt>
                <c:pt idx="11">
                  <c:v>Supplies and Services General</c:v>
                </c:pt>
                <c:pt idx="12">
                  <c:v>Establishment Expenses</c:v>
                </c:pt>
                <c:pt idx="13">
                  <c:v>Transport Expenses</c:v>
                </c:pt>
                <c:pt idx="14">
                  <c:v>Premises</c:v>
                </c:pt>
                <c:pt idx="15">
                  <c:v>Purchase of Healthcare from Non NHS provider</c:v>
                </c:pt>
                <c:pt idx="16">
                  <c:v>Other Non Pay/Reserves</c:v>
                </c:pt>
                <c:pt idx="17">
                  <c:v>Clinical Negligence Premium</c:v>
                </c:pt>
                <c:pt idx="18">
                  <c:v>Education and Training</c:v>
                </c:pt>
                <c:pt idx="19">
                  <c:v>Services from Other NHS Bodies</c:v>
                </c:pt>
                <c:pt idx="21">
                  <c:v>Forecast</c:v>
                </c:pt>
              </c:strCache>
            </c:strRef>
          </c:cat>
          <c:val>
            <c:numRef>
              <c:f>'Chart Data'!$C$118:$C$139</c:f>
              <c:numCache>
                <c:formatCode>#,##0_);[Red]\(#,##0\)</c:formatCode>
                <c:ptCount val="22"/>
                <c:pt idx="21">
                  <c:v>533071.98499999987</c:v>
                </c:pt>
              </c:numCache>
            </c:numRef>
          </c:val>
        </c:ser>
        <c:ser>
          <c:idx val="2"/>
          <c:order val="2"/>
          <c:tx>
            <c:strRef>
              <c:f>'Chart Data'!$D$116:$D$117</c:f>
              <c:strCache>
                <c:ptCount val="1"/>
                <c:pt idx="0">
                  <c:v>Down</c:v>
                </c:pt>
              </c:strCache>
            </c:strRef>
          </c:tx>
          <c:spPr>
            <a:solidFill>
              <a:srgbClr val="339966"/>
            </a:solidFill>
            <a:ln w="12700">
              <a:solidFill>
                <a:srgbClr val="000000"/>
              </a:solidFill>
              <a:prstDash val="solid"/>
            </a:ln>
          </c:spPr>
          <c:invertIfNegative val="0"/>
          <c:cat>
            <c:strRef>
              <c:f>'Chart Data'!$A$118:$A$139</c:f>
              <c:strCache>
                <c:ptCount val="22"/>
                <c:pt idx="0">
                  <c:v>Plan</c:v>
                </c:pt>
                <c:pt idx="1">
                  <c:v> Management</c:v>
                </c:pt>
                <c:pt idx="2">
                  <c:v> Medical and Dental Staff</c:v>
                </c:pt>
                <c:pt idx="3">
                  <c:v> Nursing &amp; Midwifery</c:v>
                </c:pt>
                <c:pt idx="4">
                  <c:v> Other Healthcare</c:v>
                </c:pt>
                <c:pt idx="5">
                  <c:v> Ancillary Staff</c:v>
                </c:pt>
                <c:pt idx="6">
                  <c:v> Administrative &amp; Clerical</c:v>
                </c:pt>
                <c:pt idx="7">
                  <c:v> Maintenance Staff</c:v>
                </c:pt>
                <c:pt idx="8">
                  <c:v> Other Staff</c:v>
                </c:pt>
                <c:pt idx="9">
                  <c:v>Drugs &amp; Medical Gases</c:v>
                </c:pt>
                <c:pt idx="10">
                  <c:v>Supplies and Services - Clinical</c:v>
                </c:pt>
                <c:pt idx="11">
                  <c:v>Supplies and Services General</c:v>
                </c:pt>
                <c:pt idx="12">
                  <c:v>Establishment Expenses</c:v>
                </c:pt>
                <c:pt idx="13">
                  <c:v>Transport Expenses</c:v>
                </c:pt>
                <c:pt idx="14">
                  <c:v>Premises</c:v>
                </c:pt>
                <c:pt idx="15">
                  <c:v>Purchase of Healthcare from Non NHS provider</c:v>
                </c:pt>
                <c:pt idx="16">
                  <c:v>Other Non Pay/Reserves</c:v>
                </c:pt>
                <c:pt idx="17">
                  <c:v>Clinical Negligence Premium</c:v>
                </c:pt>
                <c:pt idx="18">
                  <c:v>Education and Training</c:v>
                </c:pt>
                <c:pt idx="19">
                  <c:v>Services from Other NHS Bodies</c:v>
                </c:pt>
                <c:pt idx="21">
                  <c:v>Forecast</c:v>
                </c:pt>
              </c:strCache>
            </c:strRef>
          </c:cat>
          <c:val>
            <c:numRef>
              <c:f>'Chart Data'!$D$118:$D$139</c:f>
              <c:numCache>
                <c:formatCode>#,##0_);[Red]\(#,##0\)</c:formatCode>
                <c:ptCount val="22"/>
                <c:pt idx="1">
                  <c:v>0</c:v>
                </c:pt>
                <c:pt idx="2">
                  <c:v>207.78499999998894</c:v>
                </c:pt>
                <c:pt idx="3">
                  <c:v>12.444999999977881</c:v>
                </c:pt>
                <c:pt idx="4">
                  <c:v>0</c:v>
                </c:pt>
                <c:pt idx="5">
                  <c:v>0</c:v>
                </c:pt>
                <c:pt idx="6">
                  <c:v>5.9199999999909778</c:v>
                </c:pt>
                <c:pt idx="7">
                  <c:v>50.919999999999618</c:v>
                </c:pt>
                <c:pt idx="8">
                  <c:v>0</c:v>
                </c:pt>
                <c:pt idx="9">
                  <c:v>0</c:v>
                </c:pt>
                <c:pt idx="10">
                  <c:v>300.36499999999796</c:v>
                </c:pt>
                <c:pt idx="11">
                  <c:v>0</c:v>
                </c:pt>
                <c:pt idx="12">
                  <c:v>315.90300000000116</c:v>
                </c:pt>
                <c:pt idx="13">
                  <c:v>0.95499999999969987</c:v>
                </c:pt>
                <c:pt idx="14">
                  <c:v>556.45400000000518</c:v>
                </c:pt>
                <c:pt idx="15">
                  <c:v>84.756999999999607</c:v>
                </c:pt>
                <c:pt idx="16">
                  <c:v>0</c:v>
                </c:pt>
                <c:pt idx="17">
                  <c:v>0.28999999999723514</c:v>
                </c:pt>
                <c:pt idx="18">
                  <c:v>212.83399999999983</c:v>
                </c:pt>
                <c:pt idx="19">
                  <c:v>0</c:v>
                </c:pt>
                <c:pt idx="20">
                  <c:v>0</c:v>
                </c:pt>
              </c:numCache>
            </c:numRef>
          </c:val>
        </c:ser>
        <c:ser>
          <c:idx val="3"/>
          <c:order val="3"/>
          <c:tx>
            <c:strRef>
              <c:f>'Chart Data'!$E$116:$E$117</c:f>
              <c:strCache>
                <c:ptCount val="1"/>
                <c:pt idx="0">
                  <c:v>Up</c:v>
                </c:pt>
              </c:strCache>
            </c:strRef>
          </c:tx>
          <c:spPr>
            <a:solidFill>
              <a:srgbClr val="FF0000"/>
            </a:solidFill>
            <a:ln w="12700">
              <a:solidFill>
                <a:srgbClr val="000000"/>
              </a:solidFill>
              <a:prstDash val="solid"/>
            </a:ln>
          </c:spPr>
          <c:invertIfNegative val="0"/>
          <c:cat>
            <c:strRef>
              <c:f>'Chart Data'!$A$118:$A$139</c:f>
              <c:strCache>
                <c:ptCount val="22"/>
                <c:pt idx="0">
                  <c:v>Plan</c:v>
                </c:pt>
                <c:pt idx="1">
                  <c:v> Management</c:v>
                </c:pt>
                <c:pt idx="2">
                  <c:v> Medical and Dental Staff</c:v>
                </c:pt>
                <c:pt idx="3">
                  <c:v> Nursing &amp; Midwifery</c:v>
                </c:pt>
                <c:pt idx="4">
                  <c:v> Other Healthcare</c:v>
                </c:pt>
                <c:pt idx="5">
                  <c:v> Ancillary Staff</c:v>
                </c:pt>
                <c:pt idx="6">
                  <c:v> Administrative &amp; Clerical</c:v>
                </c:pt>
                <c:pt idx="7">
                  <c:v> Maintenance Staff</c:v>
                </c:pt>
                <c:pt idx="8">
                  <c:v> Other Staff</c:v>
                </c:pt>
                <c:pt idx="9">
                  <c:v>Drugs &amp; Medical Gases</c:v>
                </c:pt>
                <c:pt idx="10">
                  <c:v>Supplies and Services - Clinical</c:v>
                </c:pt>
                <c:pt idx="11">
                  <c:v>Supplies and Services General</c:v>
                </c:pt>
                <c:pt idx="12">
                  <c:v>Establishment Expenses</c:v>
                </c:pt>
                <c:pt idx="13">
                  <c:v>Transport Expenses</c:v>
                </c:pt>
                <c:pt idx="14">
                  <c:v>Premises</c:v>
                </c:pt>
                <c:pt idx="15">
                  <c:v>Purchase of Healthcare from Non NHS provider</c:v>
                </c:pt>
                <c:pt idx="16">
                  <c:v>Other Non Pay/Reserves</c:v>
                </c:pt>
                <c:pt idx="17">
                  <c:v>Clinical Negligence Premium</c:v>
                </c:pt>
                <c:pt idx="18">
                  <c:v>Education and Training</c:v>
                </c:pt>
                <c:pt idx="19">
                  <c:v>Services from Other NHS Bodies</c:v>
                </c:pt>
                <c:pt idx="21">
                  <c:v>Forecast</c:v>
                </c:pt>
              </c:strCache>
            </c:strRef>
          </c:cat>
          <c:val>
            <c:numRef>
              <c:f>'Chart Data'!$E$118:$E$139</c:f>
              <c:numCache>
                <c:formatCode>#,##0_);[Red]\(#,##0\)</c:formatCode>
                <c:ptCount val="22"/>
                <c:pt idx="1">
                  <c:v>20.158999999999651</c:v>
                </c:pt>
                <c:pt idx="2">
                  <c:v>0</c:v>
                </c:pt>
                <c:pt idx="3">
                  <c:v>0</c:v>
                </c:pt>
                <c:pt idx="4">
                  <c:v>196.12299999997776</c:v>
                </c:pt>
                <c:pt idx="5">
                  <c:v>30.875000000001819</c:v>
                </c:pt>
                <c:pt idx="6">
                  <c:v>0</c:v>
                </c:pt>
                <c:pt idx="7">
                  <c:v>0</c:v>
                </c:pt>
                <c:pt idx="8">
                  <c:v>88.654999999999745</c:v>
                </c:pt>
                <c:pt idx="9">
                  <c:v>1847.9139999999898</c:v>
                </c:pt>
                <c:pt idx="10">
                  <c:v>0</c:v>
                </c:pt>
                <c:pt idx="11">
                  <c:v>191.23699999999917</c:v>
                </c:pt>
                <c:pt idx="12">
                  <c:v>0</c:v>
                </c:pt>
                <c:pt idx="13">
                  <c:v>0</c:v>
                </c:pt>
                <c:pt idx="14">
                  <c:v>0</c:v>
                </c:pt>
                <c:pt idx="15">
                  <c:v>0</c:v>
                </c:pt>
                <c:pt idx="16">
                  <c:v>579.29</c:v>
                </c:pt>
                <c:pt idx="17">
                  <c:v>0</c:v>
                </c:pt>
                <c:pt idx="18">
                  <c:v>0</c:v>
                </c:pt>
                <c:pt idx="19">
                  <c:v>389.88400000000001</c:v>
                </c:pt>
                <c:pt idx="20">
                  <c:v>0</c:v>
                </c:pt>
              </c:numCache>
            </c:numRef>
          </c:val>
        </c:ser>
        <c:ser>
          <c:idx val="4"/>
          <c:order val="4"/>
          <c:tx>
            <c:strRef>
              <c:f>'Chart Data'!$F$116:$F$117</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Data'!$A$118:$A$139</c:f>
              <c:strCache>
                <c:ptCount val="22"/>
                <c:pt idx="0">
                  <c:v>Plan</c:v>
                </c:pt>
                <c:pt idx="1">
                  <c:v> Management</c:v>
                </c:pt>
                <c:pt idx="2">
                  <c:v> Medical and Dental Staff</c:v>
                </c:pt>
                <c:pt idx="3">
                  <c:v> Nursing &amp; Midwifery</c:v>
                </c:pt>
                <c:pt idx="4">
                  <c:v> Other Healthcare</c:v>
                </c:pt>
                <c:pt idx="5">
                  <c:v> Ancillary Staff</c:v>
                </c:pt>
                <c:pt idx="6">
                  <c:v> Administrative &amp; Clerical</c:v>
                </c:pt>
                <c:pt idx="7">
                  <c:v> Maintenance Staff</c:v>
                </c:pt>
                <c:pt idx="8">
                  <c:v> Other Staff</c:v>
                </c:pt>
                <c:pt idx="9">
                  <c:v>Drugs &amp; Medical Gases</c:v>
                </c:pt>
                <c:pt idx="10">
                  <c:v>Supplies and Services - Clinical</c:v>
                </c:pt>
                <c:pt idx="11">
                  <c:v>Supplies and Services General</c:v>
                </c:pt>
                <c:pt idx="12">
                  <c:v>Establishment Expenses</c:v>
                </c:pt>
                <c:pt idx="13">
                  <c:v>Transport Expenses</c:v>
                </c:pt>
                <c:pt idx="14">
                  <c:v>Premises</c:v>
                </c:pt>
                <c:pt idx="15">
                  <c:v>Purchase of Healthcare from Non NHS provider</c:v>
                </c:pt>
                <c:pt idx="16">
                  <c:v>Other Non Pay/Reserves</c:v>
                </c:pt>
                <c:pt idx="17">
                  <c:v>Clinical Negligence Premium</c:v>
                </c:pt>
                <c:pt idx="18">
                  <c:v>Education and Training</c:v>
                </c:pt>
                <c:pt idx="19">
                  <c:v>Services from Other NHS Bodies</c:v>
                </c:pt>
                <c:pt idx="21">
                  <c:v>Forecast</c:v>
                </c:pt>
              </c:strCache>
            </c:strRef>
          </c:cat>
          <c:val>
            <c:numRef>
              <c:f>'Chart Data'!$F$118:$F$139</c:f>
              <c:numCache>
                <c:formatCode>#,##0_);[Red]\(#,##0\)</c:formatCode>
                <c:ptCount val="22"/>
                <c:pt idx="0">
                  <c:v>531476.47600000002</c:v>
                </c:pt>
              </c:numCache>
            </c:numRef>
          </c:val>
        </c:ser>
        <c:dLbls>
          <c:showLegendKey val="0"/>
          <c:showVal val="0"/>
          <c:showCatName val="0"/>
          <c:showSerName val="0"/>
          <c:showPercent val="0"/>
          <c:showBubbleSize val="0"/>
        </c:dLbls>
        <c:gapWidth val="150"/>
        <c:overlap val="100"/>
        <c:axId val="106621184"/>
        <c:axId val="107290624"/>
      </c:barChart>
      <c:catAx>
        <c:axId val="106621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4500000" vert="horz"/>
          <a:lstStyle/>
          <a:p>
            <a:pPr>
              <a:defRPr sz="800" b="0" i="0" u="none" strike="noStrike" baseline="0">
                <a:solidFill>
                  <a:srgbClr val="000000"/>
                </a:solidFill>
                <a:latin typeface="Arial"/>
                <a:ea typeface="Arial"/>
                <a:cs typeface="Arial"/>
              </a:defRPr>
            </a:pPr>
            <a:endParaRPr lang="en-US"/>
          </a:p>
        </c:txPr>
        <c:crossAx val="107290624"/>
        <c:crossesAt val="0"/>
        <c:auto val="1"/>
        <c:lblAlgn val="ctr"/>
        <c:lblOffset val="100"/>
        <c:tickLblSkip val="1"/>
        <c:tickMarkSkip val="1"/>
        <c:noMultiLvlLbl val="0"/>
      </c:catAx>
      <c:valAx>
        <c:axId val="107290624"/>
        <c:scaling>
          <c:orientation val="minMax"/>
          <c:min val="530000"/>
        </c:scaling>
        <c:delete val="0"/>
        <c:axPos val="l"/>
        <c:majorGridlines>
          <c:spPr>
            <a:ln w="3175">
              <a:solidFill>
                <a:srgbClr val="000000"/>
              </a:solidFill>
              <a:prstDash val="solid"/>
            </a:ln>
          </c:spPr>
        </c:majorGridlines>
        <c:title>
          <c:tx>
            <c:rich>
              <a:bodyPr rot="0" vert="horz"/>
              <a:lstStyle/>
              <a:p>
                <a:pPr algn="ctr">
                  <a:defRPr sz="800"/>
                </a:pPr>
                <a:r>
                  <a:rPr lang="en-GB" sz="800"/>
                  <a:t>£k</a:t>
                </a:r>
              </a:p>
            </c:rich>
          </c:tx>
          <c:layout>
            <c:manualLayout>
              <c:xMode val="edge"/>
              <c:yMode val="edge"/>
              <c:x val="4.8780487804878127E-2"/>
              <c:y val="5.1854627042587434E-2"/>
            </c:manualLayout>
          </c:layout>
          <c:overlay val="0"/>
        </c:title>
        <c:numFmt formatCode="#,##0_);[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621184"/>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GB"/>
              <a:t>Pay In Month 2016/17</a:t>
            </a:r>
          </a:p>
        </c:rich>
      </c:tx>
      <c:layout>
        <c:manualLayout>
          <c:xMode val="edge"/>
          <c:yMode val="edge"/>
          <c:x val="0.31835277534752709"/>
          <c:y val="3.3613364869315342E-2"/>
        </c:manualLayout>
      </c:layout>
      <c:overlay val="0"/>
      <c:spPr>
        <a:noFill/>
        <a:ln w="25400">
          <a:noFill/>
        </a:ln>
      </c:spPr>
    </c:title>
    <c:autoTitleDeleted val="0"/>
    <c:plotArea>
      <c:layout>
        <c:manualLayout>
          <c:layoutTarget val="inner"/>
          <c:xMode val="edge"/>
          <c:yMode val="edge"/>
          <c:x val="0.12345697617816867"/>
          <c:y val="0.15969581749049558"/>
          <c:w val="0.83950743801154692"/>
          <c:h val="0.54372623574144452"/>
        </c:manualLayout>
      </c:layout>
      <c:lineChart>
        <c:grouping val="standard"/>
        <c:varyColors val="0"/>
        <c:ser>
          <c:idx val="0"/>
          <c:order val="0"/>
          <c:tx>
            <c:strRef>
              <c:f>'Chart Data'!$A$20</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'Chart Data'!$B$19:$M$19</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Data'!$B$20:$M$20</c:f>
              <c:numCache>
                <c:formatCode>#,##0;[Red]\(#,##0\)</c:formatCode>
                <c:ptCount val="12"/>
                <c:pt idx="0">
                  <c:v>28808.021000000001</c:v>
                </c:pt>
                <c:pt idx="1">
                  <c:v>28809.982</c:v>
                </c:pt>
                <c:pt idx="2">
                  <c:v>28868.976000000002</c:v>
                </c:pt>
                <c:pt idx="3">
                  <c:v>27924.214999999997</c:v>
                </c:pt>
                <c:pt idx="4">
                  <c:v>28112.024999999998</c:v>
                </c:pt>
                <c:pt idx="5">
                  <c:v>28101.262999999999</c:v>
                </c:pt>
                <c:pt idx="6">
                  <c:v>27382.703999999998</c:v>
                </c:pt>
                <c:pt idx="7">
                  <c:v>27365.017999999996</c:v>
                </c:pt>
                <c:pt idx="8">
                  <c:v>27232.19</c:v>
                </c:pt>
                <c:pt idx="9">
                  <c:v>27224.693999999996</c:v>
                </c:pt>
                <c:pt idx="10">
                  <c:v>27224.690999999995</c:v>
                </c:pt>
                <c:pt idx="11">
                  <c:v>27225.354999999996</c:v>
                </c:pt>
              </c:numCache>
            </c:numRef>
          </c:val>
          <c:smooth val="0"/>
        </c:ser>
        <c:ser>
          <c:idx val="1"/>
          <c:order val="1"/>
          <c:tx>
            <c:strRef>
              <c:f>'Chart Data'!$A$21</c:f>
              <c:strCache>
                <c:ptCount val="1"/>
                <c:pt idx="0">
                  <c:v>Actual / Forecast</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cat>
            <c:numRef>
              <c:f>'Chart Data'!$B$19:$M$19</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Data'!$B$21:$M$21</c:f>
              <c:numCache>
                <c:formatCode>#,##0;[Red]\(#,##0\)</c:formatCode>
                <c:ptCount val="12"/>
                <c:pt idx="0">
                  <c:v>28967.795999999998</c:v>
                </c:pt>
                <c:pt idx="1">
                  <c:v>28624.75</c:v>
                </c:pt>
                <c:pt idx="2">
                  <c:v>28829.019999999997</c:v>
                </c:pt>
                <c:pt idx="3">
                  <c:v>28054.020999999997</c:v>
                </c:pt>
                <c:pt idx="4">
                  <c:v>28037.699999999997</c:v>
                </c:pt>
                <c:pt idx="5">
                  <c:v>28074.220999999998</c:v>
                </c:pt>
                <c:pt idx="6">
                  <c:v>27373.332000000002</c:v>
                </c:pt>
                <c:pt idx="7">
                  <c:v>27373.799000000003</c:v>
                </c:pt>
                <c:pt idx="8">
                  <c:v>27245.419000000002</c:v>
                </c:pt>
                <c:pt idx="9">
                  <c:v>27243.010999999999</c:v>
                </c:pt>
                <c:pt idx="10">
                  <c:v>27242.999</c:v>
                </c:pt>
                <c:pt idx="11">
                  <c:v>27275.219000000001</c:v>
                </c:pt>
              </c:numCache>
            </c:numRef>
          </c:val>
          <c:smooth val="0"/>
        </c:ser>
        <c:dLbls>
          <c:showLegendKey val="0"/>
          <c:showVal val="0"/>
          <c:showCatName val="0"/>
          <c:showSerName val="0"/>
          <c:showPercent val="0"/>
          <c:showBubbleSize val="0"/>
        </c:dLbls>
        <c:marker val="1"/>
        <c:smooth val="0"/>
        <c:axId val="107302272"/>
        <c:axId val="107340928"/>
      </c:lineChart>
      <c:dateAx>
        <c:axId val="107302272"/>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7340928"/>
        <c:crossesAt val="0"/>
        <c:auto val="1"/>
        <c:lblOffset val="100"/>
        <c:baseTimeUnit val="months"/>
        <c:majorUnit val="1"/>
        <c:majorTimeUnit val="months"/>
        <c:minorUnit val="1"/>
        <c:minorTimeUnit val="months"/>
      </c:dateAx>
      <c:valAx>
        <c:axId val="107340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£k</a:t>
                </a:r>
              </a:p>
            </c:rich>
          </c:tx>
          <c:layout>
            <c:manualLayout>
              <c:xMode val="edge"/>
              <c:yMode val="edge"/>
              <c:x val="2.9962412105894176E-2"/>
              <c:y val="0.4173679430755570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302272"/>
        <c:crosses val="autoZero"/>
        <c:crossBetween val="between"/>
      </c:valAx>
      <c:spPr>
        <a:noFill/>
        <a:ln w="12700">
          <a:solidFill>
            <a:srgbClr val="808080"/>
          </a:solidFill>
          <a:prstDash val="solid"/>
        </a:ln>
      </c:spPr>
    </c:plotArea>
    <c:legend>
      <c:legendPos val="r"/>
      <c:layout>
        <c:manualLayout>
          <c:xMode val="edge"/>
          <c:yMode val="edge"/>
          <c:x val="0.4459876543209878"/>
          <c:y val="0.88973384030418334"/>
          <c:w val="0.27623456790123457"/>
          <c:h val="8.365019011406875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GB"/>
              <a:t>Non Pay Costs In Month 2016/17</a:t>
            </a:r>
          </a:p>
        </c:rich>
      </c:tx>
      <c:layout>
        <c:manualLayout>
          <c:xMode val="edge"/>
          <c:yMode val="edge"/>
          <c:x val="0.31835256340261109"/>
          <c:y val="3.361349946199254E-2"/>
        </c:manualLayout>
      </c:layout>
      <c:overlay val="0"/>
      <c:spPr>
        <a:noFill/>
        <a:ln w="25400">
          <a:noFill/>
        </a:ln>
      </c:spPr>
    </c:title>
    <c:autoTitleDeleted val="0"/>
    <c:plotArea>
      <c:layout>
        <c:manualLayout>
          <c:layoutTarget val="inner"/>
          <c:xMode val="edge"/>
          <c:yMode val="edge"/>
          <c:x val="0.12326665668535838"/>
          <c:y val="0.1609201423317107"/>
          <c:w val="0.83975409866900508"/>
          <c:h val="0.54023190639931462"/>
        </c:manualLayout>
      </c:layout>
      <c:lineChart>
        <c:grouping val="standard"/>
        <c:varyColors val="0"/>
        <c:ser>
          <c:idx val="0"/>
          <c:order val="0"/>
          <c:tx>
            <c:strRef>
              <c:f>'Chart Data'!$A$25</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'Chart Data'!$B$24:$M$24</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Data'!$B$25:$M$25</c:f>
              <c:numCache>
                <c:formatCode>#,##0;[Red]\(#,##0\)</c:formatCode>
                <c:ptCount val="12"/>
                <c:pt idx="0">
                  <c:v>17035.830999999998</c:v>
                </c:pt>
                <c:pt idx="1">
                  <c:v>17019.756000000001</c:v>
                </c:pt>
                <c:pt idx="2">
                  <c:v>17012.623999999996</c:v>
                </c:pt>
                <c:pt idx="3">
                  <c:v>16654.064999999999</c:v>
                </c:pt>
                <c:pt idx="4">
                  <c:v>16575.974999999999</c:v>
                </c:pt>
                <c:pt idx="5">
                  <c:v>16443.748999999996</c:v>
                </c:pt>
                <c:pt idx="6">
                  <c:v>16254.026</c:v>
                </c:pt>
                <c:pt idx="7">
                  <c:v>16166.400000000001</c:v>
                </c:pt>
                <c:pt idx="8">
                  <c:v>16014.898999999998</c:v>
                </c:pt>
                <c:pt idx="9">
                  <c:v>15999.747999999998</c:v>
                </c:pt>
                <c:pt idx="10">
                  <c:v>15996.521000000001</c:v>
                </c:pt>
                <c:pt idx="11">
                  <c:v>16023.748000000001</c:v>
                </c:pt>
              </c:numCache>
            </c:numRef>
          </c:val>
          <c:smooth val="0"/>
        </c:ser>
        <c:ser>
          <c:idx val="1"/>
          <c:order val="1"/>
          <c:tx>
            <c:strRef>
              <c:f>'Chart Data'!$A$26</c:f>
              <c:strCache>
                <c:ptCount val="1"/>
                <c:pt idx="0">
                  <c:v>Actual / Forecast</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cat>
            <c:numRef>
              <c:f>'Chart Data'!$B$24:$M$24</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Data'!$B$26:$M$26</c:f>
              <c:numCache>
                <c:formatCode>#,##0;[Red]\(#,##0\)</c:formatCode>
                <c:ptCount val="12"/>
                <c:pt idx="0">
                  <c:v>17388.646000000001</c:v>
                </c:pt>
                <c:pt idx="1">
                  <c:v>18997.483</c:v>
                </c:pt>
                <c:pt idx="2">
                  <c:v>17891.413999999997</c:v>
                </c:pt>
                <c:pt idx="3">
                  <c:v>17504.043999999998</c:v>
                </c:pt>
                <c:pt idx="4">
                  <c:v>16403.439999999999</c:v>
                </c:pt>
                <c:pt idx="5">
                  <c:v>16321.208000000001</c:v>
                </c:pt>
                <c:pt idx="6">
                  <c:v>16018.241000000002</c:v>
                </c:pt>
                <c:pt idx="7">
                  <c:v>15951.834000000001</c:v>
                </c:pt>
                <c:pt idx="8">
                  <c:v>15823.597999999996</c:v>
                </c:pt>
                <c:pt idx="9">
                  <c:v>15760.643999999998</c:v>
                </c:pt>
                <c:pt idx="10">
                  <c:v>15723.466999999999</c:v>
                </c:pt>
                <c:pt idx="11">
                  <c:v>15779.632</c:v>
                </c:pt>
              </c:numCache>
            </c:numRef>
          </c:val>
          <c:smooth val="0"/>
        </c:ser>
        <c:dLbls>
          <c:showLegendKey val="0"/>
          <c:showVal val="0"/>
          <c:showCatName val="0"/>
          <c:showSerName val="0"/>
          <c:showPercent val="0"/>
          <c:showBubbleSize val="0"/>
        </c:dLbls>
        <c:marker val="1"/>
        <c:smooth val="0"/>
        <c:axId val="107367808"/>
        <c:axId val="107373696"/>
      </c:lineChart>
      <c:dateAx>
        <c:axId val="107367808"/>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7373696"/>
        <c:crossesAt val="0"/>
        <c:auto val="1"/>
        <c:lblOffset val="100"/>
        <c:baseTimeUnit val="months"/>
        <c:majorUnit val="1"/>
        <c:majorTimeUnit val="months"/>
        <c:minorUnit val="1"/>
        <c:minorTimeUnit val="months"/>
      </c:dateAx>
      <c:valAx>
        <c:axId val="1073736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£k</a:t>
                </a:r>
              </a:p>
            </c:rich>
          </c:tx>
          <c:layout>
            <c:manualLayout>
              <c:xMode val="edge"/>
              <c:yMode val="edge"/>
              <c:x val="2.9962510464312152E-2"/>
              <c:y val="0.41736828873402387"/>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367808"/>
        <c:crosses val="autoZero"/>
        <c:crossBetween val="between"/>
      </c:valAx>
      <c:spPr>
        <a:noFill/>
        <a:ln w="12700">
          <a:solidFill>
            <a:srgbClr val="808080"/>
          </a:solidFill>
          <a:prstDash val="solid"/>
        </a:ln>
      </c:spPr>
    </c:plotArea>
    <c:legend>
      <c:legendPos val="r"/>
      <c:layout>
        <c:manualLayout>
          <c:xMode val="edge"/>
          <c:yMode val="edge"/>
          <c:x val="0.4576271186440678"/>
          <c:y val="0.90421455938697259"/>
          <c:w val="0.27580893682588664"/>
          <c:h val="8.429118773946364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en-GB"/>
              <a:t>Invoiced Debtors Ageing Month 1 2011/12</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2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Data'!$B$72:$B$75</c:f>
              <c:strCache>
                <c:ptCount val="4"/>
                <c:pt idx="0">
                  <c:v>1-30 Days</c:v>
                </c:pt>
                <c:pt idx="1">
                  <c:v>31-60 Days</c:v>
                </c:pt>
                <c:pt idx="2">
                  <c:v>61-90 Days</c:v>
                </c:pt>
                <c:pt idx="3">
                  <c:v>Over 90 Days</c:v>
                </c:pt>
              </c:strCache>
            </c:strRef>
          </c:cat>
          <c:val>
            <c:numRef>
              <c:f>'Balance Sheet Data'!$D$72:$D$75</c:f>
              <c:numCache>
                <c:formatCode>#,##0;\(#,##0\);\-</c:formatCode>
                <c:ptCount val="4"/>
                <c:pt idx="0">
                  <c:v>3850</c:v>
                </c:pt>
                <c:pt idx="1">
                  <c:v>1313</c:v>
                </c:pt>
                <c:pt idx="2">
                  <c:v>3942</c:v>
                </c:pt>
                <c:pt idx="3">
                  <c:v>6282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en-GB"/>
              <a:t>Invoiced Debtors Ageing Month 1 2011/12</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2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Data'!$B$72:$B$75</c:f>
              <c:strCache>
                <c:ptCount val="4"/>
                <c:pt idx="0">
                  <c:v>1-30 Days</c:v>
                </c:pt>
                <c:pt idx="1">
                  <c:v>31-60 Days</c:v>
                </c:pt>
                <c:pt idx="2">
                  <c:v>61-90 Days</c:v>
                </c:pt>
                <c:pt idx="3">
                  <c:v>Over 90 Days</c:v>
                </c:pt>
              </c:strCache>
            </c:strRef>
          </c:cat>
          <c:val>
            <c:numRef>
              <c:f>'Balance Sheet Data'!$D$72:$D$75</c:f>
              <c:numCache>
                <c:formatCode>#,##0;\(#,##0\);\-</c:formatCode>
                <c:ptCount val="4"/>
                <c:pt idx="0">
                  <c:v>3850</c:v>
                </c:pt>
                <c:pt idx="1">
                  <c:v>1313</c:v>
                </c:pt>
                <c:pt idx="2">
                  <c:v>3942</c:v>
                </c:pt>
                <c:pt idx="3">
                  <c:v>6282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Trade and Other Receivables </a:t>
            </a:r>
          </a:p>
        </c:rich>
      </c:tx>
      <c:layout>
        <c:manualLayout>
          <c:xMode val="edge"/>
          <c:yMode val="edge"/>
          <c:x val="0.21551742239116703"/>
          <c:y val="3.3613445378151259E-2"/>
        </c:manualLayout>
      </c:layout>
      <c:overlay val="0"/>
      <c:spPr>
        <a:noFill/>
        <a:ln w="25400">
          <a:noFill/>
        </a:ln>
      </c:spPr>
    </c:title>
    <c:autoTitleDeleted val="0"/>
    <c:plotArea>
      <c:layout>
        <c:manualLayout>
          <c:layoutTarget val="inner"/>
          <c:xMode val="edge"/>
          <c:yMode val="edge"/>
          <c:x val="0.35517271280030382"/>
          <c:y val="0.32493086082715633"/>
          <c:w val="0.28965541626432539"/>
          <c:h val="0.47058952257725817"/>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0.18074594985971582"/>
                  <c:y val="-2.1551129638206989E-2"/>
                </c:manualLayout>
              </c:layout>
              <c:showLegendKey val="0"/>
              <c:showVal val="0"/>
              <c:showCatName val="1"/>
              <c:showSerName val="0"/>
              <c:showPercent val="1"/>
              <c:showBubbleSize val="0"/>
            </c:dLbl>
            <c:dLbl>
              <c:idx val="1"/>
              <c:layout>
                <c:manualLayout>
                  <c:x val="-0.1000011765770658"/>
                  <c:y val="1.1202717307395398E-2"/>
                </c:manualLayout>
              </c:layout>
              <c:showLegendKey val="0"/>
              <c:showVal val="0"/>
              <c:showCatName val="1"/>
              <c:showSerName val="0"/>
              <c:showPercent val="1"/>
              <c:showBubbleSize val="0"/>
            </c:dLbl>
            <c:dLbl>
              <c:idx val="2"/>
              <c:layout>
                <c:manualLayout>
                  <c:x val="9.4815820436238568E-3"/>
                  <c:y val="-8.2167964298580323E-2"/>
                </c:manualLayout>
              </c:layout>
              <c:showLegendKey val="0"/>
              <c:showVal val="0"/>
              <c:showCatName val="1"/>
              <c:showSerName val="0"/>
              <c:showPercent val="1"/>
              <c:showBubbleSize val="0"/>
            </c:dLbl>
            <c:dLbl>
              <c:idx val="3"/>
              <c:layout>
                <c:manualLayout>
                  <c:x val="0.18419422572178479"/>
                  <c:y val="7.4678900431563704E-3"/>
                </c:manualLayout>
              </c:layou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Data'!$B$51:$B$54</c:f>
              <c:strCache>
                <c:ptCount val="4"/>
                <c:pt idx="0">
                  <c:v>Invoiced Debtors</c:v>
                </c:pt>
                <c:pt idx="1">
                  <c:v>Accrued Income</c:v>
                </c:pt>
                <c:pt idx="2">
                  <c:v>Prepayments</c:v>
                </c:pt>
                <c:pt idx="3">
                  <c:v>Other Debtors</c:v>
                </c:pt>
              </c:strCache>
            </c:strRef>
          </c:cat>
          <c:val>
            <c:numRef>
              <c:f>'Balance Sheet Data'!$D$51:$D$54</c:f>
              <c:numCache>
                <c:formatCode>#,##0;\(#,##0\);\-</c:formatCode>
                <c:ptCount val="4"/>
                <c:pt idx="0">
                  <c:v>7404</c:v>
                </c:pt>
                <c:pt idx="1">
                  <c:v>36294</c:v>
                </c:pt>
                <c:pt idx="2">
                  <c:v>6709</c:v>
                </c:pt>
                <c:pt idx="3">
                  <c:v>1207</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GB"/>
              <a:t>Invoiced Debtors Ageing </a:t>
            </a:r>
          </a:p>
        </c:rich>
      </c:tx>
      <c:layout>
        <c:manualLayout>
          <c:xMode val="edge"/>
          <c:yMode val="edge"/>
          <c:x val="0.26058631921824177"/>
          <c:y val="3.3613445378151259E-2"/>
        </c:manualLayout>
      </c:layout>
      <c:overlay val="0"/>
      <c:spPr>
        <a:noFill/>
        <a:ln w="25400">
          <a:noFill/>
        </a:ln>
      </c:spPr>
    </c:title>
    <c:autoTitleDeleted val="0"/>
    <c:plotArea>
      <c:layout>
        <c:manualLayout>
          <c:layoutTarget val="inner"/>
          <c:xMode val="edge"/>
          <c:yMode val="edge"/>
          <c:x val="0.36319218241042345"/>
          <c:y val="0.31932860460599816"/>
          <c:w val="0.27361563517915338"/>
          <c:h val="0.47058952257725817"/>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87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Data'!$B$72:$B$75</c:f>
              <c:strCache>
                <c:ptCount val="4"/>
                <c:pt idx="0">
                  <c:v>1-30 Days</c:v>
                </c:pt>
                <c:pt idx="1">
                  <c:v>31-60 Days</c:v>
                </c:pt>
                <c:pt idx="2">
                  <c:v>61-90 Days</c:v>
                </c:pt>
                <c:pt idx="3">
                  <c:v>Over 90 Days</c:v>
                </c:pt>
              </c:strCache>
            </c:strRef>
          </c:cat>
          <c:val>
            <c:numRef>
              <c:f>'Balance Sheet Data'!$D$72:$D$75</c:f>
              <c:numCache>
                <c:formatCode>#,##0;\(#,##0\);\-</c:formatCode>
                <c:ptCount val="4"/>
                <c:pt idx="0">
                  <c:v>3850</c:v>
                </c:pt>
                <c:pt idx="1">
                  <c:v>1313</c:v>
                </c:pt>
                <c:pt idx="2">
                  <c:v>3942</c:v>
                </c:pt>
                <c:pt idx="3">
                  <c:v>6282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Arial"/>
                <a:ea typeface="Arial"/>
                <a:cs typeface="Arial"/>
              </a:defRPr>
            </a:pPr>
            <a:r>
              <a:rPr lang="en-GB" sz="1050" b="1" i="0" u="none" strike="noStrike" baseline="0">
                <a:solidFill>
                  <a:srgbClr val="000000"/>
                </a:solidFill>
                <a:latin typeface="Arial"/>
                <a:cs typeface="Arial"/>
              </a:rPr>
              <a:t>Surgery  </a:t>
            </a:r>
            <a:r>
              <a:rPr lang="en-GB" sz="1100" b="1" i="0" u="none" strike="noStrike" baseline="0">
                <a:solidFill>
                  <a:srgbClr val="000000"/>
                </a:solidFill>
                <a:latin typeface="Arial"/>
                <a:cs typeface="Arial"/>
              </a:rPr>
              <a:t>Waterfall</a:t>
            </a:r>
            <a:r>
              <a:rPr lang="en-GB" sz="1050" b="1" i="0" u="none" strike="noStrike" baseline="0">
                <a:solidFill>
                  <a:srgbClr val="000000"/>
                </a:solidFill>
                <a:latin typeface="Arial"/>
                <a:cs typeface="Arial"/>
              </a:rPr>
              <a:t> YTD 2013/14</a:t>
            </a:r>
          </a:p>
        </c:rich>
      </c:tx>
      <c:layout>
        <c:manualLayout>
          <c:xMode val="edge"/>
          <c:yMode val="edge"/>
          <c:x val="0.32576985413290138"/>
          <c:y val="3.6423841059602655E-2"/>
        </c:manualLayout>
      </c:layout>
      <c:overlay val="0"/>
      <c:spPr>
        <a:noFill/>
        <a:ln w="25400">
          <a:noFill/>
        </a:ln>
      </c:spPr>
    </c:title>
    <c:autoTitleDeleted val="0"/>
    <c:plotArea>
      <c:layout>
        <c:manualLayout>
          <c:layoutTarget val="inner"/>
          <c:xMode val="edge"/>
          <c:yMode val="edge"/>
          <c:x val="0.11831442463533225"/>
          <c:y val="0.12913907284768211"/>
          <c:w val="0.85899513776337688"/>
          <c:h val="0.71523178807947063"/>
        </c:manualLayout>
      </c:layout>
      <c:barChart>
        <c:barDir val="col"/>
        <c:grouping val="stacked"/>
        <c:varyColors val="0"/>
        <c:ser>
          <c:idx val="0"/>
          <c:order val="0"/>
          <c:tx>
            <c:strRef>
              <c:f>'Chart Data'!$B$41:$B$42</c:f>
              <c:strCache>
                <c:ptCount val="1"/>
                <c:pt idx="0">
                  <c:v>Base</c:v>
                </c:pt>
              </c:strCache>
            </c:strRef>
          </c:tx>
          <c:spPr>
            <a:noFill/>
            <a:ln w="25400">
              <a:noFill/>
            </a:ln>
          </c:spPr>
          <c:invertIfNegative val="0"/>
          <c:cat>
            <c:strRef>
              <c:f>'Chart Data'!$A$43:$A$49</c:f>
              <c:strCache>
                <c:ptCount val="7"/>
                <c:pt idx="0">
                  <c:v>Plan</c:v>
                </c:pt>
                <c:pt idx="1">
                  <c:v>Income</c:v>
                </c:pt>
                <c:pt idx="2">
                  <c:v>Pay</c:v>
                </c:pt>
                <c:pt idx="3">
                  <c:v>Non Pay</c:v>
                </c:pt>
                <c:pt idx="4">
                  <c:v>Unallocated Savings</c:v>
                </c:pt>
                <c:pt idx="5">
                  <c:v>Trading</c:v>
                </c:pt>
                <c:pt idx="6">
                  <c:v>Actual</c:v>
                </c:pt>
              </c:strCache>
            </c:strRef>
          </c:cat>
          <c:val>
            <c:numRef>
              <c:f>'Chart Data'!$B$43:$B$49</c:f>
              <c:numCache>
                <c:formatCode>#,##0_);[Red]\(#,##0\)</c:formatCode>
                <c:ptCount val="7"/>
                <c:pt idx="1">
                  <c:v>775877</c:v>
                </c:pt>
                <c:pt idx="2">
                  <c:v>284318</c:v>
                </c:pt>
                <c:pt idx="3">
                  <c:v>-318188</c:v>
                </c:pt>
                <c:pt idx="4">
                  <c:v>-318188</c:v>
                </c:pt>
                <c:pt idx="5">
                  <c:v>-291913</c:v>
                </c:pt>
              </c:numCache>
            </c:numRef>
          </c:val>
        </c:ser>
        <c:ser>
          <c:idx val="1"/>
          <c:order val="1"/>
          <c:tx>
            <c:strRef>
              <c:f>'Chart Data'!$C$41:$C$42</c:f>
              <c:strCache>
                <c:ptCount val="1"/>
                <c:pt idx="0">
                  <c:v>End</c:v>
                </c:pt>
              </c:strCache>
            </c:strRef>
          </c:tx>
          <c:spPr>
            <a:solidFill>
              <a:srgbClr val="C0C0C0"/>
            </a:solidFill>
            <a:ln w="12700">
              <a:solidFill>
                <a:srgbClr val="000000"/>
              </a:solidFill>
              <a:prstDash val="solid"/>
            </a:ln>
          </c:spPr>
          <c:invertIfNegative val="0"/>
          <c:cat>
            <c:strRef>
              <c:f>'Chart Data'!$A$43:$A$49</c:f>
              <c:strCache>
                <c:ptCount val="7"/>
                <c:pt idx="0">
                  <c:v>Plan</c:v>
                </c:pt>
                <c:pt idx="1">
                  <c:v>Income</c:v>
                </c:pt>
                <c:pt idx="2">
                  <c:v>Pay</c:v>
                </c:pt>
                <c:pt idx="3">
                  <c:v>Non Pay</c:v>
                </c:pt>
                <c:pt idx="4">
                  <c:v>Unallocated Savings</c:v>
                </c:pt>
                <c:pt idx="5">
                  <c:v>Trading</c:v>
                </c:pt>
                <c:pt idx="6">
                  <c:v>Actual</c:v>
                </c:pt>
              </c:strCache>
            </c:strRef>
          </c:cat>
          <c:val>
            <c:numRef>
              <c:f>'Chart Data'!$C$43:$C$49</c:f>
              <c:numCache>
                <c:formatCode>#,##0_);[Red]\(#,##0\)</c:formatCode>
                <c:ptCount val="7"/>
                <c:pt idx="6">
                  <c:v>-271137</c:v>
                </c:pt>
              </c:numCache>
            </c:numRef>
          </c:val>
        </c:ser>
        <c:ser>
          <c:idx val="2"/>
          <c:order val="2"/>
          <c:tx>
            <c:strRef>
              <c:f>'Chart Data'!$D$41:$D$42</c:f>
              <c:strCache>
                <c:ptCount val="1"/>
                <c:pt idx="0">
                  <c:v>Down</c:v>
                </c:pt>
              </c:strCache>
            </c:strRef>
          </c:tx>
          <c:spPr>
            <a:solidFill>
              <a:srgbClr val="FF0000"/>
            </a:solidFill>
            <a:ln w="12700">
              <a:solidFill>
                <a:srgbClr val="000000"/>
              </a:solidFill>
              <a:prstDash val="solid"/>
            </a:ln>
          </c:spPr>
          <c:invertIfNegative val="0"/>
          <c:cat>
            <c:strRef>
              <c:f>'Chart Data'!$A$43:$A$49</c:f>
              <c:strCache>
                <c:ptCount val="7"/>
                <c:pt idx="0">
                  <c:v>Plan</c:v>
                </c:pt>
                <c:pt idx="1">
                  <c:v>Income</c:v>
                </c:pt>
                <c:pt idx="2">
                  <c:v>Pay</c:v>
                </c:pt>
                <c:pt idx="3">
                  <c:v>Non Pay</c:v>
                </c:pt>
                <c:pt idx="4">
                  <c:v>Unallocated Savings</c:v>
                </c:pt>
                <c:pt idx="5">
                  <c:v>Trading</c:v>
                </c:pt>
                <c:pt idx="6">
                  <c:v>Actual</c:v>
                </c:pt>
              </c:strCache>
            </c:strRef>
          </c:cat>
          <c:val>
            <c:numRef>
              <c:f>'Chart Data'!$D$43:$D$49</c:f>
              <c:numCache>
                <c:formatCode>#,##0_);[Red]\(#,##0\)</c:formatCode>
                <c:ptCount val="7"/>
                <c:pt idx="1">
                  <c:v>2102345</c:v>
                </c:pt>
                <c:pt idx="2">
                  <c:v>491559</c:v>
                </c:pt>
                <c:pt idx="3">
                  <c:v>602506</c:v>
                </c:pt>
                <c:pt idx="4">
                  <c:v>0</c:v>
                </c:pt>
                <c:pt idx="5">
                  <c:v>0</c:v>
                </c:pt>
              </c:numCache>
            </c:numRef>
          </c:val>
        </c:ser>
        <c:ser>
          <c:idx val="3"/>
          <c:order val="3"/>
          <c:tx>
            <c:strRef>
              <c:f>'Chart Data'!$E$41:$E$42</c:f>
              <c:strCache>
                <c:ptCount val="1"/>
                <c:pt idx="0">
                  <c:v>Up</c:v>
                </c:pt>
              </c:strCache>
            </c:strRef>
          </c:tx>
          <c:spPr>
            <a:solidFill>
              <a:srgbClr val="339966"/>
            </a:solidFill>
            <a:ln w="12700">
              <a:solidFill>
                <a:srgbClr val="000000"/>
              </a:solidFill>
              <a:prstDash val="solid"/>
            </a:ln>
          </c:spPr>
          <c:invertIfNegative val="0"/>
          <c:cat>
            <c:strRef>
              <c:f>'Chart Data'!$A$43:$A$49</c:f>
              <c:strCache>
                <c:ptCount val="7"/>
                <c:pt idx="0">
                  <c:v>Plan</c:v>
                </c:pt>
                <c:pt idx="1">
                  <c:v>Income</c:v>
                </c:pt>
                <c:pt idx="2">
                  <c:v>Pay</c:v>
                </c:pt>
                <c:pt idx="3">
                  <c:v>Non Pay</c:v>
                </c:pt>
                <c:pt idx="4">
                  <c:v>Unallocated Savings</c:v>
                </c:pt>
                <c:pt idx="5">
                  <c:v>Trading</c:v>
                </c:pt>
                <c:pt idx="6">
                  <c:v>Actual</c:v>
                </c:pt>
              </c:strCache>
            </c:strRef>
          </c:cat>
          <c:val>
            <c:numRef>
              <c:f>'Chart Data'!$E$43:$E$49</c:f>
              <c:numCache>
                <c:formatCode>#,##0_);[Red]\(#,##0\)</c:formatCode>
                <c:ptCount val="7"/>
                <c:pt idx="1">
                  <c:v>0</c:v>
                </c:pt>
                <c:pt idx="2">
                  <c:v>0</c:v>
                </c:pt>
                <c:pt idx="3">
                  <c:v>0</c:v>
                </c:pt>
                <c:pt idx="4">
                  <c:v>26275</c:v>
                </c:pt>
                <c:pt idx="5">
                  <c:v>20776</c:v>
                </c:pt>
              </c:numCache>
            </c:numRef>
          </c:val>
        </c:ser>
        <c:ser>
          <c:idx val="4"/>
          <c:order val="4"/>
          <c:tx>
            <c:strRef>
              <c:f>'Chart Data'!$F$41:$F$42</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Data'!$A$43:$A$49</c:f>
              <c:strCache>
                <c:ptCount val="7"/>
                <c:pt idx="0">
                  <c:v>Plan</c:v>
                </c:pt>
                <c:pt idx="1">
                  <c:v>Income</c:v>
                </c:pt>
                <c:pt idx="2">
                  <c:v>Pay</c:v>
                </c:pt>
                <c:pt idx="3">
                  <c:v>Non Pay</c:v>
                </c:pt>
                <c:pt idx="4">
                  <c:v>Unallocated Savings</c:v>
                </c:pt>
                <c:pt idx="5">
                  <c:v>Trading</c:v>
                </c:pt>
                <c:pt idx="6">
                  <c:v>Actual</c:v>
                </c:pt>
              </c:strCache>
            </c:strRef>
          </c:cat>
          <c:val>
            <c:numRef>
              <c:f>'Chart Data'!$F$43:$F$49</c:f>
              <c:numCache>
                <c:formatCode>#,##0_);[Red]\(#,##0\)</c:formatCode>
                <c:ptCount val="7"/>
                <c:pt idx="0">
                  <c:v>2878222</c:v>
                </c:pt>
              </c:numCache>
            </c:numRef>
          </c:val>
        </c:ser>
        <c:dLbls>
          <c:showLegendKey val="0"/>
          <c:showVal val="0"/>
          <c:showCatName val="0"/>
          <c:showSerName val="0"/>
          <c:showPercent val="0"/>
          <c:showBubbleSize val="0"/>
        </c:dLbls>
        <c:gapWidth val="150"/>
        <c:overlap val="100"/>
        <c:axId val="107870848"/>
        <c:axId val="107884928"/>
      </c:barChart>
      <c:catAx>
        <c:axId val="10787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884928"/>
        <c:crossesAt val="0"/>
        <c:auto val="1"/>
        <c:lblAlgn val="ctr"/>
        <c:lblOffset val="100"/>
        <c:tickLblSkip val="1"/>
        <c:tickMarkSkip val="1"/>
        <c:noMultiLvlLbl val="0"/>
      </c:catAx>
      <c:valAx>
        <c:axId val="107884928"/>
        <c:scaling>
          <c:orientation val="minMax"/>
          <c:min val="5500000"/>
        </c:scaling>
        <c:delete val="0"/>
        <c:axPos val="l"/>
        <c:majorGridlines>
          <c:spPr>
            <a:ln w="3175">
              <a:solidFill>
                <a:srgbClr val="000000"/>
              </a:solidFill>
              <a:prstDash val="solid"/>
            </a:ln>
          </c:spPr>
        </c:majorGridlines>
        <c:numFmt formatCode="#,##0;[Red]\(#,##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07870848"/>
        <c:crosses val="autoZero"/>
        <c:crossBetween val="between"/>
        <c:dispUnits>
          <c:builtInUnit val="thousands"/>
          <c:dispUnitsLbl>
            <c:layout>
              <c:manualLayout>
                <c:xMode val="edge"/>
                <c:yMode val="edge"/>
                <c:x val="8.1037277147488068E-3"/>
                <c:y val="0.3145695364238425"/>
              </c:manualLayout>
            </c:layout>
            <c:spPr>
              <a:noFill/>
              <a:ln w="25400">
                <a:noFill/>
              </a:ln>
            </c:spPr>
            <c:txPr>
              <a:bodyPr rot="-5400000" vert="horz"/>
              <a:lstStyle/>
              <a:p>
                <a:pPr algn="ctr">
                  <a:defRPr sz="875" b="1" i="0" u="none" strike="noStrike" baseline="0">
                    <a:solidFill>
                      <a:srgbClr val="000000"/>
                    </a:solidFill>
                    <a:latin typeface="Arial"/>
                    <a:ea typeface="Arial"/>
                    <a:cs typeface="Arial"/>
                  </a:defRPr>
                </a:pPr>
                <a:endParaRPr lang="en-US"/>
              </a:p>
            </c:txPr>
          </c:dispUnitsLbl>
        </c:dispUnits>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oddFooter>&amp;CPage 13</c:oddFooter>
    </c:headerFooter>
    <c:pageMargins b="1" l="0.75000000000000322" r="0.750000000000003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Waterfall Year End Deficit 2016/17</a:t>
            </a:r>
          </a:p>
        </c:rich>
      </c:tx>
      <c:layout>
        <c:manualLayout>
          <c:xMode val="edge"/>
          <c:yMode val="edge"/>
          <c:x val="0.24299085044276048"/>
          <c:y val="3.741496598639462E-2"/>
        </c:manualLayout>
      </c:layout>
      <c:overlay val="0"/>
      <c:spPr>
        <a:noFill/>
        <a:ln w="25400">
          <a:noFill/>
        </a:ln>
      </c:spPr>
    </c:title>
    <c:autoTitleDeleted val="0"/>
    <c:plotArea>
      <c:layout>
        <c:manualLayout>
          <c:layoutTarget val="inner"/>
          <c:xMode val="edge"/>
          <c:yMode val="edge"/>
          <c:x val="0.12834890965732088"/>
          <c:y val="0.17346938775510365"/>
          <c:w val="0.84548286604361367"/>
          <c:h val="0.41294374230554648"/>
        </c:manualLayout>
      </c:layout>
      <c:barChart>
        <c:barDir val="col"/>
        <c:grouping val="stacked"/>
        <c:varyColors val="0"/>
        <c:ser>
          <c:idx val="0"/>
          <c:order val="0"/>
          <c:tx>
            <c:strRef>
              <c:f>'Chart Data'!$B$167:$B$168</c:f>
              <c:strCache>
                <c:ptCount val="1"/>
                <c:pt idx="0">
                  <c:v>Base</c:v>
                </c:pt>
              </c:strCache>
            </c:strRef>
          </c:tx>
          <c:spPr>
            <a:noFill/>
            <a:ln w="25400">
              <a:noFill/>
            </a:ln>
          </c:spPr>
          <c:invertIfNegative val="0"/>
          <c:cat>
            <c:strRef>
              <c:f>'Chart Data'!$A$169:$A$178</c:f>
              <c:strCache>
                <c:ptCount val="10"/>
                <c:pt idx="0">
                  <c:v>Plan</c:v>
                </c:pt>
                <c:pt idx="1">
                  <c:v>Pay</c:v>
                </c:pt>
                <c:pt idx="2">
                  <c:v>Income</c:v>
                </c:pt>
                <c:pt idx="3">
                  <c:v>Non-Pay</c:v>
                </c:pt>
                <c:pt idx="4">
                  <c:v>Disposal of Fixed Assets</c:v>
                </c:pt>
                <c:pt idx="5">
                  <c:v>Interest Pay</c:v>
                </c:pt>
                <c:pt idx="6">
                  <c:v>Interest Rec</c:v>
                </c:pt>
                <c:pt idx="7">
                  <c:v>Dep &amp; Impairments</c:v>
                </c:pt>
                <c:pt idx="8">
                  <c:v>PDC</c:v>
                </c:pt>
                <c:pt idx="9">
                  <c:v>Forecast</c:v>
                </c:pt>
              </c:strCache>
            </c:strRef>
          </c:cat>
          <c:val>
            <c:numRef>
              <c:f>'Chart Data'!$B$169:$B$178</c:f>
              <c:numCache>
                <c:formatCode>#,##0_);[Red]\(#,##0\)</c:formatCode>
                <c:ptCount val="10"/>
                <c:pt idx="1">
                  <c:v>15.570193000000188</c:v>
                </c:pt>
                <c:pt idx="2">
                  <c:v>13.415655000000072</c:v>
                </c:pt>
                <c:pt idx="3">
                  <c:v>13.415655000000072</c:v>
                </c:pt>
                <c:pt idx="4">
                  <c:v>15.781964000000022</c:v>
                </c:pt>
                <c:pt idx="5">
                  <c:v>15.751799000000021</c:v>
                </c:pt>
                <c:pt idx="6">
                  <c:v>15.751799000000021</c:v>
                </c:pt>
                <c:pt idx="7">
                  <c:v>15.570190000000025</c:v>
                </c:pt>
                <c:pt idx="8">
                  <c:v>15.570190000000025</c:v>
                </c:pt>
              </c:numCache>
            </c:numRef>
          </c:val>
        </c:ser>
        <c:ser>
          <c:idx val="1"/>
          <c:order val="1"/>
          <c:tx>
            <c:strRef>
              <c:f>'Chart Data'!$C$167:$C$168</c:f>
              <c:strCache>
                <c:ptCount val="1"/>
                <c:pt idx="0">
                  <c:v>End</c:v>
                </c:pt>
              </c:strCache>
            </c:strRef>
          </c:tx>
          <c:spPr>
            <a:solidFill>
              <a:srgbClr val="993366"/>
            </a:solidFill>
            <a:ln w="12700">
              <a:solidFill>
                <a:srgbClr val="000000"/>
              </a:solidFill>
              <a:prstDash val="solid"/>
            </a:ln>
          </c:spPr>
          <c:invertIfNegative val="0"/>
          <c:dPt>
            <c:idx val="8"/>
            <c:invertIfNegative val="0"/>
            <c:bubble3D val="0"/>
            <c:spPr>
              <a:solidFill>
                <a:srgbClr val="C0C0C0"/>
              </a:solidFill>
              <a:ln w="12700">
                <a:solidFill>
                  <a:srgbClr val="000000"/>
                </a:solidFill>
                <a:prstDash val="solid"/>
              </a:ln>
            </c:spPr>
          </c:dPt>
          <c:cat>
            <c:strRef>
              <c:f>'Chart Data'!$A$169:$A$178</c:f>
              <c:strCache>
                <c:ptCount val="10"/>
                <c:pt idx="0">
                  <c:v>Plan</c:v>
                </c:pt>
                <c:pt idx="1">
                  <c:v>Pay</c:v>
                </c:pt>
                <c:pt idx="2">
                  <c:v>Income</c:v>
                </c:pt>
                <c:pt idx="3">
                  <c:v>Non-Pay</c:v>
                </c:pt>
                <c:pt idx="4">
                  <c:v>Disposal of Fixed Assets</c:v>
                </c:pt>
                <c:pt idx="5">
                  <c:v>Interest Pay</c:v>
                </c:pt>
                <c:pt idx="6">
                  <c:v>Interest Rec</c:v>
                </c:pt>
                <c:pt idx="7">
                  <c:v>Dep &amp; Impairments</c:v>
                </c:pt>
                <c:pt idx="8">
                  <c:v>PDC</c:v>
                </c:pt>
                <c:pt idx="9">
                  <c:v>Forecast</c:v>
                </c:pt>
              </c:strCache>
            </c:strRef>
          </c:cat>
          <c:val>
            <c:numRef>
              <c:f>'Chart Data'!$C$169:$C$178</c:f>
              <c:numCache>
                <c:formatCode>#,##0_);[Red]\(#,##0\)</c:formatCode>
                <c:ptCount val="10"/>
                <c:pt idx="9">
                  <c:v>15.570190000000025</c:v>
                </c:pt>
              </c:numCache>
            </c:numRef>
          </c:val>
        </c:ser>
        <c:ser>
          <c:idx val="2"/>
          <c:order val="2"/>
          <c:tx>
            <c:strRef>
              <c:f>'Chart Data'!$D$167:$D$168</c:f>
              <c:strCache>
                <c:ptCount val="1"/>
                <c:pt idx="0">
                  <c:v>Down</c:v>
                </c:pt>
              </c:strCache>
            </c:strRef>
          </c:tx>
          <c:spPr>
            <a:solidFill>
              <a:srgbClr val="00B050"/>
            </a:solidFill>
            <a:ln w="12700">
              <a:solidFill>
                <a:srgbClr val="000000"/>
              </a:solidFill>
              <a:prstDash val="solid"/>
            </a:ln>
          </c:spPr>
          <c:invertIfNegative val="0"/>
          <c:cat>
            <c:strRef>
              <c:f>'Chart Data'!$A$169:$A$178</c:f>
              <c:strCache>
                <c:ptCount val="10"/>
                <c:pt idx="0">
                  <c:v>Plan</c:v>
                </c:pt>
                <c:pt idx="1">
                  <c:v>Pay</c:v>
                </c:pt>
                <c:pt idx="2">
                  <c:v>Income</c:v>
                </c:pt>
                <c:pt idx="3">
                  <c:v>Non-Pay</c:v>
                </c:pt>
                <c:pt idx="4">
                  <c:v>Disposal of Fixed Assets</c:v>
                </c:pt>
                <c:pt idx="5">
                  <c:v>Interest Pay</c:v>
                </c:pt>
                <c:pt idx="6">
                  <c:v>Interest Rec</c:v>
                </c:pt>
                <c:pt idx="7">
                  <c:v>Dep &amp; Impairments</c:v>
                </c:pt>
                <c:pt idx="8">
                  <c:v>PDC</c:v>
                </c:pt>
                <c:pt idx="9">
                  <c:v>Forecast</c:v>
                </c:pt>
              </c:strCache>
            </c:strRef>
          </c:cat>
          <c:val>
            <c:numRef>
              <c:f>'Chart Data'!$D$169:$D$178</c:f>
              <c:numCache>
                <c:formatCode>#,##0_);[Red]\(#,##0\)</c:formatCode>
                <c:ptCount val="10"/>
                <c:pt idx="1">
                  <c:v>0</c:v>
                </c:pt>
                <c:pt idx="2">
                  <c:v>2.2166910000001079</c:v>
                </c:pt>
                <c:pt idx="3">
                  <c:v>0</c:v>
                </c:pt>
                <c:pt idx="4">
                  <c:v>0</c:v>
                </c:pt>
                <c:pt idx="5">
                  <c:v>3.0164999999999963E-2</c:v>
                </c:pt>
                <c:pt idx="6">
                  <c:v>0</c:v>
                </c:pt>
                <c:pt idx="7">
                  <c:v>0.18212799999999699</c:v>
                </c:pt>
                <c:pt idx="8">
                  <c:v>0</c:v>
                </c:pt>
                <c:pt idx="9">
                  <c:v>0</c:v>
                </c:pt>
              </c:numCache>
            </c:numRef>
          </c:val>
        </c:ser>
        <c:ser>
          <c:idx val="3"/>
          <c:order val="3"/>
          <c:tx>
            <c:strRef>
              <c:f>'Chart Data'!$E$167:$E$168</c:f>
              <c:strCache>
                <c:ptCount val="1"/>
                <c:pt idx="0">
                  <c:v>Up</c:v>
                </c:pt>
              </c:strCache>
            </c:strRef>
          </c:tx>
          <c:spPr>
            <a:solidFill>
              <a:srgbClr val="FF0000"/>
            </a:solidFill>
            <a:ln w="12700">
              <a:solidFill>
                <a:srgbClr val="000000"/>
              </a:solidFill>
              <a:prstDash val="solid"/>
            </a:ln>
          </c:spPr>
          <c:invertIfNegative val="0"/>
          <c:cat>
            <c:strRef>
              <c:f>'Chart Data'!$A$169:$A$178</c:f>
              <c:strCache>
                <c:ptCount val="10"/>
                <c:pt idx="0">
                  <c:v>Plan</c:v>
                </c:pt>
                <c:pt idx="1">
                  <c:v>Pay</c:v>
                </c:pt>
                <c:pt idx="2">
                  <c:v>Income</c:v>
                </c:pt>
                <c:pt idx="3">
                  <c:v>Non-Pay</c:v>
                </c:pt>
                <c:pt idx="4">
                  <c:v>Disposal of Fixed Assets</c:v>
                </c:pt>
                <c:pt idx="5">
                  <c:v>Interest Pay</c:v>
                </c:pt>
                <c:pt idx="6">
                  <c:v>Interest Rec</c:v>
                </c:pt>
                <c:pt idx="7">
                  <c:v>Dep &amp; Impairments</c:v>
                </c:pt>
                <c:pt idx="8">
                  <c:v>PDC</c:v>
                </c:pt>
                <c:pt idx="9">
                  <c:v>Forecast</c:v>
                </c:pt>
              </c:strCache>
            </c:strRef>
          </c:cat>
          <c:val>
            <c:numRef>
              <c:f>'Chart Data'!$E$169:$E$178</c:f>
              <c:numCache>
                <c:formatCode>#,##0_);[Red]\(#,##0\)</c:formatCode>
                <c:ptCount val="10"/>
                <c:pt idx="1">
                  <c:v>6.2152999999991153E-2</c:v>
                </c:pt>
                <c:pt idx="2">
                  <c:v>0</c:v>
                </c:pt>
                <c:pt idx="3">
                  <c:v>2.36630899999995</c:v>
                </c:pt>
                <c:pt idx="4">
                  <c:v>0</c:v>
                </c:pt>
                <c:pt idx="5">
                  <c:v>0</c:v>
                </c:pt>
                <c:pt idx="6">
                  <c:v>5.189999999999983E-4</c:v>
                </c:pt>
                <c:pt idx="7">
                  <c:v>0</c:v>
                </c:pt>
                <c:pt idx="8">
                  <c:v>0</c:v>
                </c:pt>
              </c:numCache>
            </c:numRef>
          </c:val>
        </c:ser>
        <c:ser>
          <c:idx val="4"/>
          <c:order val="4"/>
          <c:tx>
            <c:strRef>
              <c:f>'Chart Data'!$F$167:$F$168</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Data'!$A$169:$A$178</c:f>
              <c:strCache>
                <c:ptCount val="10"/>
                <c:pt idx="0">
                  <c:v>Plan</c:v>
                </c:pt>
                <c:pt idx="1">
                  <c:v>Pay</c:v>
                </c:pt>
                <c:pt idx="2">
                  <c:v>Income</c:v>
                </c:pt>
                <c:pt idx="3">
                  <c:v>Non-Pay</c:v>
                </c:pt>
                <c:pt idx="4">
                  <c:v>Disposal of Fixed Assets</c:v>
                </c:pt>
                <c:pt idx="5">
                  <c:v>Interest Pay</c:v>
                </c:pt>
                <c:pt idx="6">
                  <c:v>Interest Rec</c:v>
                </c:pt>
                <c:pt idx="7">
                  <c:v>Dep &amp; Impairments</c:v>
                </c:pt>
                <c:pt idx="8">
                  <c:v>PDC</c:v>
                </c:pt>
                <c:pt idx="9">
                  <c:v>Forecast</c:v>
                </c:pt>
              </c:strCache>
            </c:strRef>
          </c:cat>
          <c:val>
            <c:numRef>
              <c:f>'Chart Data'!$F$169:$F$178</c:f>
              <c:numCache>
                <c:formatCode>#,##0_);[Red]\(#,##0\)</c:formatCode>
                <c:ptCount val="10"/>
                <c:pt idx="0">
                  <c:v>15.570193000000188</c:v>
                </c:pt>
              </c:numCache>
            </c:numRef>
          </c:val>
        </c:ser>
        <c:dLbls>
          <c:showLegendKey val="0"/>
          <c:showVal val="0"/>
          <c:showCatName val="0"/>
          <c:showSerName val="0"/>
          <c:showPercent val="0"/>
          <c:showBubbleSize val="0"/>
        </c:dLbls>
        <c:gapWidth val="150"/>
        <c:overlap val="100"/>
        <c:axId val="105853696"/>
        <c:axId val="105855232"/>
      </c:barChart>
      <c:catAx>
        <c:axId val="105853696"/>
        <c:scaling>
          <c:orientation val="minMax"/>
        </c:scaling>
        <c:delete val="0"/>
        <c:axPos val="b"/>
        <c:numFmt formatCode="General" sourceLinked="1"/>
        <c:majorTickMark val="out"/>
        <c:minorTickMark val="none"/>
        <c:tickLblPos val="low"/>
        <c:spPr>
          <a:ln w="3175">
            <a:solidFill>
              <a:srgbClr val="000000"/>
            </a:solidFill>
            <a:prstDash val="solid"/>
          </a:ln>
        </c:spPr>
        <c:txPr>
          <a:bodyPr rot="-2640000" vert="horz"/>
          <a:lstStyle/>
          <a:p>
            <a:pPr>
              <a:defRPr sz="850" b="0" i="0" u="none" strike="noStrike" baseline="0">
                <a:solidFill>
                  <a:srgbClr val="000000"/>
                </a:solidFill>
                <a:latin typeface="Arial"/>
                <a:ea typeface="Arial"/>
                <a:cs typeface="Arial"/>
              </a:defRPr>
            </a:pPr>
            <a:endParaRPr lang="en-US"/>
          </a:p>
        </c:txPr>
        <c:crossAx val="105855232"/>
        <c:crosses val="autoZero"/>
        <c:auto val="1"/>
        <c:lblAlgn val="ctr"/>
        <c:lblOffset val="100"/>
        <c:tickLblSkip val="1"/>
        <c:tickMarkSkip val="1"/>
        <c:noMultiLvlLbl val="0"/>
      </c:catAx>
      <c:valAx>
        <c:axId val="105855232"/>
        <c:scaling>
          <c:orientation val="minMax"/>
          <c:min val="13"/>
        </c:scaling>
        <c:delete val="0"/>
        <c:axPos val="l"/>
        <c:majorGridlines>
          <c:spPr>
            <a:ln w="3175">
              <a:solidFill>
                <a:srgbClr val="000000"/>
              </a:solidFill>
              <a:prstDash val="solid"/>
            </a:ln>
          </c:spPr>
        </c:majorGridlines>
        <c:title>
          <c:tx>
            <c:rich>
              <a:bodyPr rot="-5400000" vert="horz"/>
              <a:lstStyle/>
              <a:p>
                <a:pPr>
                  <a:defRPr/>
                </a:pPr>
                <a:r>
                  <a:rPr lang="en-US" b="1"/>
                  <a:t>£m</a:t>
                </a:r>
              </a:p>
            </c:rich>
          </c:tx>
          <c:overlay val="0"/>
        </c:title>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05853696"/>
        <c:crosses val="autoZero"/>
        <c:crossBetween val="between"/>
        <c:majorUnit val="1"/>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GB" sz="1075" b="1" i="0" u="none" strike="noStrike" baseline="0">
                <a:solidFill>
                  <a:srgbClr val="000000"/>
                </a:solidFill>
                <a:latin typeface="Arial"/>
                <a:cs typeface="Arial"/>
              </a:rPr>
              <a:t>Medicine  </a:t>
            </a:r>
            <a:r>
              <a:rPr lang="en-GB" sz="1100" b="1" i="0" u="none" strike="noStrike" baseline="0">
                <a:solidFill>
                  <a:srgbClr val="000000"/>
                </a:solidFill>
                <a:latin typeface="Arial"/>
                <a:cs typeface="Arial"/>
              </a:rPr>
              <a:t>Waterfall</a:t>
            </a:r>
            <a:r>
              <a:rPr lang="en-GB" sz="1075" b="1" i="0" u="none" strike="noStrike" baseline="0">
                <a:solidFill>
                  <a:srgbClr val="000000"/>
                </a:solidFill>
                <a:latin typeface="Arial"/>
                <a:cs typeface="Arial"/>
              </a:rPr>
              <a:t> YTD 2013/14</a:t>
            </a:r>
          </a:p>
        </c:rich>
      </c:tx>
      <c:layout>
        <c:manualLayout>
          <c:xMode val="edge"/>
          <c:yMode val="edge"/>
          <c:x val="0.31707370180013711"/>
          <c:y val="3.5031772344246495E-2"/>
        </c:manualLayout>
      </c:layout>
      <c:overlay val="0"/>
      <c:spPr>
        <a:noFill/>
        <a:ln w="25400">
          <a:noFill/>
        </a:ln>
      </c:spPr>
    </c:title>
    <c:autoTitleDeleted val="0"/>
    <c:plotArea>
      <c:layout>
        <c:manualLayout>
          <c:layoutTarget val="inner"/>
          <c:xMode val="edge"/>
          <c:yMode val="edge"/>
          <c:x val="0.12379430939942146"/>
          <c:y val="0.12131147540983607"/>
          <c:w val="0.85369841936484836"/>
          <c:h val="0.7038251366120265"/>
        </c:manualLayout>
      </c:layout>
      <c:barChart>
        <c:barDir val="col"/>
        <c:grouping val="stacked"/>
        <c:varyColors val="0"/>
        <c:ser>
          <c:idx val="0"/>
          <c:order val="0"/>
          <c:tx>
            <c:strRef>
              <c:f>'Chart Data'!$B$56:$B$57</c:f>
              <c:strCache>
                <c:ptCount val="1"/>
                <c:pt idx="0">
                  <c:v>Base</c:v>
                </c:pt>
              </c:strCache>
            </c:strRef>
          </c:tx>
          <c:spPr>
            <a:noFill/>
            <a:ln w="25400">
              <a:noFill/>
            </a:ln>
          </c:spPr>
          <c:invertIfNegative val="0"/>
          <c:cat>
            <c:strRef>
              <c:f>'Chart Data'!$A$58:$A$64</c:f>
              <c:strCache>
                <c:ptCount val="7"/>
                <c:pt idx="0">
                  <c:v>Plan</c:v>
                </c:pt>
                <c:pt idx="1">
                  <c:v>Income</c:v>
                </c:pt>
                <c:pt idx="2">
                  <c:v>Pay</c:v>
                </c:pt>
                <c:pt idx="3">
                  <c:v>Non Pay</c:v>
                </c:pt>
                <c:pt idx="4">
                  <c:v>Unallocated Savings Plans</c:v>
                </c:pt>
                <c:pt idx="5">
                  <c:v>Trading</c:v>
                </c:pt>
                <c:pt idx="6">
                  <c:v>Actual</c:v>
                </c:pt>
              </c:strCache>
            </c:strRef>
          </c:cat>
          <c:val>
            <c:numRef>
              <c:f>'Chart Data'!$B$58:$B$64</c:f>
              <c:numCache>
                <c:formatCode>#,##0_);[Red]\(#,##0\)</c:formatCode>
                <c:ptCount val="7"/>
                <c:pt idx="1">
                  <c:v>468341</c:v>
                </c:pt>
                <c:pt idx="2">
                  <c:v>322998</c:v>
                </c:pt>
                <c:pt idx="3">
                  <c:v>187334</c:v>
                </c:pt>
                <c:pt idx="4">
                  <c:v>187334</c:v>
                </c:pt>
                <c:pt idx="5">
                  <c:v>24424</c:v>
                </c:pt>
              </c:numCache>
            </c:numRef>
          </c:val>
        </c:ser>
        <c:ser>
          <c:idx val="1"/>
          <c:order val="1"/>
          <c:tx>
            <c:strRef>
              <c:f>'Chart Data'!$C$56:$C$57</c:f>
              <c:strCache>
                <c:ptCount val="1"/>
                <c:pt idx="0">
                  <c:v>End</c:v>
                </c:pt>
              </c:strCache>
            </c:strRef>
          </c:tx>
          <c:spPr>
            <a:solidFill>
              <a:srgbClr val="C0C0C0"/>
            </a:solidFill>
            <a:ln w="12700">
              <a:solidFill>
                <a:srgbClr val="000000"/>
              </a:solidFill>
              <a:prstDash val="solid"/>
            </a:ln>
          </c:spPr>
          <c:invertIfNegative val="0"/>
          <c:cat>
            <c:strRef>
              <c:f>'Chart Data'!$A$58:$A$64</c:f>
              <c:strCache>
                <c:ptCount val="7"/>
                <c:pt idx="0">
                  <c:v>Plan</c:v>
                </c:pt>
                <c:pt idx="1">
                  <c:v>Income</c:v>
                </c:pt>
                <c:pt idx="2">
                  <c:v>Pay</c:v>
                </c:pt>
                <c:pt idx="3">
                  <c:v>Non Pay</c:v>
                </c:pt>
                <c:pt idx="4">
                  <c:v>Unallocated Savings Plans</c:v>
                </c:pt>
                <c:pt idx="5">
                  <c:v>Trading</c:v>
                </c:pt>
                <c:pt idx="6">
                  <c:v>Actual</c:v>
                </c:pt>
              </c:strCache>
            </c:strRef>
          </c:cat>
          <c:val>
            <c:numRef>
              <c:f>'Chart Data'!$C$58:$C$64</c:f>
              <c:numCache>
                <c:formatCode>#,##0_);[Red]\(#,##0\)</c:formatCode>
                <c:ptCount val="7"/>
                <c:pt idx="6">
                  <c:v>24424</c:v>
                </c:pt>
              </c:numCache>
            </c:numRef>
          </c:val>
        </c:ser>
        <c:ser>
          <c:idx val="2"/>
          <c:order val="2"/>
          <c:tx>
            <c:strRef>
              <c:f>'Chart Data'!$D$56:$D$57</c:f>
              <c:strCache>
                <c:ptCount val="1"/>
                <c:pt idx="0">
                  <c:v>Down</c:v>
                </c:pt>
              </c:strCache>
            </c:strRef>
          </c:tx>
          <c:spPr>
            <a:solidFill>
              <a:srgbClr val="FF0000"/>
            </a:solidFill>
            <a:ln w="12700">
              <a:solidFill>
                <a:srgbClr val="000000"/>
              </a:solidFill>
              <a:prstDash val="solid"/>
            </a:ln>
          </c:spPr>
          <c:invertIfNegative val="0"/>
          <c:cat>
            <c:strRef>
              <c:f>'Chart Data'!$A$58:$A$64</c:f>
              <c:strCache>
                <c:ptCount val="7"/>
                <c:pt idx="0">
                  <c:v>Plan</c:v>
                </c:pt>
                <c:pt idx="1">
                  <c:v>Income</c:v>
                </c:pt>
                <c:pt idx="2">
                  <c:v>Pay</c:v>
                </c:pt>
                <c:pt idx="3">
                  <c:v>Non Pay</c:v>
                </c:pt>
                <c:pt idx="4">
                  <c:v>Unallocated Savings Plans</c:v>
                </c:pt>
                <c:pt idx="5">
                  <c:v>Trading</c:v>
                </c:pt>
                <c:pt idx="6">
                  <c:v>Actual</c:v>
                </c:pt>
              </c:strCache>
            </c:strRef>
          </c:cat>
          <c:val>
            <c:numRef>
              <c:f>'Chart Data'!$D$58:$D$64</c:f>
              <c:numCache>
                <c:formatCode>#,##0_);[Red]\(#,##0\)</c:formatCode>
                <c:ptCount val="7"/>
                <c:pt idx="1">
                  <c:v>275581</c:v>
                </c:pt>
                <c:pt idx="2">
                  <c:v>145343</c:v>
                </c:pt>
                <c:pt idx="3">
                  <c:v>135664</c:v>
                </c:pt>
                <c:pt idx="4">
                  <c:v>0</c:v>
                </c:pt>
                <c:pt idx="5">
                  <c:v>162910</c:v>
                </c:pt>
              </c:numCache>
            </c:numRef>
          </c:val>
        </c:ser>
        <c:ser>
          <c:idx val="3"/>
          <c:order val="3"/>
          <c:tx>
            <c:strRef>
              <c:f>'Chart Data'!$E$56:$E$57</c:f>
              <c:strCache>
                <c:ptCount val="1"/>
                <c:pt idx="0">
                  <c:v>Up</c:v>
                </c:pt>
              </c:strCache>
            </c:strRef>
          </c:tx>
          <c:spPr>
            <a:solidFill>
              <a:srgbClr val="339966"/>
            </a:solidFill>
            <a:ln w="12700">
              <a:solidFill>
                <a:srgbClr val="000000"/>
              </a:solidFill>
              <a:prstDash val="solid"/>
            </a:ln>
          </c:spPr>
          <c:invertIfNegative val="0"/>
          <c:cat>
            <c:strRef>
              <c:f>'Chart Data'!$A$58:$A$64</c:f>
              <c:strCache>
                <c:ptCount val="7"/>
                <c:pt idx="0">
                  <c:v>Plan</c:v>
                </c:pt>
                <c:pt idx="1">
                  <c:v>Income</c:v>
                </c:pt>
                <c:pt idx="2">
                  <c:v>Pay</c:v>
                </c:pt>
                <c:pt idx="3">
                  <c:v>Non Pay</c:v>
                </c:pt>
                <c:pt idx="4">
                  <c:v>Unallocated Savings Plans</c:v>
                </c:pt>
                <c:pt idx="5">
                  <c:v>Trading</c:v>
                </c:pt>
                <c:pt idx="6">
                  <c:v>Actual</c:v>
                </c:pt>
              </c:strCache>
            </c:strRef>
          </c:cat>
          <c:val>
            <c:numRef>
              <c:f>'Chart Data'!$E$58:$E$64</c:f>
              <c:numCache>
                <c:formatCode>#,##0_);[Red]\(#,##0\)</c:formatCode>
                <c:ptCount val="7"/>
                <c:pt idx="1">
                  <c:v>0</c:v>
                </c:pt>
                <c:pt idx="2">
                  <c:v>0</c:v>
                </c:pt>
                <c:pt idx="3">
                  <c:v>0</c:v>
                </c:pt>
                <c:pt idx="4">
                  <c:v>0</c:v>
                </c:pt>
                <c:pt idx="5">
                  <c:v>0</c:v>
                </c:pt>
              </c:numCache>
            </c:numRef>
          </c:val>
        </c:ser>
        <c:ser>
          <c:idx val="4"/>
          <c:order val="4"/>
          <c:tx>
            <c:strRef>
              <c:f>'Chart Data'!$F$56:$F$57</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Data'!$A$58:$A$64</c:f>
              <c:strCache>
                <c:ptCount val="7"/>
                <c:pt idx="0">
                  <c:v>Plan</c:v>
                </c:pt>
                <c:pt idx="1">
                  <c:v>Income</c:v>
                </c:pt>
                <c:pt idx="2">
                  <c:v>Pay</c:v>
                </c:pt>
                <c:pt idx="3">
                  <c:v>Non Pay</c:v>
                </c:pt>
                <c:pt idx="4">
                  <c:v>Unallocated Savings Plans</c:v>
                </c:pt>
                <c:pt idx="5">
                  <c:v>Trading</c:v>
                </c:pt>
                <c:pt idx="6">
                  <c:v>Actual</c:v>
                </c:pt>
              </c:strCache>
            </c:strRef>
          </c:cat>
          <c:val>
            <c:numRef>
              <c:f>'Chart Data'!$F$58:$F$64</c:f>
              <c:numCache>
                <c:formatCode>#,##0_);[Red]\(#,##0\)</c:formatCode>
                <c:ptCount val="7"/>
                <c:pt idx="0">
                  <c:v>743922</c:v>
                </c:pt>
              </c:numCache>
            </c:numRef>
          </c:val>
        </c:ser>
        <c:dLbls>
          <c:showLegendKey val="0"/>
          <c:showVal val="0"/>
          <c:showCatName val="0"/>
          <c:showSerName val="0"/>
          <c:showPercent val="0"/>
          <c:showBubbleSize val="0"/>
        </c:dLbls>
        <c:gapWidth val="150"/>
        <c:overlap val="100"/>
        <c:axId val="107921408"/>
        <c:axId val="107922944"/>
      </c:barChart>
      <c:catAx>
        <c:axId val="10792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922944"/>
        <c:crosses val="autoZero"/>
        <c:auto val="1"/>
        <c:lblAlgn val="ctr"/>
        <c:lblOffset val="100"/>
        <c:tickLblSkip val="1"/>
        <c:tickMarkSkip val="1"/>
        <c:noMultiLvlLbl val="0"/>
      </c:catAx>
      <c:valAx>
        <c:axId val="107922944"/>
        <c:scaling>
          <c:orientation val="minMax"/>
          <c:min val="2750000"/>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7921408"/>
        <c:crosses val="autoZero"/>
        <c:crossBetween val="between"/>
        <c:dispUnits>
          <c:builtInUnit val="thousands"/>
          <c:dispUnitsLbl>
            <c:layout>
              <c:manualLayout>
                <c:xMode val="edge"/>
                <c:yMode val="edge"/>
                <c:x val="1.1254028127220131E-2"/>
                <c:y val="0.32894789677332331"/>
              </c:manualLayout>
            </c:layout>
            <c:spPr>
              <a:noFill/>
              <a:ln w="25400">
                <a:noFill/>
              </a:ln>
            </c:spPr>
            <c:txPr>
              <a:bodyPr rot="-5400000" vert="horz"/>
              <a:lstStyle/>
              <a:p>
                <a:pPr algn="ctr">
                  <a:defRPr sz="900" b="1" i="0" u="none" strike="noStrike" baseline="0">
                    <a:solidFill>
                      <a:srgbClr val="000000"/>
                    </a:solidFill>
                    <a:latin typeface="Arial"/>
                    <a:ea typeface="Arial"/>
                    <a:cs typeface="Arial"/>
                  </a:defRPr>
                </a:pPr>
                <a:endParaRPr lang="en-US"/>
              </a:p>
            </c:txPr>
          </c:dispUnitsLbl>
        </c:dispUnits>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Specialist  Waterfall YTD 2013/14</a:t>
            </a:r>
          </a:p>
        </c:rich>
      </c:tx>
      <c:layout>
        <c:manualLayout>
          <c:xMode val="edge"/>
          <c:yMode val="edge"/>
          <c:x val="0.31068016011774957"/>
          <c:y val="3.3742592130734786E-2"/>
        </c:manualLayout>
      </c:layout>
      <c:overlay val="0"/>
      <c:spPr>
        <a:noFill/>
        <a:ln w="25400">
          <a:noFill/>
        </a:ln>
      </c:spPr>
    </c:title>
    <c:autoTitleDeleted val="0"/>
    <c:plotArea>
      <c:layout>
        <c:manualLayout>
          <c:layoutTarget val="inner"/>
          <c:xMode val="edge"/>
          <c:yMode val="edge"/>
          <c:x val="0.13036324638260371"/>
          <c:y val="0.13879781420765028"/>
          <c:w val="0.84653601764905895"/>
          <c:h val="0.68961748633880182"/>
        </c:manualLayout>
      </c:layout>
      <c:barChart>
        <c:barDir val="col"/>
        <c:grouping val="stacked"/>
        <c:varyColors val="0"/>
        <c:ser>
          <c:idx val="0"/>
          <c:order val="0"/>
          <c:tx>
            <c:strRef>
              <c:f>'Chart Data'!$B$71:$B$72</c:f>
              <c:strCache>
                <c:ptCount val="1"/>
                <c:pt idx="0">
                  <c:v>Base</c:v>
                </c:pt>
              </c:strCache>
            </c:strRef>
          </c:tx>
          <c:spPr>
            <a:noFill/>
            <a:ln w="25400">
              <a:noFill/>
            </a:ln>
          </c:spPr>
          <c:invertIfNegative val="0"/>
          <c:cat>
            <c:strRef>
              <c:f>'Chart Data'!$A$73:$A$79</c:f>
              <c:strCache>
                <c:ptCount val="7"/>
                <c:pt idx="0">
                  <c:v>Plan</c:v>
                </c:pt>
                <c:pt idx="1">
                  <c:v>Income</c:v>
                </c:pt>
                <c:pt idx="2">
                  <c:v>Pay</c:v>
                </c:pt>
                <c:pt idx="3">
                  <c:v>Non Pay</c:v>
                </c:pt>
                <c:pt idx="4">
                  <c:v>Unallocated Savings Plans</c:v>
                </c:pt>
                <c:pt idx="5">
                  <c:v>Trading</c:v>
                </c:pt>
                <c:pt idx="6">
                  <c:v>Actual</c:v>
                </c:pt>
              </c:strCache>
            </c:strRef>
          </c:cat>
          <c:val>
            <c:numRef>
              <c:f>'Chart Data'!$B$73:$B$79</c:f>
              <c:numCache>
                <c:formatCode>#,##0_);[Red]\(#,##0\)</c:formatCode>
                <c:ptCount val="7"/>
                <c:pt idx="1">
                  <c:v>4985850</c:v>
                </c:pt>
                <c:pt idx="2">
                  <c:v>4985850</c:v>
                </c:pt>
                <c:pt idx="3">
                  <c:v>4836221</c:v>
                </c:pt>
                <c:pt idx="4">
                  <c:v>4836221</c:v>
                </c:pt>
                <c:pt idx="5">
                  <c:v>4836221</c:v>
                </c:pt>
              </c:numCache>
            </c:numRef>
          </c:val>
        </c:ser>
        <c:ser>
          <c:idx val="1"/>
          <c:order val="1"/>
          <c:tx>
            <c:strRef>
              <c:f>'Chart Data'!$C$71:$C$72</c:f>
              <c:strCache>
                <c:ptCount val="1"/>
                <c:pt idx="0">
                  <c:v>End</c:v>
                </c:pt>
              </c:strCache>
            </c:strRef>
          </c:tx>
          <c:spPr>
            <a:solidFill>
              <a:srgbClr val="C0C0C0"/>
            </a:solidFill>
            <a:ln w="12700">
              <a:solidFill>
                <a:srgbClr val="000000"/>
              </a:solidFill>
              <a:prstDash val="solid"/>
            </a:ln>
          </c:spPr>
          <c:invertIfNegative val="0"/>
          <c:cat>
            <c:strRef>
              <c:f>'Chart Data'!$A$73:$A$79</c:f>
              <c:strCache>
                <c:ptCount val="7"/>
                <c:pt idx="0">
                  <c:v>Plan</c:v>
                </c:pt>
                <c:pt idx="1">
                  <c:v>Income</c:v>
                </c:pt>
                <c:pt idx="2">
                  <c:v>Pay</c:v>
                </c:pt>
                <c:pt idx="3">
                  <c:v>Non Pay</c:v>
                </c:pt>
                <c:pt idx="4">
                  <c:v>Unallocated Savings Plans</c:v>
                </c:pt>
                <c:pt idx="5">
                  <c:v>Trading</c:v>
                </c:pt>
                <c:pt idx="6">
                  <c:v>Actual</c:v>
                </c:pt>
              </c:strCache>
            </c:strRef>
          </c:cat>
          <c:val>
            <c:numRef>
              <c:f>'Chart Data'!$C$73:$C$79</c:f>
              <c:numCache>
                <c:formatCode>#,##0_);[Red]\(#,##0\)</c:formatCode>
                <c:ptCount val="7"/>
                <c:pt idx="6">
                  <c:v>5011824</c:v>
                </c:pt>
              </c:numCache>
            </c:numRef>
          </c:val>
        </c:ser>
        <c:ser>
          <c:idx val="2"/>
          <c:order val="2"/>
          <c:tx>
            <c:strRef>
              <c:f>'Chart Data'!$D$71:$D$72</c:f>
              <c:strCache>
                <c:ptCount val="1"/>
                <c:pt idx="0">
                  <c:v>Down</c:v>
                </c:pt>
              </c:strCache>
            </c:strRef>
          </c:tx>
          <c:spPr>
            <a:solidFill>
              <a:srgbClr val="FF0000"/>
            </a:solidFill>
            <a:ln w="12700">
              <a:solidFill>
                <a:srgbClr val="000000"/>
              </a:solidFill>
              <a:prstDash val="solid"/>
            </a:ln>
          </c:spPr>
          <c:invertIfNegative val="0"/>
          <c:cat>
            <c:strRef>
              <c:f>'Chart Data'!$A$73:$A$79</c:f>
              <c:strCache>
                <c:ptCount val="7"/>
                <c:pt idx="0">
                  <c:v>Plan</c:v>
                </c:pt>
                <c:pt idx="1">
                  <c:v>Income</c:v>
                </c:pt>
                <c:pt idx="2">
                  <c:v>Pay</c:v>
                </c:pt>
                <c:pt idx="3">
                  <c:v>Non Pay</c:v>
                </c:pt>
                <c:pt idx="4">
                  <c:v>Unallocated Savings Plans</c:v>
                </c:pt>
                <c:pt idx="5">
                  <c:v>Trading</c:v>
                </c:pt>
                <c:pt idx="6">
                  <c:v>Actual</c:v>
                </c:pt>
              </c:strCache>
            </c:strRef>
          </c:cat>
          <c:val>
            <c:numRef>
              <c:f>'Chart Data'!$D$73:$D$79</c:f>
              <c:numCache>
                <c:formatCode>#,##0_);[Red]\(#,##0\)</c:formatCode>
                <c:ptCount val="7"/>
                <c:pt idx="1">
                  <c:v>1797609</c:v>
                </c:pt>
                <c:pt idx="2">
                  <c:v>0</c:v>
                </c:pt>
                <c:pt idx="3">
                  <c:v>348218</c:v>
                </c:pt>
                <c:pt idx="4">
                  <c:v>0</c:v>
                </c:pt>
                <c:pt idx="5">
                  <c:v>0</c:v>
                </c:pt>
              </c:numCache>
            </c:numRef>
          </c:val>
        </c:ser>
        <c:ser>
          <c:idx val="3"/>
          <c:order val="3"/>
          <c:tx>
            <c:strRef>
              <c:f>'Chart Data'!$E$71:$E$72</c:f>
              <c:strCache>
                <c:ptCount val="1"/>
                <c:pt idx="0">
                  <c:v>Up</c:v>
                </c:pt>
              </c:strCache>
            </c:strRef>
          </c:tx>
          <c:spPr>
            <a:solidFill>
              <a:srgbClr val="339966"/>
            </a:solidFill>
            <a:ln w="12700">
              <a:solidFill>
                <a:srgbClr val="000000"/>
              </a:solidFill>
              <a:prstDash val="solid"/>
            </a:ln>
          </c:spPr>
          <c:invertIfNegative val="0"/>
          <c:cat>
            <c:strRef>
              <c:f>'Chart Data'!$A$73:$A$79</c:f>
              <c:strCache>
                <c:ptCount val="7"/>
                <c:pt idx="0">
                  <c:v>Plan</c:v>
                </c:pt>
                <c:pt idx="1">
                  <c:v>Income</c:v>
                </c:pt>
                <c:pt idx="2">
                  <c:v>Pay</c:v>
                </c:pt>
                <c:pt idx="3">
                  <c:v>Non Pay</c:v>
                </c:pt>
                <c:pt idx="4">
                  <c:v>Unallocated Savings Plans</c:v>
                </c:pt>
                <c:pt idx="5">
                  <c:v>Trading</c:v>
                </c:pt>
                <c:pt idx="6">
                  <c:v>Actual</c:v>
                </c:pt>
              </c:strCache>
            </c:strRef>
          </c:cat>
          <c:val>
            <c:numRef>
              <c:f>'Chart Data'!$E$73:$E$79</c:f>
              <c:numCache>
                <c:formatCode>#,##0_);[Red]\(#,##0\)</c:formatCode>
                <c:ptCount val="7"/>
                <c:pt idx="1">
                  <c:v>0</c:v>
                </c:pt>
                <c:pt idx="2">
                  <c:v>198589</c:v>
                </c:pt>
                <c:pt idx="3">
                  <c:v>0</c:v>
                </c:pt>
                <c:pt idx="4">
                  <c:v>0</c:v>
                </c:pt>
                <c:pt idx="5">
                  <c:v>175603</c:v>
                </c:pt>
              </c:numCache>
            </c:numRef>
          </c:val>
        </c:ser>
        <c:ser>
          <c:idx val="4"/>
          <c:order val="4"/>
          <c:tx>
            <c:strRef>
              <c:f>'Chart Data'!$F$71:$F$72</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Data'!$A$73:$A$79</c:f>
              <c:strCache>
                <c:ptCount val="7"/>
                <c:pt idx="0">
                  <c:v>Plan</c:v>
                </c:pt>
                <c:pt idx="1">
                  <c:v>Income</c:v>
                </c:pt>
                <c:pt idx="2">
                  <c:v>Pay</c:v>
                </c:pt>
                <c:pt idx="3">
                  <c:v>Non Pay</c:v>
                </c:pt>
                <c:pt idx="4">
                  <c:v>Unallocated Savings Plans</c:v>
                </c:pt>
                <c:pt idx="5">
                  <c:v>Trading</c:v>
                </c:pt>
                <c:pt idx="6">
                  <c:v>Actual</c:v>
                </c:pt>
              </c:strCache>
            </c:strRef>
          </c:cat>
          <c:val>
            <c:numRef>
              <c:f>'Chart Data'!$F$73:$F$79</c:f>
              <c:numCache>
                <c:formatCode>#,##0_);[Red]\(#,##0\)</c:formatCode>
                <c:ptCount val="7"/>
                <c:pt idx="0">
                  <c:v>6783459</c:v>
                </c:pt>
              </c:numCache>
            </c:numRef>
          </c:val>
        </c:ser>
        <c:dLbls>
          <c:showLegendKey val="0"/>
          <c:showVal val="0"/>
          <c:showCatName val="0"/>
          <c:showSerName val="0"/>
          <c:showPercent val="0"/>
          <c:showBubbleSize val="0"/>
        </c:dLbls>
        <c:gapWidth val="150"/>
        <c:overlap val="100"/>
        <c:axId val="108065920"/>
        <c:axId val="108067456"/>
      </c:barChart>
      <c:catAx>
        <c:axId val="10806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067456"/>
        <c:crosses val="autoZero"/>
        <c:auto val="1"/>
        <c:lblAlgn val="ctr"/>
        <c:lblOffset val="100"/>
        <c:tickLblSkip val="1"/>
        <c:tickMarkSkip val="1"/>
        <c:noMultiLvlLbl val="0"/>
      </c:catAx>
      <c:valAx>
        <c:axId val="108067456"/>
        <c:scaling>
          <c:orientation val="minMax"/>
          <c:min val="20000000"/>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8065920"/>
        <c:crosses val="autoZero"/>
        <c:crossBetween val="between"/>
        <c:dispUnits>
          <c:builtInUnit val="thousands"/>
          <c:dispUnitsLbl>
            <c:layout>
              <c:manualLayout>
                <c:xMode val="edge"/>
                <c:yMode val="edge"/>
                <c:x val="8.2508383786458247E-3"/>
                <c:y val="0.32579185520361992"/>
              </c:manualLayout>
            </c:layout>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ispUnitsLbl>
        </c:dispUnits>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n-GB" sz="1125" b="1" i="0" u="none" strike="noStrike" baseline="0">
                <a:solidFill>
                  <a:srgbClr val="000000"/>
                </a:solidFill>
                <a:latin typeface="Arial"/>
                <a:cs typeface="Arial"/>
              </a:rPr>
              <a:t>Women &amp; Children  </a:t>
            </a:r>
            <a:r>
              <a:rPr lang="en-GB" sz="1100" b="1" i="0" u="none" strike="noStrike" baseline="0">
                <a:solidFill>
                  <a:srgbClr val="000000"/>
                </a:solidFill>
                <a:latin typeface="Arial"/>
                <a:cs typeface="Arial"/>
              </a:rPr>
              <a:t>Waterfall</a:t>
            </a:r>
            <a:r>
              <a:rPr lang="en-GB" sz="1125" b="1" i="0" u="none" strike="noStrike" baseline="0">
                <a:solidFill>
                  <a:srgbClr val="000000"/>
                </a:solidFill>
                <a:latin typeface="Arial"/>
                <a:cs typeface="Arial"/>
              </a:rPr>
              <a:t> YTD 2013/14</a:t>
            </a:r>
          </a:p>
        </c:rich>
      </c:tx>
      <c:layout>
        <c:manualLayout>
          <c:xMode val="edge"/>
          <c:yMode val="edge"/>
          <c:x val="0.26051813911610561"/>
          <c:y val="3.3536585365853661E-2"/>
        </c:manualLayout>
      </c:layout>
      <c:overlay val="0"/>
      <c:spPr>
        <a:noFill/>
        <a:ln w="25400">
          <a:noFill/>
        </a:ln>
      </c:spPr>
    </c:title>
    <c:autoTitleDeleted val="0"/>
    <c:plotArea>
      <c:layout>
        <c:manualLayout>
          <c:layoutTarget val="inner"/>
          <c:xMode val="edge"/>
          <c:yMode val="edge"/>
          <c:x val="0.12297734627831716"/>
          <c:y val="0.13109756097560968"/>
          <c:w val="0.85436893203883835"/>
          <c:h val="0.72154471544715471"/>
        </c:manualLayout>
      </c:layout>
      <c:barChart>
        <c:barDir val="col"/>
        <c:grouping val="stacked"/>
        <c:varyColors val="0"/>
        <c:ser>
          <c:idx val="0"/>
          <c:order val="0"/>
          <c:tx>
            <c:strRef>
              <c:f>'Chart Data'!$B$86:$B$87</c:f>
              <c:strCache>
                <c:ptCount val="1"/>
                <c:pt idx="0">
                  <c:v>Base</c:v>
                </c:pt>
              </c:strCache>
            </c:strRef>
          </c:tx>
          <c:spPr>
            <a:noFill/>
            <a:ln w="25400">
              <a:noFill/>
            </a:ln>
          </c:spPr>
          <c:invertIfNegative val="0"/>
          <c:cat>
            <c:strRef>
              <c:f>'Chart Data'!$A$88:$A$94</c:f>
              <c:strCache>
                <c:ptCount val="7"/>
                <c:pt idx="0">
                  <c:v>Plan</c:v>
                </c:pt>
                <c:pt idx="1">
                  <c:v>Income</c:v>
                </c:pt>
                <c:pt idx="2">
                  <c:v>Pay</c:v>
                </c:pt>
                <c:pt idx="3">
                  <c:v>Non Pay</c:v>
                </c:pt>
                <c:pt idx="4">
                  <c:v>Unallocated Savings Plans</c:v>
                </c:pt>
                <c:pt idx="5">
                  <c:v>Trading</c:v>
                </c:pt>
                <c:pt idx="6">
                  <c:v>Actual</c:v>
                </c:pt>
              </c:strCache>
            </c:strRef>
          </c:cat>
          <c:val>
            <c:numRef>
              <c:f>'Chart Data'!$B$88:$B$94</c:f>
              <c:numCache>
                <c:formatCode>#,##0_);[Red]\(#,##0\)</c:formatCode>
                <c:ptCount val="7"/>
                <c:pt idx="1">
                  <c:v>3881608</c:v>
                </c:pt>
                <c:pt idx="2">
                  <c:v>3658103</c:v>
                </c:pt>
                <c:pt idx="3">
                  <c:v>3502853</c:v>
                </c:pt>
                <c:pt idx="4">
                  <c:v>3502853</c:v>
                </c:pt>
                <c:pt idx="5">
                  <c:v>3463797</c:v>
                </c:pt>
              </c:numCache>
            </c:numRef>
          </c:val>
        </c:ser>
        <c:ser>
          <c:idx val="1"/>
          <c:order val="1"/>
          <c:tx>
            <c:strRef>
              <c:f>'Chart Data'!$C$86:$C$87</c:f>
              <c:strCache>
                <c:ptCount val="1"/>
                <c:pt idx="0">
                  <c:v>End</c:v>
                </c:pt>
              </c:strCache>
            </c:strRef>
          </c:tx>
          <c:spPr>
            <a:solidFill>
              <a:srgbClr val="C0C0C0"/>
            </a:solidFill>
            <a:ln w="12700">
              <a:solidFill>
                <a:srgbClr val="000000"/>
              </a:solidFill>
              <a:prstDash val="solid"/>
            </a:ln>
          </c:spPr>
          <c:invertIfNegative val="0"/>
          <c:cat>
            <c:strRef>
              <c:f>'Chart Data'!$A$88:$A$94</c:f>
              <c:strCache>
                <c:ptCount val="7"/>
                <c:pt idx="0">
                  <c:v>Plan</c:v>
                </c:pt>
                <c:pt idx="1">
                  <c:v>Income</c:v>
                </c:pt>
                <c:pt idx="2">
                  <c:v>Pay</c:v>
                </c:pt>
                <c:pt idx="3">
                  <c:v>Non Pay</c:v>
                </c:pt>
                <c:pt idx="4">
                  <c:v>Unallocated Savings Plans</c:v>
                </c:pt>
                <c:pt idx="5">
                  <c:v>Trading</c:v>
                </c:pt>
                <c:pt idx="6">
                  <c:v>Actual</c:v>
                </c:pt>
              </c:strCache>
            </c:strRef>
          </c:cat>
          <c:val>
            <c:numRef>
              <c:f>'Chart Data'!$C$88:$C$94</c:f>
              <c:numCache>
                <c:formatCode>#,##0_);[Red]\(#,##0\)</c:formatCode>
                <c:ptCount val="7"/>
                <c:pt idx="6">
                  <c:v>3463797</c:v>
                </c:pt>
              </c:numCache>
            </c:numRef>
          </c:val>
        </c:ser>
        <c:ser>
          <c:idx val="2"/>
          <c:order val="2"/>
          <c:tx>
            <c:strRef>
              <c:f>'Chart Data'!$D$86:$D$87</c:f>
              <c:strCache>
                <c:ptCount val="1"/>
                <c:pt idx="0">
                  <c:v>Down</c:v>
                </c:pt>
              </c:strCache>
            </c:strRef>
          </c:tx>
          <c:spPr>
            <a:solidFill>
              <a:srgbClr val="FF0000"/>
            </a:solidFill>
            <a:ln w="12700">
              <a:solidFill>
                <a:srgbClr val="000000"/>
              </a:solidFill>
              <a:prstDash val="solid"/>
            </a:ln>
          </c:spPr>
          <c:invertIfNegative val="0"/>
          <c:cat>
            <c:strRef>
              <c:f>'Chart Data'!$A$88:$A$94</c:f>
              <c:strCache>
                <c:ptCount val="7"/>
                <c:pt idx="0">
                  <c:v>Plan</c:v>
                </c:pt>
                <c:pt idx="1">
                  <c:v>Income</c:v>
                </c:pt>
                <c:pt idx="2">
                  <c:v>Pay</c:v>
                </c:pt>
                <c:pt idx="3">
                  <c:v>Non Pay</c:v>
                </c:pt>
                <c:pt idx="4">
                  <c:v>Unallocated Savings Plans</c:v>
                </c:pt>
                <c:pt idx="5">
                  <c:v>Trading</c:v>
                </c:pt>
                <c:pt idx="6">
                  <c:v>Actual</c:v>
                </c:pt>
              </c:strCache>
            </c:strRef>
          </c:cat>
          <c:val>
            <c:numRef>
              <c:f>'Chart Data'!$D$88:$D$94</c:f>
              <c:numCache>
                <c:formatCode>#,##0_);[Red]\(#,##0\)</c:formatCode>
                <c:ptCount val="7"/>
                <c:pt idx="1">
                  <c:v>289003</c:v>
                </c:pt>
                <c:pt idx="2">
                  <c:v>223505</c:v>
                </c:pt>
                <c:pt idx="3">
                  <c:v>155250</c:v>
                </c:pt>
                <c:pt idx="4">
                  <c:v>0</c:v>
                </c:pt>
                <c:pt idx="5">
                  <c:v>39056</c:v>
                </c:pt>
              </c:numCache>
            </c:numRef>
          </c:val>
        </c:ser>
        <c:ser>
          <c:idx val="3"/>
          <c:order val="3"/>
          <c:tx>
            <c:strRef>
              <c:f>'Chart Data'!$E$86:$E$87</c:f>
              <c:strCache>
                <c:ptCount val="1"/>
                <c:pt idx="0">
                  <c:v>Up</c:v>
                </c:pt>
              </c:strCache>
            </c:strRef>
          </c:tx>
          <c:spPr>
            <a:solidFill>
              <a:srgbClr val="339966"/>
            </a:solidFill>
            <a:ln w="12700">
              <a:solidFill>
                <a:srgbClr val="000000"/>
              </a:solidFill>
              <a:prstDash val="solid"/>
            </a:ln>
          </c:spPr>
          <c:invertIfNegative val="0"/>
          <c:cat>
            <c:strRef>
              <c:f>'Chart Data'!$A$88:$A$94</c:f>
              <c:strCache>
                <c:ptCount val="7"/>
                <c:pt idx="0">
                  <c:v>Plan</c:v>
                </c:pt>
                <c:pt idx="1">
                  <c:v>Income</c:v>
                </c:pt>
                <c:pt idx="2">
                  <c:v>Pay</c:v>
                </c:pt>
                <c:pt idx="3">
                  <c:v>Non Pay</c:v>
                </c:pt>
                <c:pt idx="4">
                  <c:v>Unallocated Savings Plans</c:v>
                </c:pt>
                <c:pt idx="5">
                  <c:v>Trading</c:v>
                </c:pt>
                <c:pt idx="6">
                  <c:v>Actual</c:v>
                </c:pt>
              </c:strCache>
            </c:strRef>
          </c:cat>
          <c:val>
            <c:numRef>
              <c:f>'Chart Data'!$E$88:$E$94</c:f>
              <c:numCache>
                <c:formatCode>#,##0_);[Red]\(#,##0\)</c:formatCode>
                <c:ptCount val="7"/>
                <c:pt idx="1">
                  <c:v>0</c:v>
                </c:pt>
                <c:pt idx="2">
                  <c:v>0</c:v>
                </c:pt>
                <c:pt idx="3">
                  <c:v>0</c:v>
                </c:pt>
                <c:pt idx="4">
                  <c:v>0</c:v>
                </c:pt>
                <c:pt idx="5">
                  <c:v>0</c:v>
                </c:pt>
              </c:numCache>
            </c:numRef>
          </c:val>
        </c:ser>
        <c:ser>
          <c:idx val="4"/>
          <c:order val="4"/>
          <c:tx>
            <c:strRef>
              <c:f>'Chart Data'!$F$86:$F$87</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Data'!$A$88:$A$94</c:f>
              <c:strCache>
                <c:ptCount val="7"/>
                <c:pt idx="0">
                  <c:v>Plan</c:v>
                </c:pt>
                <c:pt idx="1">
                  <c:v>Income</c:v>
                </c:pt>
                <c:pt idx="2">
                  <c:v>Pay</c:v>
                </c:pt>
                <c:pt idx="3">
                  <c:v>Non Pay</c:v>
                </c:pt>
                <c:pt idx="4">
                  <c:v>Unallocated Savings Plans</c:v>
                </c:pt>
                <c:pt idx="5">
                  <c:v>Trading</c:v>
                </c:pt>
                <c:pt idx="6">
                  <c:v>Actual</c:v>
                </c:pt>
              </c:strCache>
            </c:strRef>
          </c:cat>
          <c:val>
            <c:numRef>
              <c:f>'Chart Data'!$F$88:$F$94</c:f>
              <c:numCache>
                <c:formatCode>#,##0_);[Red]\(#,##0\)</c:formatCode>
                <c:ptCount val="7"/>
                <c:pt idx="0">
                  <c:v>4170611</c:v>
                </c:pt>
              </c:numCache>
            </c:numRef>
          </c:val>
        </c:ser>
        <c:dLbls>
          <c:showLegendKey val="0"/>
          <c:showVal val="0"/>
          <c:showCatName val="0"/>
          <c:showSerName val="0"/>
          <c:showPercent val="0"/>
          <c:showBubbleSize val="0"/>
        </c:dLbls>
        <c:gapWidth val="150"/>
        <c:overlap val="100"/>
        <c:axId val="108509056"/>
        <c:axId val="108510592"/>
      </c:barChart>
      <c:catAx>
        <c:axId val="108509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510592"/>
        <c:crosses val="autoZero"/>
        <c:auto val="1"/>
        <c:lblAlgn val="ctr"/>
        <c:lblOffset val="100"/>
        <c:tickLblSkip val="1"/>
        <c:tickMarkSkip val="1"/>
        <c:noMultiLvlLbl val="0"/>
      </c:catAx>
      <c:valAx>
        <c:axId val="108510592"/>
        <c:scaling>
          <c:orientation val="minMax"/>
          <c:min val="13500000"/>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8509056"/>
        <c:crosses val="autoZero"/>
        <c:crossBetween val="between"/>
        <c:dispUnits>
          <c:builtInUnit val="thousands"/>
          <c:dispUnitsLbl>
            <c:layout>
              <c:manualLayout>
                <c:xMode val="edge"/>
                <c:yMode val="edge"/>
                <c:x val="2.6968716289104771E-3"/>
                <c:y val="0.20020357211446141"/>
              </c:manualLayout>
            </c:layout>
            <c:spPr>
              <a:noFill/>
              <a:ln w="25400">
                <a:noFill/>
              </a:ln>
            </c:spPr>
            <c:txPr>
              <a:bodyPr rot="-5400000" vert="horz"/>
              <a:lstStyle/>
              <a:p>
                <a:pPr algn="ctr">
                  <a:defRPr sz="950" b="1" i="0" u="none" strike="noStrike" baseline="0">
                    <a:solidFill>
                      <a:srgbClr val="000000"/>
                    </a:solidFill>
                    <a:latin typeface="Arial"/>
                    <a:ea typeface="Arial"/>
                    <a:cs typeface="Arial"/>
                  </a:defRPr>
                </a:pPr>
                <a:endParaRPr lang="en-US"/>
              </a:p>
            </c:txPr>
          </c:dispUnitsLbl>
        </c:dispUnits>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Neurosciences</a:t>
            </a:r>
            <a:r>
              <a:rPr lang="en-GB" sz="1000" b="1" i="0" u="none" strike="noStrike" baseline="0">
                <a:solidFill>
                  <a:srgbClr val="000000"/>
                </a:solidFill>
                <a:latin typeface="Arial"/>
                <a:cs typeface="Arial"/>
              </a:rPr>
              <a:t>  Waterfall YTD 2013/14</a:t>
            </a:r>
          </a:p>
        </c:rich>
      </c:tx>
      <c:layout>
        <c:manualLayout>
          <c:xMode val="edge"/>
          <c:yMode val="edge"/>
          <c:x val="0.30694680155271914"/>
          <c:y val="4.166658615525827E-2"/>
        </c:manualLayout>
      </c:layout>
      <c:overlay val="0"/>
      <c:spPr>
        <a:noFill/>
        <a:ln w="25400">
          <a:noFill/>
        </a:ln>
      </c:spPr>
    </c:title>
    <c:autoTitleDeleted val="0"/>
    <c:plotArea>
      <c:layout>
        <c:manualLayout>
          <c:layoutTarget val="inner"/>
          <c:xMode val="edge"/>
          <c:yMode val="edge"/>
          <c:x val="0.10356003419554351"/>
          <c:y val="0.15030674846625774"/>
          <c:w val="0.87378778852490002"/>
          <c:h val="0.71165644171779141"/>
        </c:manualLayout>
      </c:layout>
      <c:barChart>
        <c:barDir val="col"/>
        <c:grouping val="stacked"/>
        <c:varyColors val="0"/>
        <c:ser>
          <c:idx val="0"/>
          <c:order val="0"/>
          <c:tx>
            <c:strRef>
              <c:f>'Chart Data'!$B$101:$B$102</c:f>
              <c:strCache>
                <c:ptCount val="1"/>
                <c:pt idx="0">
                  <c:v>Base</c:v>
                </c:pt>
              </c:strCache>
            </c:strRef>
          </c:tx>
          <c:spPr>
            <a:noFill/>
            <a:ln w="25400">
              <a:noFill/>
            </a:ln>
          </c:spPr>
          <c:invertIfNegative val="0"/>
          <c:cat>
            <c:strRef>
              <c:f>'Chart Data'!$A$103:$A$109</c:f>
              <c:strCache>
                <c:ptCount val="7"/>
                <c:pt idx="0">
                  <c:v>Plan</c:v>
                </c:pt>
                <c:pt idx="1">
                  <c:v>Income</c:v>
                </c:pt>
                <c:pt idx="2">
                  <c:v>Pay</c:v>
                </c:pt>
                <c:pt idx="3">
                  <c:v>Non Pay</c:v>
                </c:pt>
                <c:pt idx="4">
                  <c:v>Unallocated Savings Plans</c:v>
                </c:pt>
                <c:pt idx="5">
                  <c:v>Trading</c:v>
                </c:pt>
                <c:pt idx="6">
                  <c:v>Actual</c:v>
                </c:pt>
              </c:strCache>
            </c:strRef>
          </c:cat>
          <c:val>
            <c:numRef>
              <c:f>'Chart Data'!$B$103:$B$109</c:f>
              <c:numCache>
                <c:formatCode>#,##0_);[Red]\(#,##0\)</c:formatCode>
                <c:ptCount val="7"/>
                <c:pt idx="1">
                  <c:v>157561</c:v>
                </c:pt>
                <c:pt idx="2">
                  <c:v>157561</c:v>
                </c:pt>
                <c:pt idx="3">
                  <c:v>295744</c:v>
                </c:pt>
                <c:pt idx="4">
                  <c:v>405264</c:v>
                </c:pt>
                <c:pt idx="5">
                  <c:v>405264</c:v>
                </c:pt>
              </c:numCache>
            </c:numRef>
          </c:val>
        </c:ser>
        <c:ser>
          <c:idx val="1"/>
          <c:order val="1"/>
          <c:tx>
            <c:strRef>
              <c:f>'Chart Data'!$C$101:$C$102</c:f>
              <c:strCache>
                <c:ptCount val="1"/>
                <c:pt idx="0">
                  <c:v>End</c:v>
                </c:pt>
              </c:strCache>
            </c:strRef>
          </c:tx>
          <c:spPr>
            <a:solidFill>
              <a:srgbClr val="C0C0C0"/>
            </a:solidFill>
            <a:ln w="12700">
              <a:solidFill>
                <a:srgbClr val="000000"/>
              </a:solidFill>
              <a:prstDash val="solid"/>
            </a:ln>
          </c:spPr>
          <c:invertIfNegative val="0"/>
          <c:cat>
            <c:strRef>
              <c:f>'Chart Data'!$A$103:$A$109</c:f>
              <c:strCache>
                <c:ptCount val="7"/>
                <c:pt idx="0">
                  <c:v>Plan</c:v>
                </c:pt>
                <c:pt idx="1">
                  <c:v>Income</c:v>
                </c:pt>
                <c:pt idx="2">
                  <c:v>Pay</c:v>
                </c:pt>
                <c:pt idx="3">
                  <c:v>Non Pay</c:v>
                </c:pt>
                <c:pt idx="4">
                  <c:v>Unallocated Savings Plans</c:v>
                </c:pt>
                <c:pt idx="5">
                  <c:v>Trading</c:v>
                </c:pt>
                <c:pt idx="6">
                  <c:v>Actual</c:v>
                </c:pt>
              </c:strCache>
            </c:strRef>
          </c:cat>
          <c:val>
            <c:numRef>
              <c:f>'Chart Data'!$C$103:$C$109</c:f>
              <c:numCache>
                <c:formatCode>#,##0_);[Red]\(#,##0\)</c:formatCode>
                <c:ptCount val="7"/>
                <c:pt idx="6">
                  <c:v>410534</c:v>
                </c:pt>
              </c:numCache>
            </c:numRef>
          </c:val>
        </c:ser>
        <c:ser>
          <c:idx val="2"/>
          <c:order val="2"/>
          <c:tx>
            <c:strRef>
              <c:f>'Chart Data'!$D$101:$D$102</c:f>
              <c:strCache>
                <c:ptCount val="1"/>
                <c:pt idx="0">
                  <c:v>Down</c:v>
                </c:pt>
              </c:strCache>
            </c:strRef>
          </c:tx>
          <c:spPr>
            <a:solidFill>
              <a:srgbClr val="FF0000"/>
            </a:solidFill>
            <a:ln w="12700">
              <a:solidFill>
                <a:srgbClr val="000000"/>
              </a:solidFill>
              <a:prstDash val="solid"/>
            </a:ln>
          </c:spPr>
          <c:invertIfNegative val="0"/>
          <c:cat>
            <c:strRef>
              <c:f>'Chart Data'!$A$103:$A$109</c:f>
              <c:strCache>
                <c:ptCount val="7"/>
                <c:pt idx="0">
                  <c:v>Plan</c:v>
                </c:pt>
                <c:pt idx="1">
                  <c:v>Income</c:v>
                </c:pt>
                <c:pt idx="2">
                  <c:v>Pay</c:v>
                </c:pt>
                <c:pt idx="3">
                  <c:v>Non Pay</c:v>
                </c:pt>
                <c:pt idx="4">
                  <c:v>Unallocated Savings Plans</c:v>
                </c:pt>
                <c:pt idx="5">
                  <c:v>Trading</c:v>
                </c:pt>
                <c:pt idx="6">
                  <c:v>Actual</c:v>
                </c:pt>
              </c:strCache>
            </c:strRef>
          </c:cat>
          <c:val>
            <c:numRef>
              <c:f>'Chart Data'!$D$103:$D$109</c:f>
              <c:numCache>
                <c:formatCode>#,##0_);[Red]\(#,##0\)</c:formatCode>
                <c:ptCount val="7"/>
                <c:pt idx="1">
                  <c:v>366334</c:v>
                </c:pt>
                <c:pt idx="2">
                  <c:v>0</c:v>
                </c:pt>
                <c:pt idx="3">
                  <c:v>0</c:v>
                </c:pt>
                <c:pt idx="4">
                  <c:v>0</c:v>
                </c:pt>
                <c:pt idx="5">
                  <c:v>0</c:v>
                </c:pt>
              </c:numCache>
            </c:numRef>
          </c:val>
        </c:ser>
        <c:ser>
          <c:idx val="3"/>
          <c:order val="3"/>
          <c:tx>
            <c:strRef>
              <c:f>'Chart Data'!$E$101:$E$102</c:f>
              <c:strCache>
                <c:ptCount val="1"/>
                <c:pt idx="0">
                  <c:v>Up</c:v>
                </c:pt>
              </c:strCache>
            </c:strRef>
          </c:tx>
          <c:spPr>
            <a:solidFill>
              <a:srgbClr val="3399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Data'!$A$103:$A$109</c:f>
              <c:strCache>
                <c:ptCount val="7"/>
                <c:pt idx="0">
                  <c:v>Plan</c:v>
                </c:pt>
                <c:pt idx="1">
                  <c:v>Income</c:v>
                </c:pt>
                <c:pt idx="2">
                  <c:v>Pay</c:v>
                </c:pt>
                <c:pt idx="3">
                  <c:v>Non Pay</c:v>
                </c:pt>
                <c:pt idx="4">
                  <c:v>Unallocated Savings Plans</c:v>
                </c:pt>
                <c:pt idx="5">
                  <c:v>Trading</c:v>
                </c:pt>
                <c:pt idx="6">
                  <c:v>Actual</c:v>
                </c:pt>
              </c:strCache>
            </c:strRef>
          </c:cat>
          <c:val>
            <c:numRef>
              <c:f>'Chart Data'!$E$103:$E$109</c:f>
              <c:numCache>
                <c:formatCode>#,##0_);[Red]\(#,##0\)</c:formatCode>
                <c:ptCount val="7"/>
                <c:pt idx="1">
                  <c:v>0</c:v>
                </c:pt>
                <c:pt idx="2">
                  <c:v>138183</c:v>
                </c:pt>
                <c:pt idx="3">
                  <c:v>109520</c:v>
                </c:pt>
                <c:pt idx="4">
                  <c:v>0</c:v>
                </c:pt>
                <c:pt idx="5">
                  <c:v>5270</c:v>
                </c:pt>
              </c:numCache>
            </c:numRef>
          </c:val>
        </c:ser>
        <c:ser>
          <c:idx val="4"/>
          <c:order val="4"/>
          <c:tx>
            <c:strRef>
              <c:f>'Chart Data'!$F$101:$F$102</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Data'!$A$103:$A$109</c:f>
              <c:strCache>
                <c:ptCount val="7"/>
                <c:pt idx="0">
                  <c:v>Plan</c:v>
                </c:pt>
                <c:pt idx="1">
                  <c:v>Income</c:v>
                </c:pt>
                <c:pt idx="2">
                  <c:v>Pay</c:v>
                </c:pt>
                <c:pt idx="3">
                  <c:v>Non Pay</c:v>
                </c:pt>
                <c:pt idx="4">
                  <c:v>Unallocated Savings Plans</c:v>
                </c:pt>
                <c:pt idx="5">
                  <c:v>Trading</c:v>
                </c:pt>
                <c:pt idx="6">
                  <c:v>Actual</c:v>
                </c:pt>
              </c:strCache>
            </c:strRef>
          </c:cat>
          <c:val>
            <c:numRef>
              <c:f>'Chart Data'!$F$103:$F$109</c:f>
              <c:numCache>
                <c:formatCode>#,##0_);[Red]\(#,##0\)</c:formatCode>
                <c:ptCount val="7"/>
                <c:pt idx="0">
                  <c:v>523895</c:v>
                </c:pt>
              </c:numCache>
            </c:numRef>
          </c:val>
        </c:ser>
        <c:dLbls>
          <c:showLegendKey val="0"/>
          <c:showVal val="0"/>
          <c:showCatName val="0"/>
          <c:showSerName val="0"/>
          <c:showPercent val="0"/>
          <c:showBubbleSize val="0"/>
        </c:dLbls>
        <c:gapWidth val="150"/>
        <c:overlap val="100"/>
        <c:axId val="112954752"/>
        <c:axId val="112964736"/>
      </c:barChart>
      <c:catAx>
        <c:axId val="11295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964736"/>
        <c:crossesAt val="0"/>
        <c:auto val="1"/>
        <c:lblAlgn val="ctr"/>
        <c:lblOffset val="100"/>
        <c:tickLblSkip val="1"/>
        <c:tickMarkSkip val="1"/>
        <c:noMultiLvlLbl val="0"/>
      </c:catAx>
      <c:valAx>
        <c:axId val="112964736"/>
        <c:scaling>
          <c:orientation val="minMax"/>
          <c:min val="1000000"/>
        </c:scaling>
        <c:delete val="0"/>
        <c:axPos val="l"/>
        <c:majorGridlines>
          <c:spPr>
            <a:ln w="3175">
              <a:solidFill>
                <a:srgbClr val="000000"/>
              </a:solidFill>
              <a:prstDash val="solid"/>
            </a:ln>
          </c:spPr>
        </c:majorGridlines>
        <c:numFmt formatCode="#,##0;[Red]\(#,##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954752"/>
        <c:crosses val="autoZero"/>
        <c:crossBetween val="between"/>
        <c:dispUnits>
          <c:builtInUnit val="thousands"/>
          <c:dispUnitsLbl>
            <c:layout>
              <c:manualLayout>
                <c:xMode val="edge"/>
                <c:yMode val="edge"/>
                <c:x val="1.4024685035111383E-2"/>
                <c:y val="0.40797556555430786"/>
              </c:manualLayout>
            </c:layout>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ispUnitsLbl>
        </c:dispUnits>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Actual to YE Forecast</a:t>
            </a:r>
          </a:p>
        </c:rich>
      </c:tx>
      <c:overlay val="0"/>
      <c:spPr>
        <a:noFill/>
        <a:ln w="25400">
          <a:noFill/>
        </a:ln>
      </c:spPr>
    </c:title>
    <c:autoTitleDeleted val="0"/>
    <c:plotArea>
      <c:layout/>
      <c:barChart>
        <c:barDir val="col"/>
        <c:grouping val="stacked"/>
        <c:varyColors val="0"/>
        <c:ser>
          <c:idx val="0"/>
          <c:order val="0"/>
          <c:spPr>
            <a:noFill/>
            <a:ln w="25400">
              <a:noFill/>
            </a:ln>
          </c:spPr>
          <c:invertIfNegative val="0"/>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1'!$B$46:$B$54</c:f>
              <c:numCache>
                <c:formatCode>General</c:formatCode>
                <c:ptCount val="9"/>
                <c:pt idx="0">
                  <c:v>0</c:v>
                </c:pt>
                <c:pt idx="1">
                  <c:v>23</c:v>
                </c:pt>
                <c:pt idx="2">
                  <c:v>24</c:v>
                </c:pt>
                <c:pt idx="3">
                  <c:v>18</c:v>
                </c:pt>
                <c:pt idx="4">
                  <c:v>11</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FF0000"/>
              </a:solidFill>
              <a:ln w="12700">
                <a:solidFill>
                  <a:srgbClr val="000000"/>
                </a:solidFill>
                <a:prstDash val="solid"/>
              </a:ln>
            </c:spPr>
          </c:dPt>
          <c:dPt>
            <c:idx val="3"/>
            <c:invertIfNegative val="0"/>
            <c:bubble3D val="0"/>
            <c:spPr>
              <a:solidFill>
                <a:srgbClr val="FF0000"/>
              </a:solidFill>
              <a:ln w="12700">
                <a:solidFill>
                  <a:srgbClr val="000000"/>
                </a:solidFill>
                <a:prstDash val="solid"/>
              </a:ln>
            </c:spPr>
          </c:dPt>
          <c:dPt>
            <c:idx val="4"/>
            <c:invertIfNegative val="0"/>
            <c:bubble3D val="0"/>
            <c:spPr>
              <a:solidFill>
                <a:srgbClr val="FF0000"/>
              </a:solidFill>
              <a:ln w="12700">
                <a:solidFill>
                  <a:srgbClr val="000000"/>
                </a:solidFill>
                <a:prstDash val="solid"/>
              </a:ln>
            </c:spPr>
          </c:dPt>
          <c:dPt>
            <c:idx val="8"/>
            <c:invertIfNegative val="0"/>
            <c:bubble3D val="0"/>
            <c:spPr>
              <a:solidFill>
                <a:srgbClr val="808080"/>
              </a:solidFill>
              <a:ln w="12700">
                <a:solidFill>
                  <a:srgbClr val="000000"/>
                </a:solidFill>
                <a:prstDash val="solid"/>
              </a:ln>
            </c:spPr>
          </c:dPt>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1'!$C$46:$C$54</c:f>
              <c:numCache>
                <c:formatCode>General</c:formatCode>
                <c:ptCount val="9"/>
                <c:pt idx="0">
                  <c:v>23</c:v>
                </c:pt>
                <c:pt idx="1">
                  <c:v>3</c:v>
                </c:pt>
                <c:pt idx="2">
                  <c:v>2</c:v>
                </c:pt>
                <c:pt idx="3">
                  <c:v>6</c:v>
                </c:pt>
                <c:pt idx="4">
                  <c:v>7</c:v>
                </c:pt>
                <c:pt idx="5">
                  <c:v>0</c:v>
                </c:pt>
                <c:pt idx="6">
                  <c:v>0</c:v>
                </c:pt>
                <c:pt idx="7">
                  <c:v>0</c:v>
                </c:pt>
                <c:pt idx="8">
                  <c:v>11</c:v>
                </c:pt>
              </c:numCache>
            </c:numRef>
          </c:val>
        </c:ser>
        <c:dLbls>
          <c:showLegendKey val="0"/>
          <c:showVal val="0"/>
          <c:showCatName val="0"/>
          <c:showSerName val="0"/>
          <c:showPercent val="0"/>
          <c:showBubbleSize val="0"/>
        </c:dLbls>
        <c:gapWidth val="150"/>
        <c:overlap val="100"/>
        <c:axId val="108659840"/>
        <c:axId val="108661376"/>
      </c:barChart>
      <c:catAx>
        <c:axId val="108659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8661376"/>
        <c:crosses val="autoZero"/>
        <c:auto val="1"/>
        <c:lblAlgn val="ctr"/>
        <c:lblOffset val="100"/>
        <c:tickLblSkip val="1"/>
        <c:tickMarkSkip val="1"/>
        <c:noMultiLvlLbl val="0"/>
      </c:catAx>
      <c:valAx>
        <c:axId val="108661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65984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Plan to YTD Actual </a:t>
            </a:r>
          </a:p>
        </c:rich>
      </c:tx>
      <c:overlay val="0"/>
      <c:spPr>
        <a:noFill/>
        <a:ln w="25400">
          <a:noFill/>
        </a:ln>
      </c:spPr>
    </c:title>
    <c:autoTitleDeleted val="0"/>
    <c:plotArea>
      <c:layout/>
      <c:barChart>
        <c:barDir val="col"/>
        <c:grouping val="stacked"/>
        <c:varyColors val="0"/>
        <c:ser>
          <c:idx val="0"/>
          <c:order val="0"/>
          <c:spPr>
            <a:solidFill>
              <a:srgbClr val="9999FF"/>
            </a:solidFill>
            <a:ln w="12700">
              <a:solidFill>
                <a:srgbClr val="000000"/>
              </a:solidFill>
              <a:prstDash val="solid"/>
            </a:ln>
          </c:spPr>
          <c:invertIfNegative val="0"/>
          <c:dPt>
            <c:idx val="1"/>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1'!$B$24:$B$32</c:f>
              <c:numCache>
                <c:formatCode>General</c:formatCode>
                <c:ptCount val="9"/>
                <c:pt idx="0">
                  <c:v>0</c:v>
                </c:pt>
                <c:pt idx="1">
                  <c:v>9</c:v>
                </c:pt>
                <c:pt idx="2">
                  <c:v>0</c:v>
                </c:pt>
                <c:pt idx="3">
                  <c:v>9</c:v>
                </c:pt>
                <c:pt idx="4">
                  <c:v>15</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333399"/>
              </a:solidFill>
              <a:ln w="12700">
                <a:solidFill>
                  <a:srgbClr val="000000"/>
                </a:solidFill>
                <a:prstDash val="solid"/>
              </a:ln>
            </c:spPr>
          </c:dPt>
          <c:dPt>
            <c:idx val="1"/>
            <c:invertIfNegative val="0"/>
            <c:bubble3D val="0"/>
            <c:spPr>
              <a:solidFill>
                <a:srgbClr val="FF0000"/>
              </a:solidFill>
              <a:ln w="12700">
                <a:solidFill>
                  <a:srgbClr val="000000"/>
                </a:solidFill>
                <a:prstDash val="solid"/>
              </a:ln>
            </c:spPr>
          </c:dPt>
          <c:dPt>
            <c:idx val="3"/>
            <c:invertIfNegative val="0"/>
            <c:bubble3D val="0"/>
            <c:spPr>
              <a:solidFill>
                <a:srgbClr val="339966"/>
              </a:solidFill>
              <a:ln w="12700">
                <a:solidFill>
                  <a:srgbClr val="000000"/>
                </a:solidFill>
                <a:prstDash val="solid"/>
              </a:ln>
            </c:spPr>
          </c:dPt>
          <c:dPt>
            <c:idx val="4"/>
            <c:invertIfNegative val="0"/>
            <c:bubble3D val="0"/>
            <c:spPr>
              <a:solidFill>
                <a:srgbClr val="339966"/>
              </a:solidFill>
              <a:ln w="12700">
                <a:solidFill>
                  <a:srgbClr val="000000"/>
                </a:solidFill>
                <a:prstDash val="solid"/>
              </a:ln>
            </c:spPr>
          </c:dPt>
          <c:dPt>
            <c:idx val="8"/>
            <c:invertIfNegative val="0"/>
            <c:bubble3D val="0"/>
            <c:spPr>
              <a:solidFill>
                <a:srgbClr val="333333"/>
              </a:solidFill>
              <a:ln w="12700">
                <a:solidFill>
                  <a:srgbClr val="000000"/>
                </a:solidFill>
                <a:prstDash val="solid"/>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1'!$C$24:$C$32</c:f>
              <c:numCache>
                <c:formatCode>General</c:formatCode>
                <c:ptCount val="9"/>
                <c:pt idx="0">
                  <c:v>11</c:v>
                </c:pt>
                <c:pt idx="1">
                  <c:v>2</c:v>
                </c:pt>
                <c:pt idx="2">
                  <c:v>0</c:v>
                </c:pt>
                <c:pt idx="3">
                  <c:v>6</c:v>
                </c:pt>
                <c:pt idx="4">
                  <c:v>8</c:v>
                </c:pt>
                <c:pt idx="5">
                  <c:v>0</c:v>
                </c:pt>
                <c:pt idx="6">
                  <c:v>0</c:v>
                </c:pt>
                <c:pt idx="7">
                  <c:v>0</c:v>
                </c:pt>
                <c:pt idx="8">
                  <c:v>23</c:v>
                </c:pt>
              </c:numCache>
            </c:numRef>
          </c:val>
        </c:ser>
        <c:dLbls>
          <c:showLegendKey val="0"/>
          <c:showVal val="0"/>
          <c:showCatName val="0"/>
          <c:showSerName val="0"/>
          <c:showPercent val="0"/>
          <c:showBubbleSize val="0"/>
        </c:dLbls>
        <c:gapWidth val="150"/>
        <c:overlap val="100"/>
        <c:axId val="108681472"/>
        <c:axId val="108683264"/>
      </c:barChart>
      <c:catAx>
        <c:axId val="108681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8683264"/>
        <c:crosses val="autoZero"/>
        <c:auto val="1"/>
        <c:lblAlgn val="ctr"/>
        <c:lblOffset val="100"/>
        <c:tickLblSkip val="1"/>
        <c:tickMarkSkip val="1"/>
        <c:noMultiLvlLbl val="0"/>
      </c:catAx>
      <c:valAx>
        <c:axId val="108683264"/>
        <c:scaling>
          <c:orientation val="minMax"/>
          <c:max val="3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6814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a:pPr>
            <a:r>
              <a:rPr lang="en-GB" sz="1200"/>
              <a:t>Cost Improvement Plans Risk</a:t>
            </a:r>
            <a:r>
              <a:rPr lang="en-GB" sz="1200" baseline="0"/>
              <a:t>s </a:t>
            </a:r>
            <a:r>
              <a:rPr lang="en-GB" sz="1200"/>
              <a:t>2016/17</a:t>
            </a:r>
          </a:p>
          <a:p>
            <a:pPr>
              <a:defRPr/>
            </a:pPr>
            <a:r>
              <a:rPr lang="en-GB" sz="1200"/>
              <a:t>£k</a:t>
            </a:r>
          </a:p>
        </c:rich>
      </c:tx>
      <c:layout>
        <c:manualLayout>
          <c:xMode val="edge"/>
          <c:yMode val="edge"/>
          <c:x val="0.13971846421076281"/>
          <c:y val="3.1395610432416877E-2"/>
        </c:manualLayout>
      </c:layout>
      <c:overlay val="0"/>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4.1876393843253937E-2"/>
          <c:y val="0.34736558873537032"/>
          <c:w val="0.9275042602973167"/>
          <c:h val="0.43426170785255619"/>
        </c:manualLayout>
      </c:layout>
      <c:pie3DChart>
        <c:varyColors val="1"/>
        <c:ser>
          <c:idx val="0"/>
          <c:order val="0"/>
          <c:explosion val="3"/>
          <c:dPt>
            <c:idx val="0"/>
            <c:bubble3D val="0"/>
            <c:spPr>
              <a:solidFill>
                <a:srgbClr val="FF0000"/>
              </a:solidFill>
            </c:spPr>
          </c:dPt>
          <c:dPt>
            <c:idx val="1"/>
            <c:bubble3D val="0"/>
            <c:spPr>
              <a:solidFill>
                <a:srgbClr val="FFC000"/>
              </a:solidFill>
            </c:spPr>
          </c:dPt>
          <c:dPt>
            <c:idx val="2"/>
            <c:bubble3D val="0"/>
            <c:spPr>
              <a:solidFill>
                <a:srgbClr val="92D050"/>
              </a:solidFill>
            </c:spPr>
          </c:dPt>
          <c:dLbls>
            <c:dLbl>
              <c:idx val="0"/>
              <c:layout>
                <c:manualLayout>
                  <c:x val="-0.17814892136395269"/>
                  <c:y val="-0.37111903464897078"/>
                </c:manualLayout>
              </c:layout>
              <c:dLblPos val="bestFit"/>
              <c:showLegendKey val="0"/>
              <c:showVal val="1"/>
              <c:showCatName val="1"/>
              <c:showSerName val="0"/>
              <c:showPercent val="0"/>
              <c:showBubbleSize val="0"/>
            </c:dLbl>
            <c:dLbl>
              <c:idx val="1"/>
              <c:layout>
                <c:manualLayout>
                  <c:x val="7.2801275623428072E-2"/>
                  <c:y val="8.9509235873817664E-2"/>
                </c:manualLayout>
              </c:layout>
              <c:dLblPos val="bestFit"/>
              <c:showLegendKey val="0"/>
              <c:showVal val="1"/>
              <c:showCatName val="1"/>
              <c:showSerName val="0"/>
              <c:showPercent val="0"/>
              <c:showBubbleSize val="0"/>
            </c:dLbl>
            <c:dLbl>
              <c:idx val="2"/>
              <c:layout>
                <c:manualLayout>
                  <c:x val="8.4053940021589169E-2"/>
                  <c:y val="-8.2164776572739767E-2"/>
                </c:manualLayout>
              </c:layout>
              <c:dLblPos val="bestFit"/>
              <c:showLegendKey val="0"/>
              <c:showVal val="1"/>
              <c:showCatName val="1"/>
              <c:showSerName val="0"/>
              <c:showPercent val="0"/>
              <c:showBubbleSize val="0"/>
            </c:dLbl>
            <c:dLblPos val="outEnd"/>
            <c:showLegendKey val="0"/>
            <c:showVal val="1"/>
            <c:showCatName val="1"/>
            <c:showSerName val="0"/>
            <c:showPercent val="0"/>
            <c:showBubbleSize val="0"/>
            <c:showLeaderLines val="1"/>
          </c:dLbls>
          <c:cat>
            <c:strRef>
              <c:f>'Monthly workings for CIPs'!$E$78:$E$80</c:f>
              <c:strCache>
                <c:ptCount val="3"/>
                <c:pt idx="0">
                  <c:v>High Risk</c:v>
                </c:pt>
                <c:pt idx="1">
                  <c:v>Medium Risk</c:v>
                </c:pt>
                <c:pt idx="2">
                  <c:v>Low Risk</c:v>
                </c:pt>
              </c:strCache>
            </c:strRef>
          </c:cat>
          <c:val>
            <c:numRef>
              <c:f>'Monthly workings for CIPs'!$F$78:$F$80</c:f>
              <c:numCache>
                <c:formatCode>_-"£"* #,##0_-;\-"£"* #,##0_-;_-"£"* "-"??_-;_-@_-</c:formatCode>
                <c:ptCount val="3"/>
                <c:pt idx="0">
                  <c:v>12989.0903</c:v>
                </c:pt>
                <c:pt idx="1">
                  <c:v>3769.3436000000002</c:v>
                </c:pt>
                <c:pt idx="2">
                  <c:v>8345</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alignWithMargins="0"/>
    <c:pageMargins b="1" l="0.750000000000003" r="0.750000000000003"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Cost Improvement Plans by Theme Year End Forecast</a:t>
            </a:r>
          </a:p>
        </c:rich>
      </c:tx>
      <c:layout>
        <c:manualLayout>
          <c:xMode val="edge"/>
          <c:yMode val="edge"/>
          <c:x val="0.30829912108846935"/>
          <c:y val="4.9315361003603363E-2"/>
        </c:manualLayout>
      </c:layout>
      <c:overlay val="0"/>
      <c:spPr>
        <a:noFill/>
        <a:ln w="25400">
          <a:noFill/>
        </a:ln>
      </c:spPr>
    </c:title>
    <c:autoTitleDeleted val="0"/>
    <c:plotArea>
      <c:layout>
        <c:manualLayout>
          <c:layoutTarget val="inner"/>
          <c:xMode val="edge"/>
          <c:yMode val="edge"/>
          <c:x val="8.792972491516543E-2"/>
          <c:y val="0.16910229645093949"/>
          <c:w val="0.81424502206637794"/>
          <c:h val="0.51682132953719773"/>
        </c:manualLayout>
      </c:layout>
      <c:barChart>
        <c:barDir val="col"/>
        <c:grouping val="stacked"/>
        <c:varyColors val="0"/>
        <c:ser>
          <c:idx val="0"/>
          <c:order val="0"/>
          <c:tx>
            <c:strRef>
              <c:f>'Monthly workings for CIPs'!$D$59</c:f>
              <c:strCache>
                <c:ptCount val="1"/>
                <c:pt idx="0">
                  <c:v>Delivery within Plan</c:v>
                </c:pt>
              </c:strCache>
            </c:strRef>
          </c:tx>
          <c:spPr>
            <a:solidFill>
              <a:srgbClr val="00B050"/>
            </a:solidFill>
            <a:ln w="12700">
              <a:solidFill>
                <a:srgbClr val="000000"/>
              </a:solidFill>
              <a:prstDash val="solid"/>
            </a:ln>
          </c:spPr>
          <c:invertIfNegative val="0"/>
          <c:cat>
            <c:multiLvlStrRef>
              <c:f>'Monthly workings for CIPs'!$B$60:$C$72</c:f>
              <c:multiLvlStrCache>
                <c:ptCount val="13"/>
                <c:lvl>
                  <c:pt idx="0">
                    <c:v>Income</c:v>
                  </c:pt>
                  <c:pt idx="1">
                    <c:v>Non Pay</c:v>
                  </c:pt>
                  <c:pt idx="2">
                    <c:v>Pay Skill</c:v>
                  </c:pt>
                  <c:pt idx="3">
                    <c:v>Non Pay</c:v>
                  </c:pt>
                  <c:pt idx="4">
                    <c:v>Pay Skill</c:v>
                  </c:pt>
                  <c:pt idx="5">
                    <c:v>Pay WTE</c:v>
                  </c:pt>
                  <c:pt idx="6">
                    <c:v>Non Pay</c:v>
                  </c:pt>
                  <c:pt idx="7">
                    <c:v>Income</c:v>
                  </c:pt>
                  <c:pt idx="8">
                    <c:v>Pay WTE</c:v>
                  </c:pt>
                  <c:pt idx="9">
                    <c:v>Non Pay</c:v>
                  </c:pt>
                  <c:pt idx="10">
                    <c:v>Income</c:v>
                  </c:pt>
                  <c:pt idx="11">
                    <c:v>Pay Skill</c:v>
                  </c:pt>
                  <c:pt idx="12">
                    <c:v>Pay WTE</c:v>
                  </c:pt>
                </c:lvl>
                <c:lvl>
                  <c:pt idx="0">
                    <c:v>Back Office &amp; Commercial</c:v>
                  </c:pt>
                  <c:pt idx="1">
                    <c:v>Back Office &amp; Commercial</c:v>
                  </c:pt>
                  <c:pt idx="2">
                    <c:v>Clinical Workforce</c:v>
                  </c:pt>
                  <c:pt idx="3">
                    <c:v>Major IT Programme</c:v>
                  </c:pt>
                  <c:pt idx="4">
                    <c:v>Medical Workforce</c:v>
                  </c:pt>
                  <c:pt idx="5">
                    <c:v>Medical Workforce</c:v>
                  </c:pt>
                  <c:pt idx="6">
                    <c:v>Operational Estate</c:v>
                  </c:pt>
                  <c:pt idx="7">
                    <c:v>Operational Productivity</c:v>
                  </c:pt>
                  <c:pt idx="8">
                    <c:v>Operational Productivity</c:v>
                  </c:pt>
                  <c:pt idx="9">
                    <c:v>Operational Productivity</c:v>
                  </c:pt>
                  <c:pt idx="10">
                    <c:v>Transformation</c:v>
                  </c:pt>
                  <c:pt idx="11">
                    <c:v>Workforce</c:v>
                  </c:pt>
                  <c:pt idx="12">
                    <c:v>Workforce</c:v>
                  </c:pt>
                </c:lvl>
              </c:multiLvlStrCache>
            </c:multiLvlStrRef>
          </c:cat>
          <c:val>
            <c:numRef>
              <c:f>'Monthly workings for CIPs'!$D$60:$D$72</c:f>
              <c:numCache>
                <c:formatCode>#,##0</c:formatCode>
                <c:ptCount val="13"/>
                <c:pt idx="0">
                  <c:v>2560</c:v>
                </c:pt>
                <c:pt idx="1">
                  <c:v>7125.0002879693138</c:v>
                </c:pt>
                <c:pt idx="2">
                  <c:v>3776.0000000000005</c:v>
                </c:pt>
                <c:pt idx="3">
                  <c:v>107.90799999999999</c:v>
                </c:pt>
                <c:pt idx="4">
                  <c:v>2557.2880531938081</c:v>
                </c:pt>
                <c:pt idx="5">
                  <c:v>283.79166666666669</c:v>
                </c:pt>
                <c:pt idx="6">
                  <c:v>49.833333333333329</c:v>
                </c:pt>
                <c:pt idx="7">
                  <c:v>257.55</c:v>
                </c:pt>
                <c:pt idx="8">
                  <c:v>3889.3035000000004</c:v>
                </c:pt>
                <c:pt idx="9">
                  <c:v>3662.2874999999999</c:v>
                </c:pt>
                <c:pt idx="10">
                  <c:v>18.421500000000002</c:v>
                </c:pt>
                <c:pt idx="11">
                  <c:v>315.76500000000004</c:v>
                </c:pt>
                <c:pt idx="12">
                  <c:v>499.99999999999994</c:v>
                </c:pt>
              </c:numCache>
            </c:numRef>
          </c:val>
        </c:ser>
        <c:ser>
          <c:idx val="1"/>
          <c:order val="1"/>
          <c:tx>
            <c:strRef>
              <c:f>'Monthly workings for CIPs'!$E$59</c:f>
              <c:strCache>
                <c:ptCount val="1"/>
                <c:pt idx="0">
                  <c:v>Delivery over plan</c:v>
                </c:pt>
              </c:strCache>
            </c:strRef>
          </c:tx>
          <c:spPr>
            <a:solidFill>
              <a:srgbClr val="00B0F0"/>
            </a:solidFill>
            <a:ln w="12700">
              <a:solidFill>
                <a:srgbClr val="000000"/>
              </a:solidFill>
              <a:prstDash val="solid"/>
            </a:ln>
          </c:spPr>
          <c:invertIfNegative val="0"/>
          <c:cat>
            <c:multiLvlStrRef>
              <c:f>'Monthly workings for CIPs'!$B$60:$C$72</c:f>
              <c:multiLvlStrCache>
                <c:ptCount val="13"/>
                <c:lvl>
                  <c:pt idx="0">
                    <c:v>Income</c:v>
                  </c:pt>
                  <c:pt idx="1">
                    <c:v>Non Pay</c:v>
                  </c:pt>
                  <c:pt idx="2">
                    <c:v>Pay Skill</c:v>
                  </c:pt>
                  <c:pt idx="3">
                    <c:v>Non Pay</c:v>
                  </c:pt>
                  <c:pt idx="4">
                    <c:v>Pay Skill</c:v>
                  </c:pt>
                  <c:pt idx="5">
                    <c:v>Pay WTE</c:v>
                  </c:pt>
                  <c:pt idx="6">
                    <c:v>Non Pay</c:v>
                  </c:pt>
                  <c:pt idx="7">
                    <c:v>Income</c:v>
                  </c:pt>
                  <c:pt idx="8">
                    <c:v>Pay WTE</c:v>
                  </c:pt>
                  <c:pt idx="9">
                    <c:v>Non Pay</c:v>
                  </c:pt>
                  <c:pt idx="10">
                    <c:v>Income</c:v>
                  </c:pt>
                  <c:pt idx="11">
                    <c:v>Pay Skill</c:v>
                  </c:pt>
                  <c:pt idx="12">
                    <c:v>Pay WTE</c:v>
                  </c:pt>
                </c:lvl>
                <c:lvl>
                  <c:pt idx="0">
                    <c:v>Back Office &amp; Commercial</c:v>
                  </c:pt>
                  <c:pt idx="1">
                    <c:v>Back Office &amp; Commercial</c:v>
                  </c:pt>
                  <c:pt idx="2">
                    <c:v>Clinical Workforce</c:v>
                  </c:pt>
                  <c:pt idx="3">
                    <c:v>Major IT Programme</c:v>
                  </c:pt>
                  <c:pt idx="4">
                    <c:v>Medical Workforce</c:v>
                  </c:pt>
                  <c:pt idx="5">
                    <c:v>Medical Workforce</c:v>
                  </c:pt>
                  <c:pt idx="6">
                    <c:v>Operational Estate</c:v>
                  </c:pt>
                  <c:pt idx="7">
                    <c:v>Operational Productivity</c:v>
                  </c:pt>
                  <c:pt idx="8">
                    <c:v>Operational Productivity</c:v>
                  </c:pt>
                  <c:pt idx="9">
                    <c:v>Operational Productivity</c:v>
                  </c:pt>
                  <c:pt idx="10">
                    <c:v>Transformation</c:v>
                  </c:pt>
                  <c:pt idx="11">
                    <c:v>Workforce</c:v>
                  </c:pt>
                  <c:pt idx="12">
                    <c:v>Workforce</c:v>
                  </c:pt>
                </c:lvl>
              </c:multiLvlStrCache>
            </c:multiLvlStrRef>
          </c:cat>
          <c:val>
            <c:numRef>
              <c:f>'Monthly workings for CIPs'!$E$60:$E$72</c:f>
              <c:numCache>
                <c:formatCode>#,##0.00</c:formatCode>
                <c:ptCount val="13"/>
                <c:pt idx="0">
                  <c:v>0</c:v>
                </c:pt>
                <c:pt idx="1">
                  <c:v>0.99971203068628256</c:v>
                </c:pt>
                <c:pt idx="2">
                  <c:v>0</c:v>
                </c:pt>
                <c:pt idx="3">
                  <c:v>0</c:v>
                </c:pt>
                <c:pt idx="4">
                  <c:v>0</c:v>
                </c:pt>
                <c:pt idx="5">
                  <c:v>0</c:v>
                </c:pt>
                <c:pt idx="6">
                  <c:v>0</c:v>
                </c:pt>
                <c:pt idx="7">
                  <c:v>0</c:v>
                </c:pt>
                <c:pt idx="8">
                  <c:v>0</c:v>
                </c:pt>
                <c:pt idx="9">
                  <c:v>0</c:v>
                </c:pt>
                <c:pt idx="10">
                  <c:v>0</c:v>
                </c:pt>
                <c:pt idx="11">
                  <c:v>0.11750000000000682</c:v>
                </c:pt>
                <c:pt idx="12">
                  <c:v>0</c:v>
                </c:pt>
              </c:numCache>
            </c:numRef>
          </c:val>
        </c:ser>
        <c:ser>
          <c:idx val="2"/>
          <c:order val="2"/>
          <c:tx>
            <c:strRef>
              <c:f>'Monthly workings for CIPs'!$F$59</c:f>
              <c:strCache>
                <c:ptCount val="1"/>
                <c:pt idx="0">
                  <c:v>Non Delivery</c:v>
                </c:pt>
              </c:strCache>
            </c:strRef>
          </c:tx>
          <c:spPr>
            <a:solidFill>
              <a:srgbClr val="FF0000"/>
            </a:solidFill>
            <a:ln w="12700">
              <a:solidFill>
                <a:srgbClr val="000000"/>
              </a:solidFill>
              <a:prstDash val="solid"/>
            </a:ln>
          </c:spPr>
          <c:invertIfNegative val="0"/>
          <c:cat>
            <c:multiLvlStrRef>
              <c:f>'Monthly workings for CIPs'!$B$60:$C$72</c:f>
              <c:multiLvlStrCache>
                <c:ptCount val="13"/>
                <c:lvl>
                  <c:pt idx="0">
                    <c:v>Income</c:v>
                  </c:pt>
                  <c:pt idx="1">
                    <c:v>Non Pay</c:v>
                  </c:pt>
                  <c:pt idx="2">
                    <c:v>Pay Skill</c:v>
                  </c:pt>
                  <c:pt idx="3">
                    <c:v>Non Pay</c:v>
                  </c:pt>
                  <c:pt idx="4">
                    <c:v>Pay Skill</c:v>
                  </c:pt>
                  <c:pt idx="5">
                    <c:v>Pay WTE</c:v>
                  </c:pt>
                  <c:pt idx="6">
                    <c:v>Non Pay</c:v>
                  </c:pt>
                  <c:pt idx="7">
                    <c:v>Income</c:v>
                  </c:pt>
                  <c:pt idx="8">
                    <c:v>Pay WTE</c:v>
                  </c:pt>
                  <c:pt idx="9">
                    <c:v>Non Pay</c:v>
                  </c:pt>
                  <c:pt idx="10">
                    <c:v>Income</c:v>
                  </c:pt>
                  <c:pt idx="11">
                    <c:v>Pay Skill</c:v>
                  </c:pt>
                  <c:pt idx="12">
                    <c:v>Pay WTE</c:v>
                  </c:pt>
                </c:lvl>
                <c:lvl>
                  <c:pt idx="0">
                    <c:v>Back Office &amp; Commercial</c:v>
                  </c:pt>
                  <c:pt idx="1">
                    <c:v>Back Office &amp; Commercial</c:v>
                  </c:pt>
                  <c:pt idx="2">
                    <c:v>Clinical Workforce</c:v>
                  </c:pt>
                  <c:pt idx="3">
                    <c:v>Major IT Programme</c:v>
                  </c:pt>
                  <c:pt idx="4">
                    <c:v>Medical Workforce</c:v>
                  </c:pt>
                  <c:pt idx="5">
                    <c:v>Medical Workforce</c:v>
                  </c:pt>
                  <c:pt idx="6">
                    <c:v>Operational Estate</c:v>
                  </c:pt>
                  <c:pt idx="7">
                    <c:v>Operational Productivity</c:v>
                  </c:pt>
                  <c:pt idx="8">
                    <c:v>Operational Productivity</c:v>
                  </c:pt>
                  <c:pt idx="9">
                    <c:v>Operational Productivity</c:v>
                  </c:pt>
                  <c:pt idx="10">
                    <c:v>Transformation</c:v>
                  </c:pt>
                  <c:pt idx="11">
                    <c:v>Workforce</c:v>
                  </c:pt>
                  <c:pt idx="12">
                    <c:v>Workforce</c:v>
                  </c:pt>
                </c:lvl>
              </c:multiLvlStrCache>
            </c:multiLvlStrRef>
          </c:cat>
          <c:val>
            <c:numRef>
              <c:f>'Monthly workings for CIPs'!$F$60:$F$72</c:f>
              <c:numCache>
                <c:formatCode>#,##0.00</c:formatCode>
                <c:ptCount val="13"/>
                <c:pt idx="0">
                  <c:v>0</c:v>
                </c:pt>
                <c:pt idx="1">
                  <c:v>0</c:v>
                </c:pt>
                <c:pt idx="2">
                  <c:v>0</c:v>
                </c:pt>
                <c:pt idx="3">
                  <c:v>0</c:v>
                </c:pt>
                <c:pt idx="4">
                  <c:v>0</c:v>
                </c:pt>
                <c:pt idx="5">
                  <c:v>0.35833333333334849</c:v>
                </c:pt>
                <c:pt idx="6">
                  <c:v>0.1666666666666643</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overlap val="100"/>
        <c:axId val="107206912"/>
        <c:axId val="107610112"/>
      </c:barChart>
      <c:catAx>
        <c:axId val="10720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07610112"/>
        <c:crosses val="autoZero"/>
        <c:auto val="1"/>
        <c:lblAlgn val="ctr"/>
        <c:lblOffset val="100"/>
        <c:tickLblSkip val="1"/>
        <c:tickMarkSkip val="1"/>
        <c:noMultiLvlLbl val="0"/>
      </c:catAx>
      <c:valAx>
        <c:axId val="107610112"/>
        <c:scaling>
          <c:orientation val="minMax"/>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GB"/>
                  <a:t>£k</a:t>
                </a:r>
              </a:p>
            </c:rich>
          </c:tx>
          <c:layout>
            <c:manualLayout>
              <c:xMode val="edge"/>
              <c:yMode val="edge"/>
              <c:x val="2.1739165098367545E-2"/>
              <c:y val="0.340563973192672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07206912"/>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Efficiency</a:t>
            </a:r>
            <a:r>
              <a:rPr lang="en-GB" baseline="0"/>
              <a:t> plan</a:t>
            </a:r>
            <a:r>
              <a:rPr lang="en-GB"/>
              <a:t> by Month 2016/17</a:t>
            </a:r>
          </a:p>
        </c:rich>
      </c:tx>
      <c:layout>
        <c:manualLayout>
          <c:xMode val="edge"/>
          <c:yMode val="edge"/>
          <c:x val="0.36226415832099201"/>
          <c:y val="3.8327376313455702E-2"/>
        </c:manualLayout>
      </c:layout>
      <c:overlay val="0"/>
      <c:spPr>
        <a:noFill/>
        <a:ln w="25400">
          <a:noFill/>
        </a:ln>
      </c:spPr>
    </c:title>
    <c:autoTitleDeleted val="0"/>
    <c:plotArea>
      <c:layout>
        <c:manualLayout>
          <c:layoutTarget val="inner"/>
          <c:xMode val="edge"/>
          <c:yMode val="edge"/>
          <c:x val="0.12600869025450032"/>
          <c:y val="0.17628265216847894"/>
          <c:w val="0.81440099317194259"/>
          <c:h val="0.55631399317406138"/>
        </c:manualLayout>
      </c:layout>
      <c:lineChart>
        <c:grouping val="standard"/>
        <c:varyColors val="0"/>
        <c:ser>
          <c:idx val="1"/>
          <c:order val="1"/>
          <c:tx>
            <c:strRef>
              <c:f>'Chart Data'!$A$30</c:f>
              <c:strCache>
                <c:ptCount val="1"/>
                <c:pt idx="0">
                  <c:v>Plan</c:v>
                </c:pt>
              </c:strCache>
            </c:strRef>
          </c:tx>
          <c:cat>
            <c:numRef>
              <c:f>'Chart Data'!$B$29:$M$29</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Data'!$B$30:$M$30</c:f>
              <c:numCache>
                <c:formatCode>#,##0;[Red]\(#,##0\)</c:formatCode>
                <c:ptCount val="12"/>
                <c:pt idx="0">
                  <c:v>521.37142434103544</c:v>
                </c:pt>
                <c:pt idx="1">
                  <c:v>511.78148498577781</c:v>
                </c:pt>
                <c:pt idx="2">
                  <c:v>529.66927025661107</c:v>
                </c:pt>
                <c:pt idx="3">
                  <c:v>1691.7746440478118</c:v>
                </c:pt>
                <c:pt idx="4">
                  <c:v>1687.4781082144789</c:v>
                </c:pt>
                <c:pt idx="5">
                  <c:v>1688.144313688201</c:v>
                </c:pt>
                <c:pt idx="6">
                  <c:v>2875.8572990215353</c:v>
                </c:pt>
                <c:pt idx="7">
                  <c:v>2890.3476690215352</c:v>
                </c:pt>
                <c:pt idx="8">
                  <c:v>3129.7916600215349</c:v>
                </c:pt>
                <c:pt idx="9">
                  <c:v>3194.4155408548681</c:v>
                </c:pt>
                <c:pt idx="10">
                  <c:v>3192.4734763548681</c:v>
                </c:pt>
                <c:pt idx="11">
                  <c:v>3190.5689503548683</c:v>
                </c:pt>
              </c:numCache>
            </c:numRef>
          </c:val>
          <c:smooth val="0"/>
        </c:ser>
        <c:ser>
          <c:idx val="0"/>
          <c:order val="0"/>
          <c:tx>
            <c:strRef>
              <c:f>'[5]Chart Data'!$A$31</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'[5]Chart Data'!$B$30:$M$30</c:f>
              <c:numCache>
                <c:formatCode>General</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'[5]Chart Data'!$B$31:$M$31</c:f>
              <c:numCache>
                <c:formatCode>General</c:formatCode>
                <c:ptCount val="12"/>
                <c:pt idx="0">
                  <c:v>521.37142434103544</c:v>
                </c:pt>
                <c:pt idx="1">
                  <c:v>511.78148498577781</c:v>
                </c:pt>
                <c:pt idx="2">
                  <c:v>529.66927025661107</c:v>
                </c:pt>
                <c:pt idx="3">
                  <c:v>1691.7746440478118</c:v>
                </c:pt>
                <c:pt idx="4">
                  <c:v>1687.4781082144789</c:v>
                </c:pt>
                <c:pt idx="5">
                  <c:v>1688.144313688201</c:v>
                </c:pt>
                <c:pt idx="6">
                  <c:v>2875.8572990215353</c:v>
                </c:pt>
                <c:pt idx="7">
                  <c:v>2890.3476690215352</c:v>
                </c:pt>
                <c:pt idx="8">
                  <c:v>3129.7916600215349</c:v>
                </c:pt>
                <c:pt idx="9">
                  <c:v>3194.4155408548681</c:v>
                </c:pt>
                <c:pt idx="10">
                  <c:v>3192.4734763548681</c:v>
                </c:pt>
                <c:pt idx="11">
                  <c:v>3190.5689503548683</c:v>
                </c:pt>
              </c:numCache>
            </c:numRef>
          </c:val>
          <c:smooth val="0"/>
        </c:ser>
        <c:dLbls>
          <c:showLegendKey val="0"/>
          <c:showVal val="0"/>
          <c:showCatName val="0"/>
          <c:showSerName val="0"/>
          <c:showPercent val="0"/>
          <c:showBubbleSize val="0"/>
        </c:dLbls>
        <c:marker val="1"/>
        <c:smooth val="0"/>
        <c:axId val="107672320"/>
        <c:axId val="107674240"/>
      </c:lineChart>
      <c:dateAx>
        <c:axId val="107672320"/>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b="0"/>
            </a:pPr>
            <a:endParaRPr lang="en-US"/>
          </a:p>
        </c:txPr>
        <c:crossAx val="107674240"/>
        <c:crossesAt val="-4000"/>
        <c:auto val="1"/>
        <c:lblOffset val="100"/>
        <c:baseTimeUnit val="months"/>
        <c:majorUnit val="1"/>
        <c:majorTimeUnit val="months"/>
        <c:minorUnit val="1"/>
        <c:minorTimeUnit val="months"/>
      </c:dateAx>
      <c:valAx>
        <c:axId val="107674240"/>
        <c:scaling>
          <c:orientation val="minMax"/>
        </c:scaling>
        <c:delete val="0"/>
        <c:axPos val="l"/>
        <c:majorGridlines>
          <c:spPr>
            <a:ln w="3175">
              <a:solidFill>
                <a:srgbClr val="000000"/>
              </a:solidFill>
              <a:prstDash val="solid"/>
            </a:ln>
          </c:spPr>
        </c:majorGridlines>
        <c:title>
          <c:tx>
            <c:rich>
              <a:bodyPr/>
              <a:lstStyle/>
              <a:p>
                <a:pPr>
                  <a:defRPr/>
                </a:pPr>
                <a:r>
                  <a:rPr lang="en-GB"/>
                  <a:t>£k</a:t>
                </a:r>
              </a:p>
            </c:rich>
          </c:tx>
          <c:layout>
            <c:manualLayout>
              <c:xMode val="edge"/>
              <c:yMode val="edge"/>
              <c:x val="3.0188712444464045E-2"/>
              <c:y val="0.46341458170971039"/>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b="0"/>
            </a:pPr>
            <a:endParaRPr lang="en-US"/>
          </a:p>
        </c:txPr>
        <c:crossAx val="107672320"/>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In Month Income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val>
            <c:numLit>
              <c:formatCode>General</c:formatCode>
              <c:ptCount val="1"/>
              <c:pt idx="0">
                <c:v>0</c:v>
              </c:pt>
            </c:numLit>
          </c:val>
          <c:smooth val="0"/>
        </c:ser>
        <c:dLbls>
          <c:showLegendKey val="0"/>
          <c:showVal val="0"/>
          <c:showCatName val="0"/>
          <c:showSerName val="0"/>
          <c:showPercent val="0"/>
          <c:showBubbleSize val="0"/>
        </c:dLbls>
        <c:marker val="1"/>
        <c:smooth val="0"/>
        <c:axId val="113722496"/>
        <c:axId val="113724032"/>
      </c:lineChart>
      <c:catAx>
        <c:axId val="11372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724032"/>
        <c:crosses val="autoZero"/>
        <c:auto val="1"/>
        <c:lblAlgn val="ctr"/>
        <c:lblOffset val="100"/>
        <c:tickLblSkip val="1"/>
        <c:tickMarkSkip val="1"/>
        <c:noMultiLvlLbl val="0"/>
      </c:catAx>
      <c:valAx>
        <c:axId val="113724032"/>
        <c:scaling>
          <c:orientation val="minMax"/>
          <c:min val="40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7224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Actual to YE Forecast</a:t>
            </a:r>
          </a:p>
        </c:rich>
      </c:tx>
      <c:overlay val="0"/>
      <c:spPr>
        <a:noFill/>
        <a:ln w="25400">
          <a:noFill/>
        </a:ln>
      </c:spPr>
    </c:title>
    <c:autoTitleDeleted val="0"/>
    <c:plotArea>
      <c:layout/>
      <c:barChart>
        <c:barDir val="col"/>
        <c:grouping val="stacked"/>
        <c:varyColors val="0"/>
        <c:ser>
          <c:idx val="0"/>
          <c:order val="0"/>
          <c:spPr>
            <a:noFill/>
            <a:ln w="25400">
              <a:noFill/>
            </a:ln>
          </c:spPr>
          <c:invertIfNegative val="0"/>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1'!$B$46:$B$54</c:f>
              <c:numCache>
                <c:formatCode>General</c:formatCode>
                <c:ptCount val="9"/>
                <c:pt idx="0">
                  <c:v>0</c:v>
                </c:pt>
                <c:pt idx="1">
                  <c:v>23</c:v>
                </c:pt>
                <c:pt idx="2">
                  <c:v>24</c:v>
                </c:pt>
                <c:pt idx="3">
                  <c:v>18</c:v>
                </c:pt>
                <c:pt idx="4">
                  <c:v>11</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FF0000"/>
              </a:solidFill>
              <a:ln w="12700">
                <a:solidFill>
                  <a:srgbClr val="000000"/>
                </a:solidFill>
                <a:prstDash val="solid"/>
              </a:ln>
            </c:spPr>
          </c:dPt>
          <c:dPt>
            <c:idx val="3"/>
            <c:invertIfNegative val="0"/>
            <c:bubble3D val="0"/>
            <c:spPr>
              <a:solidFill>
                <a:srgbClr val="FF0000"/>
              </a:solidFill>
              <a:ln w="12700">
                <a:solidFill>
                  <a:srgbClr val="000000"/>
                </a:solidFill>
                <a:prstDash val="solid"/>
              </a:ln>
            </c:spPr>
          </c:dPt>
          <c:dPt>
            <c:idx val="4"/>
            <c:invertIfNegative val="0"/>
            <c:bubble3D val="0"/>
            <c:spPr>
              <a:solidFill>
                <a:srgbClr val="FF0000"/>
              </a:solidFill>
              <a:ln w="12700">
                <a:solidFill>
                  <a:srgbClr val="000000"/>
                </a:solidFill>
                <a:prstDash val="solid"/>
              </a:ln>
            </c:spPr>
          </c:dPt>
          <c:dPt>
            <c:idx val="8"/>
            <c:invertIfNegative val="0"/>
            <c:bubble3D val="0"/>
            <c:spPr>
              <a:solidFill>
                <a:srgbClr val="808080"/>
              </a:solidFill>
              <a:ln w="12700">
                <a:solidFill>
                  <a:srgbClr val="000000"/>
                </a:solidFill>
                <a:prstDash val="solid"/>
              </a:ln>
            </c:spPr>
          </c:dPt>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1'!$C$46:$C$54</c:f>
              <c:numCache>
                <c:formatCode>General</c:formatCode>
                <c:ptCount val="9"/>
                <c:pt idx="0">
                  <c:v>23</c:v>
                </c:pt>
                <c:pt idx="1">
                  <c:v>3</c:v>
                </c:pt>
                <c:pt idx="2">
                  <c:v>2</c:v>
                </c:pt>
                <c:pt idx="3">
                  <c:v>6</c:v>
                </c:pt>
                <c:pt idx="4">
                  <c:v>7</c:v>
                </c:pt>
                <c:pt idx="5">
                  <c:v>0</c:v>
                </c:pt>
                <c:pt idx="6">
                  <c:v>0</c:v>
                </c:pt>
                <c:pt idx="7">
                  <c:v>0</c:v>
                </c:pt>
                <c:pt idx="8">
                  <c:v>11</c:v>
                </c:pt>
              </c:numCache>
            </c:numRef>
          </c:val>
        </c:ser>
        <c:dLbls>
          <c:showLegendKey val="0"/>
          <c:showVal val="0"/>
          <c:showCatName val="0"/>
          <c:showSerName val="0"/>
          <c:showPercent val="0"/>
          <c:showBubbleSize val="0"/>
        </c:dLbls>
        <c:gapWidth val="150"/>
        <c:overlap val="100"/>
        <c:axId val="105606144"/>
        <c:axId val="105612032"/>
      </c:barChart>
      <c:catAx>
        <c:axId val="10560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5612032"/>
        <c:crosses val="autoZero"/>
        <c:auto val="1"/>
        <c:lblAlgn val="ctr"/>
        <c:lblOffset val="100"/>
        <c:tickLblSkip val="1"/>
        <c:tickMarkSkip val="1"/>
        <c:noMultiLvlLbl val="0"/>
      </c:catAx>
      <c:valAx>
        <c:axId val="1056120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60614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Operating Costs In Month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val>
            <c:numLit>
              <c:formatCode>General</c:formatCode>
              <c:ptCount val="1"/>
              <c:pt idx="0">
                <c:v>0</c:v>
              </c:pt>
            </c:numLit>
          </c:val>
          <c:smooth val="0"/>
        </c:ser>
        <c:dLbls>
          <c:showLegendKey val="0"/>
          <c:showVal val="0"/>
          <c:showCatName val="0"/>
          <c:showSerName val="0"/>
          <c:showPercent val="0"/>
          <c:showBubbleSize val="0"/>
        </c:dLbls>
        <c:marker val="1"/>
        <c:smooth val="0"/>
        <c:axId val="113767168"/>
        <c:axId val="113768704"/>
      </c:lineChart>
      <c:catAx>
        <c:axId val="113767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768704"/>
        <c:crosses val="autoZero"/>
        <c:auto val="1"/>
        <c:lblAlgn val="ctr"/>
        <c:lblOffset val="100"/>
        <c:tickLblSkip val="1"/>
        <c:tickMarkSkip val="1"/>
        <c:noMultiLvlLbl val="0"/>
      </c:catAx>
      <c:valAx>
        <c:axId val="113768704"/>
        <c:scaling>
          <c:orientation val="minMax"/>
          <c:max val="55000"/>
          <c:min val="40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767168"/>
        <c:crosses val="autoZero"/>
        <c:crossBetween val="between"/>
        <c:majorUnit val="200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Surplus In Month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dPt>
          <c:val>
            <c:numLit>
              <c:formatCode>General</c:formatCode>
              <c:ptCount val="1"/>
              <c:pt idx="0">
                <c:v>0</c:v>
              </c:pt>
            </c:numLit>
          </c:val>
          <c:smooth val="0"/>
        </c:ser>
        <c:dLbls>
          <c:showLegendKey val="0"/>
          <c:showVal val="0"/>
          <c:showCatName val="0"/>
          <c:showSerName val="0"/>
          <c:showPercent val="0"/>
          <c:showBubbleSize val="0"/>
        </c:dLbls>
        <c:marker val="1"/>
        <c:smooth val="0"/>
        <c:axId val="113831936"/>
        <c:axId val="113833472"/>
      </c:lineChart>
      <c:catAx>
        <c:axId val="113831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833472"/>
        <c:crosses val="autoZero"/>
        <c:auto val="1"/>
        <c:lblAlgn val="ctr"/>
        <c:lblOffset val="100"/>
        <c:tickLblSkip val="1"/>
        <c:tickMarkSkip val="1"/>
        <c:noMultiLvlLbl val="0"/>
      </c:catAx>
      <c:valAx>
        <c:axId val="113833472"/>
        <c:scaling>
          <c:orientation val="minMax"/>
          <c:max val="3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8319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Operating Costs In Month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val>
            <c:numLit>
              <c:formatCode>General</c:formatCode>
              <c:ptCount val="1"/>
              <c:pt idx="0">
                <c:v>0</c:v>
              </c:pt>
            </c:numLit>
          </c:val>
          <c:smooth val="0"/>
        </c:ser>
        <c:dLbls>
          <c:showLegendKey val="0"/>
          <c:showVal val="0"/>
          <c:showCatName val="0"/>
          <c:showSerName val="0"/>
          <c:showPercent val="0"/>
          <c:showBubbleSize val="0"/>
        </c:dLbls>
        <c:marker val="1"/>
        <c:smooth val="0"/>
        <c:axId val="113864064"/>
        <c:axId val="113869952"/>
      </c:lineChart>
      <c:catAx>
        <c:axId val="11386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869952"/>
        <c:crosses val="autoZero"/>
        <c:auto val="1"/>
        <c:lblAlgn val="ctr"/>
        <c:lblOffset val="100"/>
        <c:tickLblSkip val="1"/>
        <c:tickMarkSkip val="1"/>
        <c:noMultiLvlLbl val="0"/>
      </c:catAx>
      <c:valAx>
        <c:axId val="113869952"/>
        <c:scaling>
          <c:orientation val="minMax"/>
          <c:max val="55000"/>
          <c:min val="40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864064"/>
        <c:crosses val="autoZero"/>
        <c:crossBetween val="between"/>
        <c:majorUnit val="200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Surplus In Month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dPt>
          <c:val>
            <c:numLit>
              <c:formatCode>General</c:formatCode>
              <c:ptCount val="1"/>
              <c:pt idx="0">
                <c:v>0</c:v>
              </c:pt>
            </c:numLit>
          </c:val>
          <c:smooth val="0"/>
        </c:ser>
        <c:dLbls>
          <c:showLegendKey val="0"/>
          <c:showVal val="0"/>
          <c:showCatName val="0"/>
          <c:showSerName val="0"/>
          <c:showPercent val="0"/>
          <c:showBubbleSize val="0"/>
        </c:dLbls>
        <c:marker val="1"/>
        <c:smooth val="0"/>
        <c:axId val="113904256"/>
        <c:axId val="113910144"/>
      </c:lineChart>
      <c:catAx>
        <c:axId val="11390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910144"/>
        <c:crosses val="autoZero"/>
        <c:auto val="1"/>
        <c:lblAlgn val="ctr"/>
        <c:lblOffset val="100"/>
        <c:tickLblSkip val="1"/>
        <c:tickMarkSkip val="1"/>
        <c:noMultiLvlLbl val="0"/>
      </c:catAx>
      <c:valAx>
        <c:axId val="113910144"/>
        <c:scaling>
          <c:orientation val="minMax"/>
          <c:max val="3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90425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Operating Costs In Month 2011/12</a:t>
            </a:r>
          </a:p>
        </c:rich>
      </c:tx>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808080"/>
              </a:solidFill>
              <a:prstDash val="solid"/>
            </a:ln>
          </c:spPr>
          <c:marker>
            <c:symbol val="square"/>
            <c:size val="7"/>
            <c:spPr>
              <a:solidFill>
                <a:srgbClr val="808080"/>
              </a:solidFill>
              <a:ln>
                <a:solidFill>
                  <a:srgbClr val="808080"/>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13947776"/>
        <c:axId val="113949696"/>
      </c:lineChart>
      <c:catAx>
        <c:axId val="1139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13949696"/>
        <c:crosses val="autoZero"/>
        <c:auto val="1"/>
        <c:lblAlgn val="ctr"/>
        <c:lblOffset val="100"/>
        <c:tickLblSkip val="1"/>
        <c:tickMarkSkip val="1"/>
        <c:noMultiLvlLbl val="0"/>
      </c:catAx>
      <c:valAx>
        <c:axId val="113949696"/>
        <c:scaling>
          <c:orientation val="minMax"/>
          <c:max val="55000"/>
          <c:min val="40000"/>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£k</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13947776"/>
        <c:crosses val="autoZero"/>
        <c:crossBetween val="between"/>
        <c:majorUnit val="200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Trade and Other Receivables Month 3  2015/16</a:t>
            </a:r>
          </a:p>
          <a:p>
            <a:pPr>
              <a:defRPr sz="1200" b="1" i="0" u="none" strike="noStrike" baseline="0">
                <a:solidFill>
                  <a:srgbClr val="000000"/>
                </a:solidFill>
                <a:latin typeface="Arial"/>
                <a:ea typeface="Arial"/>
                <a:cs typeface="Arial"/>
              </a:defRPr>
            </a:pPr>
            <a:endParaRPr lang="en-GB"/>
          </a:p>
        </c:rich>
      </c:tx>
      <c:layout>
        <c:manualLayout>
          <c:xMode val="edge"/>
          <c:yMode val="edge"/>
          <c:x val="0.25144508670520233"/>
          <c:y val="3.4985422740524796E-2"/>
        </c:manualLayout>
      </c:layout>
      <c:overlay val="0"/>
      <c:spPr>
        <a:noFill/>
        <a:ln w="25400">
          <a:noFill/>
        </a:ln>
      </c:spPr>
    </c:title>
    <c:autoTitleDeleted val="0"/>
    <c:plotArea>
      <c:layout>
        <c:manualLayout>
          <c:layoutTarget val="inner"/>
          <c:xMode val="edge"/>
          <c:yMode val="edge"/>
          <c:x val="0.39306358381503154"/>
          <c:y val="0.34693926939924558"/>
          <c:w val="0.2138728323699422"/>
          <c:h val="0.4314874947150257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Data'!$B$51:$B$54</c:f>
              <c:strCache>
                <c:ptCount val="4"/>
                <c:pt idx="0">
                  <c:v>Invoiced Debtors</c:v>
                </c:pt>
                <c:pt idx="1">
                  <c:v>Accrued Income</c:v>
                </c:pt>
                <c:pt idx="2">
                  <c:v>Prepayments</c:v>
                </c:pt>
                <c:pt idx="3">
                  <c:v>Other Debtors</c:v>
                </c:pt>
              </c:strCache>
            </c:strRef>
          </c:cat>
          <c:val>
            <c:numRef>
              <c:f>'Balance Sheet Data'!$D$51:$D$54</c:f>
              <c:numCache>
                <c:formatCode>#,##0;\(#,##0\);\-</c:formatCode>
                <c:ptCount val="4"/>
                <c:pt idx="0">
                  <c:v>7404</c:v>
                </c:pt>
                <c:pt idx="1">
                  <c:v>36294</c:v>
                </c:pt>
                <c:pt idx="2">
                  <c:v>6709</c:v>
                </c:pt>
                <c:pt idx="3">
                  <c:v>1207</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Invoiced Debtors Ageing Month 3 2015/16</a:t>
            </a:r>
          </a:p>
        </c:rich>
      </c:tx>
      <c:layout>
        <c:manualLayout>
          <c:xMode val="edge"/>
          <c:yMode val="edge"/>
          <c:x val="0.27456647398843986"/>
          <c:y val="3.4985422740524796E-2"/>
        </c:manualLayout>
      </c:layout>
      <c:overlay val="0"/>
      <c:spPr>
        <a:noFill/>
        <a:ln w="25400">
          <a:noFill/>
        </a:ln>
      </c:spPr>
    </c:title>
    <c:autoTitleDeleted val="0"/>
    <c:plotArea>
      <c:layout>
        <c:manualLayout>
          <c:layoutTarget val="inner"/>
          <c:xMode val="edge"/>
          <c:yMode val="edge"/>
          <c:x val="0.39306358381503154"/>
          <c:y val="0.34693926939924558"/>
          <c:w val="0.2138728323699422"/>
          <c:h val="0.4314874947150257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'Balance Sheet Data'!$B$72:$B$75</c:f>
              <c:strCache>
                <c:ptCount val="4"/>
                <c:pt idx="0">
                  <c:v>1-30 Days</c:v>
                </c:pt>
                <c:pt idx="1">
                  <c:v>31-60 Days</c:v>
                </c:pt>
                <c:pt idx="2">
                  <c:v>61-90 Days</c:v>
                </c:pt>
                <c:pt idx="3">
                  <c:v>Over 90 Days</c:v>
                </c:pt>
              </c:strCache>
            </c:strRef>
          </c:cat>
          <c:val>
            <c:numRef>
              <c:f>'Balance Sheet Data'!$D$72:$D$75</c:f>
              <c:numCache>
                <c:formatCode>#,##0;\(#,##0\);\-</c:formatCode>
                <c:ptCount val="4"/>
                <c:pt idx="0">
                  <c:v>3850</c:v>
                </c:pt>
                <c:pt idx="1">
                  <c:v>1313</c:v>
                </c:pt>
                <c:pt idx="2">
                  <c:v>3942</c:v>
                </c:pt>
                <c:pt idx="3">
                  <c:v>6282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5873925502368E-2"/>
          <c:y val="8.4415584415584416E-2"/>
          <c:w val="0.67048710601719264"/>
          <c:h val="0.71428571428571463"/>
        </c:manualLayout>
      </c:layout>
      <c:barChart>
        <c:barDir val="col"/>
        <c:grouping val="clustered"/>
        <c:varyColors val="0"/>
        <c:ser>
          <c:idx val="1"/>
          <c:order val="0"/>
          <c:tx>
            <c:strRef>
              <c:f>'Cash Data'!$AF$2</c:f>
              <c:strCache>
                <c:ptCount val="1"/>
                <c:pt idx="0">
                  <c:v>Investment</c:v>
                </c:pt>
              </c:strCache>
            </c:strRef>
          </c:tx>
          <c:spPr>
            <a:solidFill>
              <a:srgbClr val="993366"/>
            </a:solidFill>
            <a:ln w="12700">
              <a:solidFill>
                <a:srgbClr val="000000"/>
              </a:solidFill>
              <a:prstDash val="solid"/>
            </a:ln>
          </c:spPr>
          <c:invertIfNegative val="0"/>
          <c:cat>
            <c:numRef>
              <c:f>'Cash Data'!$AG$1:$AR$1</c:f>
              <c:numCache>
                <c:formatCode>mmm\-yy</c:formatCode>
                <c:ptCount val="12"/>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numCache>
            </c:numRef>
          </c:cat>
          <c:val>
            <c:numRef>
              <c:f>'Cash Data'!$AG$2:$AR$2</c:f>
              <c:numCache>
                <c:formatCode>#,##0</c:formatCode>
                <c:ptCount val="12"/>
                <c:pt idx="0">
                  <c:v>7000</c:v>
                </c:pt>
                <c:pt idx="1">
                  <c:v>5000</c:v>
                </c:pt>
                <c:pt idx="2">
                  <c:v>7000</c:v>
                </c:pt>
                <c:pt idx="3">
                  <c:v>7000</c:v>
                </c:pt>
                <c:pt idx="4">
                  <c:v>7000</c:v>
                </c:pt>
                <c:pt idx="5">
                  <c:v>7000</c:v>
                </c:pt>
                <c:pt idx="6">
                  <c:v>7000</c:v>
                </c:pt>
                <c:pt idx="7">
                  <c:v>7000</c:v>
                </c:pt>
                <c:pt idx="8">
                  <c:v>7000</c:v>
                </c:pt>
                <c:pt idx="9">
                  <c:v>7000</c:v>
                </c:pt>
                <c:pt idx="10">
                  <c:v>7000</c:v>
                </c:pt>
                <c:pt idx="11">
                  <c:v>7000</c:v>
                </c:pt>
              </c:numCache>
            </c:numRef>
          </c:val>
        </c:ser>
        <c:dLbls>
          <c:showLegendKey val="0"/>
          <c:showVal val="0"/>
          <c:showCatName val="0"/>
          <c:showSerName val="0"/>
          <c:showPercent val="0"/>
          <c:showBubbleSize val="0"/>
        </c:dLbls>
        <c:gapWidth val="150"/>
        <c:axId val="116394624"/>
        <c:axId val="116413184"/>
      </c:barChart>
      <c:lineChart>
        <c:grouping val="standard"/>
        <c:varyColors val="0"/>
        <c:ser>
          <c:idx val="0"/>
          <c:order val="1"/>
          <c:tx>
            <c:strRef>
              <c:f>'Cash Data'!$AF$3</c:f>
              <c:strCache>
                <c:ptCount val="1"/>
                <c:pt idx="0">
                  <c:v>Interest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'Cash Data'!$AG$1:$AR$1</c:f>
              <c:numCache>
                <c:formatCode>mmm\-yy</c:formatCode>
                <c:ptCount val="12"/>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numCache>
            </c:numRef>
          </c:cat>
          <c:val>
            <c:numRef>
              <c:f>'Cash Data'!$AG$3:$AR$3</c:f>
              <c:numCache>
                <c:formatCode>#,##0</c:formatCode>
                <c:ptCount val="12"/>
                <c:pt idx="0">
                  <c:v>4000</c:v>
                </c:pt>
                <c:pt idx="1">
                  <c:v>3000</c:v>
                </c:pt>
                <c:pt idx="2">
                  <c:v>4000</c:v>
                </c:pt>
                <c:pt idx="3">
                  <c:v>4000</c:v>
                </c:pt>
                <c:pt idx="4">
                  <c:v>4000</c:v>
                </c:pt>
                <c:pt idx="5">
                  <c:v>4000</c:v>
                </c:pt>
                <c:pt idx="6">
                  <c:v>4000</c:v>
                </c:pt>
                <c:pt idx="7">
                  <c:v>4000</c:v>
                </c:pt>
                <c:pt idx="8">
                  <c:v>4000</c:v>
                </c:pt>
                <c:pt idx="9">
                  <c:v>4000</c:v>
                </c:pt>
                <c:pt idx="10">
                  <c:v>4000</c:v>
                </c:pt>
                <c:pt idx="11">
                  <c:v>4000</c:v>
                </c:pt>
              </c:numCache>
            </c:numRef>
          </c:val>
          <c:smooth val="0"/>
        </c:ser>
        <c:dLbls>
          <c:showLegendKey val="0"/>
          <c:showVal val="0"/>
          <c:showCatName val="0"/>
          <c:showSerName val="0"/>
          <c:showPercent val="0"/>
          <c:showBubbleSize val="0"/>
        </c:dLbls>
        <c:marker val="1"/>
        <c:smooth val="0"/>
        <c:axId val="116414720"/>
        <c:axId val="116416512"/>
      </c:lineChart>
      <c:catAx>
        <c:axId val="116394624"/>
        <c:scaling>
          <c:orientation val="minMax"/>
        </c:scaling>
        <c:delete val="0"/>
        <c:axPos val="b"/>
        <c:numFmt formatCode="mmm\-yy"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413184"/>
        <c:crosses val="autoZero"/>
        <c:auto val="0"/>
        <c:lblAlgn val="ctr"/>
        <c:lblOffset val="100"/>
        <c:tickLblSkip val="1"/>
        <c:tickMarkSkip val="1"/>
        <c:noMultiLvlLbl val="0"/>
      </c:catAx>
      <c:valAx>
        <c:axId val="11641318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394624"/>
        <c:crosses val="autoZero"/>
        <c:crossBetween val="between"/>
      </c:valAx>
      <c:catAx>
        <c:axId val="116414720"/>
        <c:scaling>
          <c:orientation val="minMax"/>
        </c:scaling>
        <c:delete val="1"/>
        <c:axPos val="b"/>
        <c:numFmt formatCode="mmm\-yy" sourceLinked="1"/>
        <c:majorTickMark val="out"/>
        <c:minorTickMark val="none"/>
        <c:tickLblPos val="none"/>
        <c:crossAx val="116416512"/>
        <c:crosses val="autoZero"/>
        <c:auto val="0"/>
        <c:lblAlgn val="ctr"/>
        <c:lblOffset val="100"/>
        <c:noMultiLvlLbl val="0"/>
      </c:catAx>
      <c:valAx>
        <c:axId val="116416512"/>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414720"/>
        <c:crosses val="max"/>
        <c:crossBetween val="between"/>
      </c:valAx>
      <c:spPr>
        <a:solidFill>
          <a:srgbClr val="C0C0C0"/>
        </a:solidFill>
        <a:ln w="12700">
          <a:solidFill>
            <a:srgbClr val="808080"/>
          </a:solidFill>
          <a:prstDash val="solid"/>
        </a:ln>
      </c:spPr>
    </c:plotArea>
    <c:legend>
      <c:legendPos val="r"/>
      <c:layout>
        <c:manualLayout>
          <c:xMode val="edge"/>
          <c:yMode val="edge"/>
          <c:x val="0.84383954154727792"/>
          <c:y val="0.37337662337662419"/>
          <c:w val="0.14469914040114637"/>
          <c:h val="0.14285714285714313"/>
        </c:manualLayout>
      </c:layout>
      <c:overlay val="0"/>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3" r="0.75000000000000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Capital Expenditure Monthly 2010/11</a:t>
            </a:r>
          </a:p>
        </c:rich>
      </c:tx>
      <c:layout>
        <c:manualLayout>
          <c:xMode val="edge"/>
          <c:yMode val="edge"/>
          <c:x val="0.29799426934097745"/>
          <c:y val="3.4383954154727794E-2"/>
        </c:manualLayout>
      </c:layout>
      <c:overlay val="0"/>
      <c:spPr>
        <a:noFill/>
        <a:ln w="25400">
          <a:noFill/>
        </a:ln>
      </c:spPr>
    </c:title>
    <c:autoTitleDeleted val="0"/>
    <c:plotArea>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val>
            <c:numLit>
              <c:formatCode>General</c:formatCode>
              <c:ptCount val="1"/>
              <c:pt idx="0">
                <c:v>0</c:v>
              </c:pt>
            </c:numLit>
          </c:val>
          <c:smooth val="0"/>
        </c:ser>
        <c:ser>
          <c:idx val="1"/>
          <c:order val="1"/>
          <c:spPr>
            <a:ln w="254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ser>
        <c:ser>
          <c:idx val="2"/>
          <c:order val="2"/>
          <c:spPr>
            <a:ln w="25400">
              <a:solidFill>
                <a:srgbClr val="808080"/>
              </a:solidFill>
              <a:prstDash val="solid"/>
            </a:ln>
          </c:spPr>
          <c:marker>
            <c:symbol val="triangle"/>
            <c:size val="5"/>
            <c:spPr>
              <a:solidFill>
                <a:srgbClr val="808080"/>
              </a:solidFill>
              <a:ln>
                <a:solidFill>
                  <a:srgbClr val="808080"/>
                </a:solidFill>
                <a:prstDash val="solid"/>
              </a:ln>
            </c:spPr>
          </c:marker>
          <c:val>
            <c:numLit>
              <c:formatCode>General</c:formatCode>
              <c:ptCount val="1"/>
              <c:pt idx="0">
                <c:v>0</c:v>
              </c:pt>
            </c:numLit>
          </c:val>
          <c:smooth val="0"/>
        </c:ser>
        <c:ser>
          <c:idx val="3"/>
          <c:order val="3"/>
          <c:spPr>
            <a:ln w="25400">
              <a:solidFill>
                <a:srgbClr val="00FFFF"/>
              </a:solidFill>
              <a:prstDash val="solid"/>
            </a:ln>
          </c:spPr>
          <c:marker>
            <c:symbol val="x"/>
            <c:size val="7"/>
            <c:spPr>
              <a:noFill/>
              <a:ln>
                <a:solidFill>
                  <a:srgbClr val="00FFFF"/>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14161920"/>
        <c:axId val="116437376"/>
      </c:lineChart>
      <c:catAx>
        <c:axId val="114161920"/>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437376"/>
        <c:crosses val="autoZero"/>
        <c:auto val="1"/>
        <c:lblAlgn val="ctr"/>
        <c:lblOffset val="100"/>
        <c:tickLblSkip val="1"/>
        <c:tickMarkSkip val="1"/>
        <c:noMultiLvlLbl val="0"/>
      </c:catAx>
      <c:valAx>
        <c:axId val="1164373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£k</a:t>
                </a:r>
              </a:p>
            </c:rich>
          </c:tx>
          <c:layout>
            <c:manualLayout>
              <c:xMode val="edge"/>
              <c:yMode val="edge"/>
              <c:x val="2.2922636103151837E-2"/>
              <c:y val="0.467049312245711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16192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5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Capital Waterfall Year End Forecast 2010/11</a:t>
            </a:r>
          </a:p>
        </c:rich>
      </c:tx>
      <c:layout>
        <c:manualLayout>
          <c:xMode val="edge"/>
          <c:yMode val="edge"/>
          <c:x val="0.26074498567335241"/>
          <c:y val="3.4383954154727794E-2"/>
        </c:manualLayout>
      </c:layout>
      <c:overlay val="0"/>
      <c:spPr>
        <a:noFill/>
        <a:ln w="25400">
          <a:noFill/>
        </a:ln>
      </c:spPr>
    </c:title>
    <c:autoTitleDeleted val="0"/>
    <c:plotArea>
      <c:layout/>
      <c:barChart>
        <c:barDir val="col"/>
        <c:grouping val="stacked"/>
        <c:varyColors val="0"/>
        <c:ser>
          <c:idx val="0"/>
          <c:order val="0"/>
          <c:spPr>
            <a:noFill/>
            <a:ln w="25400">
              <a:noFill/>
            </a:ln>
          </c:spPr>
          <c:invertIfNegative val="0"/>
          <c:val>
            <c:numLit>
              <c:formatCode>General</c:formatCode>
              <c:ptCount val="1"/>
              <c:pt idx="0">
                <c:v>0</c:v>
              </c:pt>
            </c:numLit>
          </c:val>
        </c:ser>
        <c:ser>
          <c:idx val="1"/>
          <c:order val="1"/>
          <c:spPr>
            <a:solidFill>
              <a:srgbClr val="993366"/>
            </a:solidFill>
            <a:ln w="12700">
              <a:solidFill>
                <a:srgbClr val="000000"/>
              </a:solidFill>
              <a:prstDash val="solid"/>
            </a:ln>
          </c:spPr>
          <c:invertIfNegative val="0"/>
          <c:dPt>
            <c:idx val="0"/>
            <c:invertIfNegative val="0"/>
            <c:bubble3D val="0"/>
            <c:spPr>
              <a:solidFill>
                <a:srgbClr val="0000FF"/>
              </a:solidFill>
              <a:ln w="12700">
                <a:solidFill>
                  <a:srgbClr val="000000"/>
                </a:solidFill>
                <a:prstDash val="solid"/>
              </a:ln>
            </c:spPr>
          </c:dPt>
          <c:val>
            <c:numLit>
              <c:formatCode>General</c:formatCode>
              <c:ptCount val="1"/>
              <c:pt idx="0">
                <c:v>0</c:v>
              </c:pt>
            </c:numLit>
          </c:val>
        </c:ser>
        <c:dLbls>
          <c:showLegendKey val="0"/>
          <c:showVal val="0"/>
          <c:showCatName val="0"/>
          <c:showSerName val="0"/>
          <c:showPercent val="0"/>
          <c:showBubbleSize val="0"/>
        </c:dLbls>
        <c:gapWidth val="150"/>
        <c:overlap val="100"/>
        <c:axId val="108570496"/>
        <c:axId val="108572032"/>
      </c:barChart>
      <c:catAx>
        <c:axId val="10857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8572032"/>
        <c:crosses val="autoZero"/>
        <c:auto val="1"/>
        <c:lblAlgn val="ctr"/>
        <c:lblOffset val="100"/>
        <c:tickLblSkip val="1"/>
        <c:tickMarkSkip val="1"/>
        <c:noMultiLvlLbl val="0"/>
      </c:catAx>
      <c:valAx>
        <c:axId val="1085720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£k</a:t>
                </a:r>
              </a:p>
            </c:rich>
          </c:tx>
          <c:layout>
            <c:manualLayout>
              <c:xMode val="edge"/>
              <c:yMode val="edge"/>
              <c:x val="2.2922636103151837E-2"/>
              <c:y val="0.484241289323075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8570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Plan to YTD Actual </a:t>
            </a:r>
          </a:p>
        </c:rich>
      </c:tx>
      <c:overlay val="0"/>
      <c:spPr>
        <a:noFill/>
        <a:ln w="25400">
          <a:noFill/>
        </a:ln>
      </c:spPr>
    </c:title>
    <c:autoTitleDeleted val="0"/>
    <c:plotArea>
      <c:layout/>
      <c:barChart>
        <c:barDir val="col"/>
        <c:grouping val="stacked"/>
        <c:varyColors val="0"/>
        <c:ser>
          <c:idx val="0"/>
          <c:order val="0"/>
          <c:spPr>
            <a:solidFill>
              <a:srgbClr val="9999FF"/>
            </a:solidFill>
            <a:ln w="12700">
              <a:solidFill>
                <a:srgbClr val="000000"/>
              </a:solidFill>
              <a:prstDash val="solid"/>
            </a:ln>
          </c:spPr>
          <c:invertIfNegative val="0"/>
          <c:dPt>
            <c:idx val="1"/>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1'!$B$24:$B$32</c:f>
              <c:numCache>
                <c:formatCode>General</c:formatCode>
                <c:ptCount val="9"/>
                <c:pt idx="0">
                  <c:v>0</c:v>
                </c:pt>
                <c:pt idx="1">
                  <c:v>9</c:v>
                </c:pt>
                <c:pt idx="2">
                  <c:v>0</c:v>
                </c:pt>
                <c:pt idx="3">
                  <c:v>9</c:v>
                </c:pt>
                <c:pt idx="4">
                  <c:v>15</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333399"/>
              </a:solidFill>
              <a:ln w="12700">
                <a:solidFill>
                  <a:srgbClr val="000000"/>
                </a:solidFill>
                <a:prstDash val="solid"/>
              </a:ln>
            </c:spPr>
          </c:dPt>
          <c:dPt>
            <c:idx val="1"/>
            <c:invertIfNegative val="0"/>
            <c:bubble3D val="0"/>
            <c:spPr>
              <a:solidFill>
                <a:srgbClr val="FF0000"/>
              </a:solidFill>
              <a:ln w="12700">
                <a:solidFill>
                  <a:srgbClr val="000000"/>
                </a:solidFill>
                <a:prstDash val="solid"/>
              </a:ln>
            </c:spPr>
          </c:dPt>
          <c:dPt>
            <c:idx val="3"/>
            <c:invertIfNegative val="0"/>
            <c:bubble3D val="0"/>
            <c:spPr>
              <a:solidFill>
                <a:srgbClr val="339966"/>
              </a:solidFill>
              <a:ln w="12700">
                <a:solidFill>
                  <a:srgbClr val="000000"/>
                </a:solidFill>
                <a:prstDash val="solid"/>
              </a:ln>
            </c:spPr>
          </c:dPt>
          <c:dPt>
            <c:idx val="4"/>
            <c:invertIfNegative val="0"/>
            <c:bubble3D val="0"/>
            <c:spPr>
              <a:solidFill>
                <a:srgbClr val="339966"/>
              </a:solidFill>
              <a:ln w="12700">
                <a:solidFill>
                  <a:srgbClr val="000000"/>
                </a:solidFill>
                <a:prstDash val="solid"/>
              </a:ln>
            </c:spPr>
          </c:dPt>
          <c:dPt>
            <c:idx val="8"/>
            <c:invertIfNegative val="0"/>
            <c:bubble3D val="0"/>
            <c:spPr>
              <a:solidFill>
                <a:srgbClr val="333333"/>
              </a:solidFill>
              <a:ln w="12700">
                <a:solidFill>
                  <a:srgbClr val="000000"/>
                </a:solidFill>
                <a:prstDash val="solid"/>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1'!$C$24:$C$32</c:f>
              <c:numCache>
                <c:formatCode>General</c:formatCode>
                <c:ptCount val="9"/>
                <c:pt idx="0">
                  <c:v>11</c:v>
                </c:pt>
                <c:pt idx="1">
                  <c:v>2</c:v>
                </c:pt>
                <c:pt idx="2">
                  <c:v>0</c:v>
                </c:pt>
                <c:pt idx="3">
                  <c:v>6</c:v>
                </c:pt>
                <c:pt idx="4">
                  <c:v>8</c:v>
                </c:pt>
                <c:pt idx="5">
                  <c:v>0</c:v>
                </c:pt>
                <c:pt idx="6">
                  <c:v>0</c:v>
                </c:pt>
                <c:pt idx="7">
                  <c:v>0</c:v>
                </c:pt>
                <c:pt idx="8">
                  <c:v>23</c:v>
                </c:pt>
              </c:numCache>
            </c:numRef>
          </c:val>
        </c:ser>
        <c:dLbls>
          <c:showLegendKey val="0"/>
          <c:showVal val="0"/>
          <c:showCatName val="0"/>
          <c:showSerName val="0"/>
          <c:showPercent val="0"/>
          <c:showBubbleSize val="0"/>
        </c:dLbls>
        <c:gapWidth val="150"/>
        <c:overlap val="100"/>
        <c:axId val="105797504"/>
        <c:axId val="105799040"/>
      </c:barChart>
      <c:catAx>
        <c:axId val="105797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5799040"/>
        <c:crosses val="autoZero"/>
        <c:auto val="1"/>
        <c:lblAlgn val="ctr"/>
        <c:lblOffset val="100"/>
        <c:tickLblSkip val="1"/>
        <c:tickMarkSkip val="1"/>
        <c:noMultiLvlLbl val="0"/>
      </c:catAx>
      <c:valAx>
        <c:axId val="105799040"/>
        <c:scaling>
          <c:orientation val="minMax"/>
          <c:max val="3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579750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Surplus Waterfall</a:t>
            </a:r>
          </a:p>
        </c:rich>
      </c:tx>
      <c:layout>
        <c:manualLayout>
          <c:xMode val="edge"/>
          <c:yMode val="edge"/>
          <c:x val="0.38655497474580469"/>
          <c:y val="3.4383954154727794E-2"/>
        </c:manualLayout>
      </c:layout>
      <c:overlay val="0"/>
      <c:spPr>
        <a:noFill/>
        <a:ln w="25400">
          <a:noFill/>
        </a:ln>
      </c:spPr>
    </c:title>
    <c:autoTitleDeleted val="0"/>
    <c:plotArea>
      <c:layout>
        <c:manualLayout>
          <c:layoutTarget val="inner"/>
          <c:xMode val="edge"/>
          <c:yMode val="edge"/>
          <c:x val="7.5630314166158549E-2"/>
          <c:y val="0.19770801300033194"/>
          <c:w val="0.90084107540135561"/>
          <c:h val="0.52149070095739636"/>
        </c:manualLayout>
      </c:layout>
      <c:barChart>
        <c:barDir val="col"/>
        <c:grouping val="stack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FFFFFF"/>
              </a:solidFill>
              <a:ln w="25400">
                <a:noFill/>
              </a:ln>
            </c:spPr>
          </c:dPt>
          <c:dPt>
            <c:idx val="2"/>
            <c:invertIfNegative val="0"/>
            <c:bubble3D val="0"/>
            <c:spPr>
              <a:solidFill>
                <a:srgbClr val="FFFFFF"/>
              </a:solidFill>
              <a:ln w="25400">
                <a:noFill/>
              </a:ln>
            </c:spPr>
          </c:dPt>
          <c:dPt>
            <c:idx val="6"/>
            <c:invertIfNegative val="0"/>
            <c:bubble3D val="0"/>
            <c:spPr>
              <a:noFill/>
              <a:ln w="25400">
                <a:noFill/>
              </a:ln>
            </c:spPr>
          </c:dPt>
          <c:cat>
            <c:strRef>
              <c:f>'Workings 1'!$A$4:$A$12</c:f>
              <c:strCache>
                <c:ptCount val="9"/>
                <c:pt idx="0">
                  <c:v>Planned Surplus</c:v>
                </c:pt>
                <c:pt idx="1">
                  <c:v>Income</c:v>
                </c:pt>
                <c:pt idx="2">
                  <c:v>Pay</c:v>
                </c:pt>
                <c:pt idx="3">
                  <c:v>Non Pay</c:v>
                </c:pt>
                <c:pt idx="4">
                  <c:v>Interest Expense</c:v>
                </c:pt>
                <c:pt idx="5">
                  <c:v>Depreciation</c:v>
                </c:pt>
                <c:pt idx="6">
                  <c:v>Public Dividend Capital</c:v>
                </c:pt>
                <c:pt idx="7">
                  <c:v>Other</c:v>
                </c:pt>
                <c:pt idx="8">
                  <c:v>Actual Surplus</c:v>
                </c:pt>
              </c:strCache>
            </c:strRef>
          </c:cat>
          <c:val>
            <c:numRef>
              <c:f>'Workings 1'!$B$4:$B$12</c:f>
              <c:numCache>
                <c:formatCode>General</c:formatCode>
                <c:ptCount val="9"/>
                <c:pt idx="0">
                  <c:v>0</c:v>
                </c:pt>
                <c:pt idx="1">
                  <c:v>1.2</c:v>
                </c:pt>
                <c:pt idx="2">
                  <c:v>0.9</c:v>
                </c:pt>
                <c:pt idx="3">
                  <c:v>0</c:v>
                </c:pt>
                <c:pt idx="4">
                  <c:v>0</c:v>
                </c:pt>
                <c:pt idx="5">
                  <c:v>0</c:v>
                </c:pt>
                <c:pt idx="6">
                  <c:v>0.05</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333399"/>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FF0000"/>
              </a:solidFill>
              <a:ln w="12700">
                <a:solidFill>
                  <a:srgbClr val="000000"/>
                </a:solidFill>
                <a:prstDash val="solid"/>
              </a:ln>
            </c:spPr>
          </c:dPt>
          <c:dPt>
            <c:idx val="3"/>
            <c:invertIfNegative val="0"/>
            <c:bubble3D val="0"/>
            <c:spPr>
              <a:solidFill>
                <a:srgbClr val="FF0000"/>
              </a:solidFill>
              <a:ln w="12700">
                <a:solidFill>
                  <a:srgbClr val="000000"/>
                </a:solidFill>
                <a:prstDash val="solid"/>
              </a:ln>
            </c:spPr>
          </c:dPt>
          <c:dPt>
            <c:idx val="5"/>
            <c:invertIfNegative val="0"/>
            <c:bubble3D val="0"/>
            <c:spPr>
              <a:solidFill>
                <a:srgbClr val="339966"/>
              </a:solidFill>
              <a:ln w="12700">
                <a:solidFill>
                  <a:srgbClr val="000000"/>
                </a:solidFill>
                <a:prstDash val="solid"/>
              </a:ln>
            </c:spPr>
          </c:dPt>
          <c:dPt>
            <c:idx val="6"/>
            <c:invertIfNegative val="0"/>
            <c:bubble3D val="0"/>
            <c:spPr>
              <a:solidFill>
                <a:srgbClr val="339966"/>
              </a:solidFill>
              <a:ln w="12700">
                <a:solidFill>
                  <a:srgbClr val="000000"/>
                </a:solidFill>
                <a:prstDash val="solid"/>
              </a:ln>
            </c:spPr>
          </c:dPt>
          <c:dPt>
            <c:idx val="8"/>
            <c:invertIfNegative val="0"/>
            <c:bubble3D val="0"/>
            <c:spPr>
              <a:solidFill>
                <a:srgbClr val="000000"/>
              </a:solidFill>
              <a:ln w="12700">
                <a:solidFill>
                  <a:srgbClr val="000000"/>
                </a:solidFill>
                <a:prstDash val="solid"/>
              </a:ln>
            </c:spPr>
          </c:dPt>
          <c:cat>
            <c:strRef>
              <c:f>'Workings 1'!$A$4:$A$12</c:f>
              <c:strCache>
                <c:ptCount val="9"/>
                <c:pt idx="0">
                  <c:v>Planned Surplus</c:v>
                </c:pt>
                <c:pt idx="1">
                  <c:v>Income</c:v>
                </c:pt>
                <c:pt idx="2">
                  <c:v>Pay</c:v>
                </c:pt>
                <c:pt idx="3">
                  <c:v>Non Pay</c:v>
                </c:pt>
                <c:pt idx="4">
                  <c:v>Interest Expense</c:v>
                </c:pt>
                <c:pt idx="5">
                  <c:v>Depreciation</c:v>
                </c:pt>
                <c:pt idx="6">
                  <c:v>Public Dividend Capital</c:v>
                </c:pt>
                <c:pt idx="7">
                  <c:v>Other</c:v>
                </c:pt>
                <c:pt idx="8">
                  <c:v>Actual Surplus</c:v>
                </c:pt>
              </c:strCache>
            </c:strRef>
          </c:cat>
          <c:val>
            <c:numRef>
              <c:f>'Workings 1'!$C$4:$C$12</c:f>
              <c:numCache>
                <c:formatCode>General</c:formatCode>
                <c:ptCount val="9"/>
                <c:pt idx="0">
                  <c:v>1.2</c:v>
                </c:pt>
                <c:pt idx="1">
                  <c:v>1</c:v>
                </c:pt>
                <c:pt idx="2">
                  <c:v>1.3</c:v>
                </c:pt>
                <c:pt idx="3">
                  <c:v>1</c:v>
                </c:pt>
                <c:pt idx="4">
                  <c:v>0</c:v>
                </c:pt>
                <c:pt idx="5">
                  <c:v>0.05</c:v>
                </c:pt>
                <c:pt idx="6">
                  <c:v>0.05</c:v>
                </c:pt>
                <c:pt idx="7">
                  <c:v>0</c:v>
                </c:pt>
                <c:pt idx="8">
                  <c:v>0.1</c:v>
                </c:pt>
              </c:numCache>
            </c:numRef>
          </c:val>
        </c:ser>
        <c:dLbls>
          <c:showLegendKey val="0"/>
          <c:showVal val="0"/>
          <c:showCatName val="0"/>
          <c:showSerName val="0"/>
          <c:showPercent val="0"/>
          <c:showBubbleSize val="0"/>
        </c:dLbls>
        <c:gapWidth val="150"/>
        <c:overlap val="100"/>
        <c:axId val="108149376"/>
        <c:axId val="108151168"/>
      </c:barChart>
      <c:catAx>
        <c:axId val="108149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8151168"/>
        <c:crosses val="autoZero"/>
        <c:auto val="1"/>
        <c:lblAlgn val="ctr"/>
        <c:lblOffset val="100"/>
        <c:tickLblSkip val="1"/>
        <c:tickMarkSkip val="1"/>
        <c:noMultiLvlLbl val="0"/>
      </c:catAx>
      <c:valAx>
        <c:axId val="108151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81493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Liquidity Waterfall</a:t>
            </a:r>
          </a:p>
        </c:rich>
      </c:tx>
      <c:layout>
        <c:manualLayout>
          <c:xMode val="edge"/>
          <c:yMode val="edge"/>
          <c:x val="0.39828080229226459"/>
          <c:y val="3.4383954154727794E-2"/>
        </c:manualLayout>
      </c:layout>
      <c:overlay val="0"/>
      <c:spPr>
        <a:noFill/>
        <a:ln w="25400">
          <a:noFill/>
        </a:ln>
      </c:spPr>
    </c:title>
    <c:autoTitleDeleted val="0"/>
    <c:plotArea>
      <c:layout>
        <c:manualLayout>
          <c:layoutTarget val="inner"/>
          <c:xMode val="edge"/>
          <c:yMode val="edge"/>
          <c:x val="5.8739255014326724E-2"/>
          <c:y val="0.19770801300033194"/>
          <c:w val="0.92120343839541563"/>
          <c:h val="0.53008670152261961"/>
        </c:manualLayout>
      </c:layout>
      <c:barChart>
        <c:barDir val="col"/>
        <c:grouping val="stacked"/>
        <c:varyColors val="0"/>
        <c:ser>
          <c:idx val="0"/>
          <c:order val="0"/>
          <c:spPr>
            <a:solidFill>
              <a:srgbClr val="9999FF"/>
            </a:solidFill>
            <a:ln w="12700">
              <a:solidFill>
                <a:srgbClr val="000000"/>
              </a:solidFill>
              <a:prstDash val="solid"/>
            </a:ln>
          </c:spPr>
          <c:invertIfNegative val="0"/>
          <c:dPt>
            <c:idx val="1"/>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1'!$B$24:$B$32</c:f>
              <c:numCache>
                <c:formatCode>General</c:formatCode>
                <c:ptCount val="9"/>
                <c:pt idx="0">
                  <c:v>0</c:v>
                </c:pt>
                <c:pt idx="1">
                  <c:v>9</c:v>
                </c:pt>
                <c:pt idx="2">
                  <c:v>0</c:v>
                </c:pt>
                <c:pt idx="3">
                  <c:v>9</c:v>
                </c:pt>
                <c:pt idx="4">
                  <c:v>15</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333399"/>
              </a:solidFill>
              <a:ln w="12700">
                <a:solidFill>
                  <a:srgbClr val="000000"/>
                </a:solidFill>
                <a:prstDash val="solid"/>
              </a:ln>
            </c:spPr>
          </c:dPt>
          <c:dPt>
            <c:idx val="1"/>
            <c:invertIfNegative val="0"/>
            <c:bubble3D val="0"/>
            <c:spPr>
              <a:solidFill>
                <a:srgbClr val="FF0000"/>
              </a:solidFill>
              <a:ln w="12700">
                <a:solidFill>
                  <a:srgbClr val="000000"/>
                </a:solidFill>
                <a:prstDash val="solid"/>
              </a:ln>
            </c:spPr>
          </c:dPt>
          <c:dPt>
            <c:idx val="3"/>
            <c:invertIfNegative val="0"/>
            <c:bubble3D val="0"/>
            <c:spPr>
              <a:solidFill>
                <a:srgbClr val="339966"/>
              </a:solidFill>
              <a:ln w="12700">
                <a:solidFill>
                  <a:srgbClr val="000000"/>
                </a:solidFill>
                <a:prstDash val="solid"/>
              </a:ln>
            </c:spPr>
          </c:dPt>
          <c:dPt>
            <c:idx val="4"/>
            <c:invertIfNegative val="0"/>
            <c:bubble3D val="0"/>
            <c:spPr>
              <a:solidFill>
                <a:srgbClr val="339966"/>
              </a:solidFill>
              <a:ln w="12700">
                <a:solidFill>
                  <a:srgbClr val="000000"/>
                </a:solidFill>
                <a:prstDash val="solid"/>
              </a:ln>
            </c:spPr>
          </c:dPt>
          <c:dPt>
            <c:idx val="8"/>
            <c:invertIfNegative val="0"/>
            <c:bubble3D val="0"/>
            <c:spPr>
              <a:solidFill>
                <a:srgbClr val="333333"/>
              </a:solidFill>
              <a:ln w="12700">
                <a:solidFill>
                  <a:srgbClr val="000000"/>
                </a:solidFill>
                <a:prstDash val="solid"/>
              </a:ln>
            </c:spPr>
          </c:dPt>
          <c:cat>
            <c:strRef>
              <c:f>'Workings 1'!$A$24:$A$32</c:f>
              <c:strCache>
                <c:ptCount val="9"/>
                <c:pt idx="0">
                  <c:v>Planned Liquidity</c:v>
                </c:pt>
                <c:pt idx="1">
                  <c:v>Surplus</c:v>
                </c:pt>
                <c:pt idx="2">
                  <c:v>Debtors</c:v>
                </c:pt>
                <c:pt idx="3">
                  <c:v>Creditors</c:v>
                </c:pt>
                <c:pt idx="4">
                  <c:v>Capital Expenditure</c:v>
                </c:pt>
                <c:pt idx="5">
                  <c:v>Disposals</c:v>
                </c:pt>
                <c:pt idx="6">
                  <c:v>Financing</c:v>
                </c:pt>
                <c:pt idx="7">
                  <c:v>Other</c:v>
                </c:pt>
                <c:pt idx="8">
                  <c:v>Actual Liquidity</c:v>
                </c:pt>
              </c:strCache>
            </c:strRef>
          </c:cat>
          <c:val>
            <c:numRef>
              <c:f>'Workings 1'!$C$24:$C$32</c:f>
              <c:numCache>
                <c:formatCode>General</c:formatCode>
                <c:ptCount val="9"/>
                <c:pt idx="0">
                  <c:v>11</c:v>
                </c:pt>
                <c:pt idx="1">
                  <c:v>2</c:v>
                </c:pt>
                <c:pt idx="2">
                  <c:v>0</c:v>
                </c:pt>
                <c:pt idx="3">
                  <c:v>6</c:v>
                </c:pt>
                <c:pt idx="4">
                  <c:v>8</c:v>
                </c:pt>
                <c:pt idx="5">
                  <c:v>0</c:v>
                </c:pt>
                <c:pt idx="6">
                  <c:v>0</c:v>
                </c:pt>
                <c:pt idx="7">
                  <c:v>0</c:v>
                </c:pt>
                <c:pt idx="8">
                  <c:v>23</c:v>
                </c:pt>
              </c:numCache>
            </c:numRef>
          </c:val>
        </c:ser>
        <c:dLbls>
          <c:showLegendKey val="0"/>
          <c:showVal val="0"/>
          <c:showCatName val="0"/>
          <c:showSerName val="0"/>
          <c:showPercent val="0"/>
          <c:showBubbleSize val="0"/>
        </c:dLbls>
        <c:gapWidth val="150"/>
        <c:overlap val="100"/>
        <c:axId val="116592640"/>
        <c:axId val="116594176"/>
      </c:barChart>
      <c:catAx>
        <c:axId val="116592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6594176"/>
        <c:crosses val="autoZero"/>
        <c:auto val="1"/>
        <c:lblAlgn val="ctr"/>
        <c:lblOffset val="100"/>
        <c:tickLblSkip val="1"/>
        <c:tickMarkSkip val="1"/>
        <c:noMultiLvlLbl val="0"/>
      </c:catAx>
      <c:valAx>
        <c:axId val="116594176"/>
        <c:scaling>
          <c:orientation val="minMax"/>
          <c:max val="3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59264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Surplus Waterfall - YTD Actual To YE Forecast</a:t>
            </a:r>
          </a:p>
        </c:rich>
      </c:tx>
      <c:layout>
        <c:manualLayout>
          <c:xMode val="edge"/>
          <c:yMode val="edge"/>
          <c:x val="0.24785100286532988"/>
          <c:y val="3.4383954154727794E-2"/>
        </c:manualLayout>
      </c:layout>
      <c:overlay val="0"/>
      <c:spPr>
        <a:noFill/>
        <a:ln w="25400">
          <a:noFill/>
        </a:ln>
      </c:spPr>
    </c:title>
    <c:autoTitleDeleted val="0"/>
    <c:plotArea>
      <c:layout>
        <c:manualLayout>
          <c:layoutTarget val="inner"/>
          <c:xMode val="edge"/>
          <c:yMode val="edge"/>
          <c:x val="6.4469914040115539E-2"/>
          <c:y val="0.19770801300033194"/>
          <c:w val="0.91547277936962657"/>
          <c:h val="0.52149070095739636"/>
        </c:manualLayout>
      </c:layout>
      <c:barChart>
        <c:barDir val="col"/>
        <c:grouping val="stacked"/>
        <c:varyColors val="0"/>
        <c:ser>
          <c:idx val="0"/>
          <c:order val="0"/>
          <c:spPr>
            <a:noFill/>
            <a:ln w="25400">
              <a:noFill/>
            </a:ln>
          </c:spPr>
          <c:invertIfNegative val="0"/>
          <c:cat>
            <c:strRef>
              <c:f>'Workings 1'!$P$3:$P$11</c:f>
              <c:strCache>
                <c:ptCount val="9"/>
                <c:pt idx="0">
                  <c:v>Actual Surplus</c:v>
                </c:pt>
                <c:pt idx="1">
                  <c:v>Income</c:v>
                </c:pt>
                <c:pt idx="2">
                  <c:v>Pay</c:v>
                </c:pt>
                <c:pt idx="3">
                  <c:v>Non Pay</c:v>
                </c:pt>
                <c:pt idx="4">
                  <c:v>Interest Expense</c:v>
                </c:pt>
                <c:pt idx="5">
                  <c:v>Depreciation</c:v>
                </c:pt>
                <c:pt idx="6">
                  <c:v>Public Dividend Capital</c:v>
                </c:pt>
                <c:pt idx="7">
                  <c:v>Other</c:v>
                </c:pt>
                <c:pt idx="8">
                  <c:v>Forecast Surplus</c:v>
                </c:pt>
              </c:strCache>
            </c:strRef>
          </c:cat>
          <c:val>
            <c:numRef>
              <c:f>'Workings 1'!$Q$3:$Q$11</c:f>
              <c:numCache>
                <c:formatCode>General</c:formatCode>
                <c:ptCount val="9"/>
                <c:pt idx="0">
                  <c:v>0</c:v>
                </c:pt>
                <c:pt idx="1">
                  <c:v>0.1</c:v>
                </c:pt>
                <c:pt idx="2">
                  <c:v>0.6</c:v>
                </c:pt>
                <c:pt idx="3">
                  <c:v>0.9</c:v>
                </c:pt>
                <c:pt idx="4">
                  <c:v>0</c:v>
                </c:pt>
                <c:pt idx="5">
                  <c:v>1.1000000000000001</c:v>
                </c:pt>
                <c:pt idx="6">
                  <c:v>1.1499999999999999</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339966"/>
              </a:solidFill>
              <a:ln w="12700">
                <a:solidFill>
                  <a:srgbClr val="000000"/>
                </a:solidFill>
                <a:prstDash val="solid"/>
              </a:ln>
            </c:spPr>
          </c:dPt>
          <c:dPt>
            <c:idx val="3"/>
            <c:invertIfNegative val="0"/>
            <c:bubble3D val="0"/>
            <c:spPr>
              <a:solidFill>
                <a:srgbClr val="339966"/>
              </a:solidFill>
              <a:ln w="12700">
                <a:solidFill>
                  <a:srgbClr val="000000"/>
                </a:solidFill>
                <a:prstDash val="solid"/>
              </a:ln>
            </c:spPr>
          </c:dPt>
          <c:dPt>
            <c:idx val="5"/>
            <c:invertIfNegative val="0"/>
            <c:bubble3D val="0"/>
            <c:spPr>
              <a:solidFill>
                <a:srgbClr val="339966"/>
              </a:solidFill>
              <a:ln w="12700">
                <a:solidFill>
                  <a:srgbClr val="000000"/>
                </a:solidFill>
                <a:prstDash val="solid"/>
              </a:ln>
            </c:spPr>
          </c:dPt>
          <c:dPt>
            <c:idx val="6"/>
            <c:invertIfNegative val="0"/>
            <c:bubble3D val="0"/>
            <c:spPr>
              <a:solidFill>
                <a:srgbClr val="339966"/>
              </a:solidFill>
              <a:ln w="12700">
                <a:solidFill>
                  <a:srgbClr val="000000"/>
                </a:solidFill>
                <a:prstDash val="solid"/>
              </a:ln>
            </c:spPr>
          </c:dPt>
          <c:dPt>
            <c:idx val="8"/>
            <c:invertIfNegative val="0"/>
            <c:bubble3D val="0"/>
            <c:spPr>
              <a:solidFill>
                <a:srgbClr val="808080"/>
              </a:solidFill>
              <a:ln w="12700">
                <a:solidFill>
                  <a:srgbClr val="000000"/>
                </a:solidFill>
                <a:prstDash val="solid"/>
              </a:ln>
            </c:spPr>
          </c:dPt>
          <c:cat>
            <c:strRef>
              <c:f>'Workings 1'!$P$3:$P$11</c:f>
              <c:strCache>
                <c:ptCount val="9"/>
                <c:pt idx="0">
                  <c:v>Actual Surplus</c:v>
                </c:pt>
                <c:pt idx="1">
                  <c:v>Income</c:v>
                </c:pt>
                <c:pt idx="2">
                  <c:v>Pay</c:v>
                </c:pt>
                <c:pt idx="3">
                  <c:v>Non Pay</c:v>
                </c:pt>
                <c:pt idx="4">
                  <c:v>Interest Expense</c:v>
                </c:pt>
                <c:pt idx="5">
                  <c:v>Depreciation</c:v>
                </c:pt>
                <c:pt idx="6">
                  <c:v>Public Dividend Capital</c:v>
                </c:pt>
                <c:pt idx="7">
                  <c:v>Other</c:v>
                </c:pt>
                <c:pt idx="8">
                  <c:v>Forecast Surplus</c:v>
                </c:pt>
              </c:strCache>
            </c:strRef>
          </c:cat>
          <c:val>
            <c:numRef>
              <c:f>'Workings 1'!$R$3:$R$11</c:f>
              <c:numCache>
                <c:formatCode>General</c:formatCode>
                <c:ptCount val="9"/>
                <c:pt idx="0">
                  <c:v>0.1</c:v>
                </c:pt>
                <c:pt idx="1">
                  <c:v>0.5</c:v>
                </c:pt>
                <c:pt idx="2">
                  <c:v>0.3</c:v>
                </c:pt>
                <c:pt idx="3">
                  <c:v>0.2</c:v>
                </c:pt>
                <c:pt idx="4">
                  <c:v>0</c:v>
                </c:pt>
                <c:pt idx="5">
                  <c:v>0.05</c:v>
                </c:pt>
                <c:pt idx="6">
                  <c:v>0.05</c:v>
                </c:pt>
                <c:pt idx="7">
                  <c:v>0</c:v>
                </c:pt>
                <c:pt idx="8">
                  <c:v>1.2</c:v>
                </c:pt>
              </c:numCache>
            </c:numRef>
          </c:val>
        </c:ser>
        <c:dLbls>
          <c:showLegendKey val="0"/>
          <c:showVal val="0"/>
          <c:showCatName val="0"/>
          <c:showSerName val="0"/>
          <c:showPercent val="0"/>
          <c:showBubbleSize val="0"/>
        </c:dLbls>
        <c:gapWidth val="150"/>
        <c:overlap val="100"/>
        <c:axId val="116634368"/>
        <c:axId val="116635904"/>
      </c:barChart>
      <c:catAx>
        <c:axId val="116634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6635904"/>
        <c:crosses val="autoZero"/>
        <c:auto val="1"/>
        <c:lblAlgn val="ctr"/>
        <c:lblOffset val="100"/>
        <c:tickLblSkip val="1"/>
        <c:tickMarkSkip val="1"/>
        <c:noMultiLvlLbl val="0"/>
      </c:catAx>
      <c:valAx>
        <c:axId val="116635904"/>
        <c:scaling>
          <c:orientation val="minMax"/>
          <c:max val="2.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634368"/>
        <c:crosses val="autoZero"/>
        <c:crossBetween val="between"/>
        <c:majorUnit val="0.5"/>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Liquidity Waterfall - YTD Actual to YE Forecast</a:t>
            </a:r>
          </a:p>
        </c:rich>
      </c:tx>
      <c:layout>
        <c:manualLayout>
          <c:xMode val="edge"/>
          <c:yMode val="edge"/>
          <c:x val="0.24641833810888292"/>
          <c:y val="3.4383954154727794E-2"/>
        </c:manualLayout>
      </c:layout>
      <c:overlay val="0"/>
      <c:spPr>
        <a:noFill/>
        <a:ln w="25400">
          <a:noFill/>
        </a:ln>
      </c:spPr>
    </c:title>
    <c:autoTitleDeleted val="0"/>
    <c:plotArea>
      <c:layout>
        <c:manualLayout>
          <c:layoutTarget val="inner"/>
          <c:xMode val="edge"/>
          <c:yMode val="edge"/>
          <c:x val="5.8739255014326724E-2"/>
          <c:y val="0.19770801300033194"/>
          <c:w val="0.92120343839541563"/>
          <c:h val="0.53008670152261961"/>
        </c:manualLayout>
      </c:layout>
      <c:barChart>
        <c:barDir val="col"/>
        <c:grouping val="stacked"/>
        <c:varyColors val="0"/>
        <c:ser>
          <c:idx val="0"/>
          <c:order val="0"/>
          <c:spPr>
            <a:noFill/>
            <a:ln w="25400">
              <a:noFill/>
            </a:ln>
          </c:spPr>
          <c:invertIfNegative val="0"/>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1'!$B$46:$B$54</c:f>
              <c:numCache>
                <c:formatCode>General</c:formatCode>
                <c:ptCount val="9"/>
                <c:pt idx="0">
                  <c:v>0</c:v>
                </c:pt>
                <c:pt idx="1">
                  <c:v>23</c:v>
                </c:pt>
                <c:pt idx="2">
                  <c:v>24</c:v>
                </c:pt>
                <c:pt idx="3">
                  <c:v>18</c:v>
                </c:pt>
                <c:pt idx="4">
                  <c:v>11</c:v>
                </c:pt>
                <c:pt idx="5">
                  <c:v>0</c:v>
                </c:pt>
                <c:pt idx="6">
                  <c:v>0</c:v>
                </c:pt>
                <c:pt idx="7">
                  <c:v>0</c:v>
                </c:pt>
                <c:pt idx="8">
                  <c:v>0</c:v>
                </c:pt>
              </c:numCache>
            </c:numRef>
          </c:val>
        </c:ser>
        <c:ser>
          <c:idx val="1"/>
          <c:order val="1"/>
          <c:spPr>
            <a:solidFill>
              <a:srgbClr val="993366"/>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FF0000"/>
              </a:solidFill>
              <a:ln w="12700">
                <a:solidFill>
                  <a:srgbClr val="000000"/>
                </a:solidFill>
                <a:prstDash val="solid"/>
              </a:ln>
            </c:spPr>
          </c:dPt>
          <c:dPt>
            <c:idx val="3"/>
            <c:invertIfNegative val="0"/>
            <c:bubble3D val="0"/>
            <c:spPr>
              <a:solidFill>
                <a:srgbClr val="FF0000"/>
              </a:solidFill>
              <a:ln w="12700">
                <a:solidFill>
                  <a:srgbClr val="000000"/>
                </a:solidFill>
                <a:prstDash val="solid"/>
              </a:ln>
            </c:spPr>
          </c:dPt>
          <c:dPt>
            <c:idx val="4"/>
            <c:invertIfNegative val="0"/>
            <c:bubble3D val="0"/>
            <c:spPr>
              <a:solidFill>
                <a:srgbClr val="FF0000"/>
              </a:solidFill>
              <a:ln w="12700">
                <a:solidFill>
                  <a:srgbClr val="000000"/>
                </a:solidFill>
                <a:prstDash val="solid"/>
              </a:ln>
            </c:spPr>
          </c:dPt>
          <c:dPt>
            <c:idx val="8"/>
            <c:invertIfNegative val="0"/>
            <c:bubble3D val="0"/>
            <c:spPr>
              <a:solidFill>
                <a:srgbClr val="808080"/>
              </a:solidFill>
              <a:ln w="12700">
                <a:solidFill>
                  <a:srgbClr val="000000"/>
                </a:solidFill>
                <a:prstDash val="solid"/>
              </a:ln>
            </c:spPr>
          </c:dPt>
          <c:cat>
            <c:strRef>
              <c:f>'Workings 1'!$A$46:$A$54</c:f>
              <c:strCache>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Cache>
            </c:strRef>
          </c:cat>
          <c:val>
            <c:numRef>
              <c:f>'Workings 1'!$C$46:$C$54</c:f>
              <c:numCache>
                <c:formatCode>General</c:formatCode>
                <c:ptCount val="9"/>
                <c:pt idx="0">
                  <c:v>23</c:v>
                </c:pt>
                <c:pt idx="1">
                  <c:v>3</c:v>
                </c:pt>
                <c:pt idx="2">
                  <c:v>2</c:v>
                </c:pt>
                <c:pt idx="3">
                  <c:v>6</c:v>
                </c:pt>
                <c:pt idx="4">
                  <c:v>7</c:v>
                </c:pt>
                <c:pt idx="5">
                  <c:v>0</c:v>
                </c:pt>
                <c:pt idx="6">
                  <c:v>0</c:v>
                </c:pt>
                <c:pt idx="7">
                  <c:v>0</c:v>
                </c:pt>
                <c:pt idx="8">
                  <c:v>11</c:v>
                </c:pt>
              </c:numCache>
            </c:numRef>
          </c:val>
        </c:ser>
        <c:dLbls>
          <c:showLegendKey val="0"/>
          <c:showVal val="0"/>
          <c:showCatName val="0"/>
          <c:showSerName val="0"/>
          <c:showPercent val="0"/>
          <c:showBubbleSize val="0"/>
        </c:dLbls>
        <c:gapWidth val="150"/>
        <c:overlap val="100"/>
        <c:axId val="117527680"/>
        <c:axId val="117529216"/>
      </c:barChart>
      <c:catAx>
        <c:axId val="117527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7529216"/>
        <c:crosses val="autoZero"/>
        <c:auto val="1"/>
        <c:lblAlgn val="ctr"/>
        <c:lblOffset val="100"/>
        <c:tickLblSkip val="1"/>
        <c:tickMarkSkip val="1"/>
        <c:noMultiLvlLbl val="0"/>
      </c:catAx>
      <c:valAx>
        <c:axId val="117529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752768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Actual to YE Forecast</a:t>
            </a:r>
          </a:p>
        </c:rich>
      </c:tx>
      <c:overlay val="0"/>
      <c:spPr>
        <a:noFill/>
        <a:ln w="25400">
          <a:noFill/>
        </a:ln>
      </c:spPr>
    </c:title>
    <c:autoTitleDeleted val="0"/>
    <c:plotArea>
      <c:layout/>
      <c:barChart>
        <c:barDir val="col"/>
        <c:grouping val="stacked"/>
        <c:varyColors val="0"/>
        <c:ser>
          <c:idx val="0"/>
          <c:order val="0"/>
          <c:spPr>
            <a:noFill/>
            <a:ln w="25400">
              <a:noFill/>
            </a:ln>
          </c:spPr>
          <c:invertIfNegative val="0"/>
          <c:cat>
            <c:strLit>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Lit>
          </c:cat>
          <c:val>
            <c:numLit>
              <c:formatCode>General</c:formatCode>
              <c:ptCount val="9"/>
              <c:pt idx="0">
                <c:v>0</c:v>
              </c:pt>
              <c:pt idx="1">
                <c:v>23</c:v>
              </c:pt>
              <c:pt idx="2">
                <c:v>24</c:v>
              </c:pt>
              <c:pt idx="3">
                <c:v>18</c:v>
              </c:pt>
              <c:pt idx="4">
                <c:v>11</c:v>
              </c:pt>
              <c:pt idx="5">
                <c:v>0</c:v>
              </c:pt>
              <c:pt idx="6">
                <c:v>0</c:v>
              </c:pt>
              <c:pt idx="7">
                <c:v>0</c:v>
              </c:pt>
              <c:pt idx="8">
                <c:v>0</c:v>
              </c:pt>
            </c:numLit>
          </c:val>
        </c:ser>
        <c:ser>
          <c:idx val="1"/>
          <c:order val="1"/>
          <c:spPr>
            <a:solidFill>
              <a:srgbClr val="993366"/>
            </a:solidFill>
            <a:ln w="12700">
              <a:solidFill>
                <a:srgbClr val="000000"/>
              </a:solidFill>
              <a:prstDash val="solid"/>
            </a:ln>
          </c:spPr>
          <c:invertIfNegative val="0"/>
          <c:dPt>
            <c:idx val="0"/>
            <c:invertIfNegative val="0"/>
            <c:bubble3D val="0"/>
            <c:spPr>
              <a:solidFill>
                <a:srgbClr val="000000"/>
              </a:solidFill>
              <a:ln w="12700">
                <a:solidFill>
                  <a:srgbClr val="000000"/>
                </a:solidFill>
                <a:prstDash val="solid"/>
              </a:ln>
            </c:spPr>
          </c:dPt>
          <c:dPt>
            <c:idx val="1"/>
            <c:invertIfNegative val="0"/>
            <c:bubble3D val="0"/>
            <c:spPr>
              <a:solidFill>
                <a:srgbClr val="339966"/>
              </a:solidFill>
              <a:ln w="12700">
                <a:solidFill>
                  <a:srgbClr val="000000"/>
                </a:solidFill>
                <a:prstDash val="solid"/>
              </a:ln>
            </c:spPr>
          </c:dPt>
          <c:dPt>
            <c:idx val="2"/>
            <c:invertIfNegative val="0"/>
            <c:bubble3D val="0"/>
            <c:spPr>
              <a:solidFill>
                <a:srgbClr val="FF0000"/>
              </a:solidFill>
              <a:ln w="12700">
                <a:solidFill>
                  <a:srgbClr val="000000"/>
                </a:solidFill>
                <a:prstDash val="solid"/>
              </a:ln>
            </c:spPr>
          </c:dPt>
          <c:dPt>
            <c:idx val="3"/>
            <c:invertIfNegative val="0"/>
            <c:bubble3D val="0"/>
            <c:spPr>
              <a:solidFill>
                <a:srgbClr val="FF0000"/>
              </a:solidFill>
              <a:ln w="12700">
                <a:solidFill>
                  <a:srgbClr val="000000"/>
                </a:solidFill>
                <a:prstDash val="solid"/>
              </a:ln>
            </c:spPr>
          </c:dPt>
          <c:dPt>
            <c:idx val="4"/>
            <c:invertIfNegative val="0"/>
            <c:bubble3D val="0"/>
            <c:spPr>
              <a:solidFill>
                <a:srgbClr val="FF0000"/>
              </a:solidFill>
              <a:ln w="12700">
                <a:solidFill>
                  <a:srgbClr val="000000"/>
                </a:solidFill>
                <a:prstDash val="solid"/>
              </a:ln>
            </c:spPr>
          </c:dPt>
          <c:dPt>
            <c:idx val="8"/>
            <c:invertIfNegative val="0"/>
            <c:bubble3D val="0"/>
            <c:spPr>
              <a:solidFill>
                <a:srgbClr val="808080"/>
              </a:solidFill>
              <a:ln w="12700">
                <a:solidFill>
                  <a:srgbClr val="000000"/>
                </a:solidFill>
                <a:prstDash val="solid"/>
              </a:ln>
            </c:spPr>
          </c:dPt>
          <c:cat>
            <c:strLit>
              <c:ptCount val="9"/>
              <c:pt idx="0">
                <c:v>Actual Liquidity</c:v>
              </c:pt>
              <c:pt idx="1">
                <c:v>Surplus</c:v>
              </c:pt>
              <c:pt idx="2">
                <c:v>Debtors</c:v>
              </c:pt>
              <c:pt idx="3">
                <c:v>Creditors</c:v>
              </c:pt>
              <c:pt idx="4">
                <c:v>Capital Expenditure</c:v>
              </c:pt>
              <c:pt idx="5">
                <c:v>Disposals</c:v>
              </c:pt>
              <c:pt idx="6">
                <c:v>Financing</c:v>
              </c:pt>
              <c:pt idx="7">
                <c:v>Other</c:v>
              </c:pt>
              <c:pt idx="8">
                <c:v>Forecast Liquidity</c:v>
              </c:pt>
            </c:strLit>
          </c:cat>
          <c:val>
            <c:numLit>
              <c:formatCode>General</c:formatCode>
              <c:ptCount val="9"/>
              <c:pt idx="0">
                <c:v>23</c:v>
              </c:pt>
              <c:pt idx="1">
                <c:v>3</c:v>
              </c:pt>
              <c:pt idx="2">
                <c:v>2</c:v>
              </c:pt>
              <c:pt idx="3">
                <c:v>6</c:v>
              </c:pt>
              <c:pt idx="4">
                <c:v>7</c:v>
              </c:pt>
              <c:pt idx="5">
                <c:v>0</c:v>
              </c:pt>
              <c:pt idx="6">
                <c:v>0</c:v>
              </c:pt>
              <c:pt idx="7">
                <c:v>0</c:v>
              </c:pt>
              <c:pt idx="8">
                <c:v>11</c:v>
              </c:pt>
            </c:numLit>
          </c:val>
        </c:ser>
        <c:dLbls>
          <c:showLegendKey val="0"/>
          <c:showVal val="0"/>
          <c:showCatName val="0"/>
          <c:showSerName val="0"/>
          <c:showPercent val="0"/>
          <c:showBubbleSize val="0"/>
        </c:dLbls>
        <c:gapWidth val="150"/>
        <c:overlap val="100"/>
        <c:axId val="106089856"/>
        <c:axId val="106099840"/>
      </c:barChart>
      <c:catAx>
        <c:axId val="106089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6099840"/>
        <c:crosses val="autoZero"/>
        <c:auto val="1"/>
        <c:lblAlgn val="ctr"/>
        <c:lblOffset val="100"/>
        <c:tickLblSkip val="1"/>
        <c:tickMarkSkip val="1"/>
        <c:noMultiLvlLbl val="0"/>
      </c:catAx>
      <c:valAx>
        <c:axId val="106099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08985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000000"/>
                </a:solidFill>
                <a:latin typeface="Arial"/>
                <a:ea typeface="Arial"/>
                <a:cs typeface="Arial"/>
              </a:defRPr>
            </a:pPr>
            <a:r>
              <a:rPr lang="en-GB"/>
              <a:t>Liquidity Waterfall - YTD Plan to YTD Actual </a:t>
            </a:r>
          </a:p>
        </c:rich>
      </c:tx>
      <c:overlay val="0"/>
      <c:spPr>
        <a:noFill/>
        <a:ln w="25400">
          <a:noFill/>
        </a:ln>
      </c:spPr>
    </c:title>
    <c:autoTitleDeleted val="0"/>
    <c:plotArea>
      <c:layout/>
      <c:barChart>
        <c:barDir val="col"/>
        <c:grouping val="stacked"/>
        <c:varyColors val="0"/>
        <c:ser>
          <c:idx val="0"/>
          <c:order val="0"/>
          <c:spPr>
            <a:solidFill>
              <a:srgbClr val="9999FF"/>
            </a:solidFill>
            <a:ln w="12700">
              <a:solidFill>
                <a:srgbClr val="000000"/>
              </a:solidFill>
              <a:prstDash val="solid"/>
            </a:ln>
          </c:spPr>
          <c:invertIfNegative val="0"/>
          <c:dPt>
            <c:idx val="1"/>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cat>
            <c:strLit>
              <c:ptCount val="9"/>
              <c:pt idx="0">
                <c:v>Planned Liquidity</c:v>
              </c:pt>
              <c:pt idx="1">
                <c:v>Surplus</c:v>
              </c:pt>
              <c:pt idx="2">
                <c:v>Debtors</c:v>
              </c:pt>
              <c:pt idx="3">
                <c:v>Creditors</c:v>
              </c:pt>
              <c:pt idx="4">
                <c:v>Capital Expenditure</c:v>
              </c:pt>
              <c:pt idx="5">
                <c:v>Disposals</c:v>
              </c:pt>
              <c:pt idx="6">
                <c:v>Financing</c:v>
              </c:pt>
              <c:pt idx="7">
                <c:v>Other</c:v>
              </c:pt>
              <c:pt idx="8">
                <c:v>Actual Liquidity</c:v>
              </c:pt>
            </c:strLit>
          </c:cat>
          <c:val>
            <c:numLit>
              <c:formatCode>General</c:formatCode>
              <c:ptCount val="9"/>
              <c:pt idx="0">
                <c:v>0</c:v>
              </c:pt>
              <c:pt idx="1">
                <c:v>9</c:v>
              </c:pt>
              <c:pt idx="2">
                <c:v>0</c:v>
              </c:pt>
              <c:pt idx="3">
                <c:v>9</c:v>
              </c:pt>
              <c:pt idx="4">
                <c:v>15</c:v>
              </c:pt>
              <c:pt idx="5">
                <c:v>0</c:v>
              </c:pt>
              <c:pt idx="6">
                <c:v>0</c:v>
              </c:pt>
              <c:pt idx="7">
                <c:v>0</c:v>
              </c:pt>
              <c:pt idx="8">
                <c:v>0</c:v>
              </c:pt>
            </c:numLit>
          </c:val>
        </c:ser>
        <c:ser>
          <c:idx val="1"/>
          <c:order val="1"/>
          <c:spPr>
            <a:solidFill>
              <a:srgbClr val="993366"/>
            </a:solidFill>
            <a:ln w="12700">
              <a:solidFill>
                <a:srgbClr val="000000"/>
              </a:solidFill>
              <a:prstDash val="solid"/>
            </a:ln>
          </c:spPr>
          <c:invertIfNegative val="0"/>
          <c:dPt>
            <c:idx val="0"/>
            <c:invertIfNegative val="0"/>
            <c:bubble3D val="0"/>
            <c:spPr>
              <a:solidFill>
                <a:srgbClr val="333399"/>
              </a:solidFill>
              <a:ln w="12700">
                <a:solidFill>
                  <a:srgbClr val="000000"/>
                </a:solidFill>
                <a:prstDash val="solid"/>
              </a:ln>
            </c:spPr>
          </c:dPt>
          <c:dPt>
            <c:idx val="1"/>
            <c:invertIfNegative val="0"/>
            <c:bubble3D val="0"/>
            <c:spPr>
              <a:solidFill>
                <a:srgbClr val="FF0000"/>
              </a:solidFill>
              <a:ln w="12700">
                <a:solidFill>
                  <a:srgbClr val="000000"/>
                </a:solidFill>
                <a:prstDash val="solid"/>
              </a:ln>
            </c:spPr>
          </c:dPt>
          <c:dPt>
            <c:idx val="3"/>
            <c:invertIfNegative val="0"/>
            <c:bubble3D val="0"/>
            <c:spPr>
              <a:solidFill>
                <a:srgbClr val="339966"/>
              </a:solidFill>
              <a:ln w="12700">
                <a:solidFill>
                  <a:srgbClr val="000000"/>
                </a:solidFill>
                <a:prstDash val="solid"/>
              </a:ln>
            </c:spPr>
          </c:dPt>
          <c:dPt>
            <c:idx val="4"/>
            <c:invertIfNegative val="0"/>
            <c:bubble3D val="0"/>
            <c:spPr>
              <a:solidFill>
                <a:srgbClr val="339966"/>
              </a:solidFill>
              <a:ln w="12700">
                <a:solidFill>
                  <a:srgbClr val="000000"/>
                </a:solidFill>
                <a:prstDash val="solid"/>
              </a:ln>
            </c:spPr>
          </c:dPt>
          <c:dPt>
            <c:idx val="8"/>
            <c:invertIfNegative val="0"/>
            <c:bubble3D val="0"/>
            <c:spPr>
              <a:solidFill>
                <a:srgbClr val="333333"/>
              </a:solidFill>
              <a:ln w="12700">
                <a:solidFill>
                  <a:srgbClr val="000000"/>
                </a:solidFill>
                <a:prstDash val="solid"/>
              </a:ln>
            </c:spPr>
          </c:dPt>
          <c:cat>
            <c:strLit>
              <c:ptCount val="9"/>
              <c:pt idx="0">
                <c:v>Planned Liquidity</c:v>
              </c:pt>
              <c:pt idx="1">
                <c:v>Surplus</c:v>
              </c:pt>
              <c:pt idx="2">
                <c:v>Debtors</c:v>
              </c:pt>
              <c:pt idx="3">
                <c:v>Creditors</c:v>
              </c:pt>
              <c:pt idx="4">
                <c:v>Capital Expenditure</c:v>
              </c:pt>
              <c:pt idx="5">
                <c:v>Disposals</c:v>
              </c:pt>
              <c:pt idx="6">
                <c:v>Financing</c:v>
              </c:pt>
              <c:pt idx="7">
                <c:v>Other</c:v>
              </c:pt>
              <c:pt idx="8">
                <c:v>Actual Liquidity</c:v>
              </c:pt>
            </c:strLit>
          </c:cat>
          <c:val>
            <c:numLit>
              <c:formatCode>General</c:formatCode>
              <c:ptCount val="9"/>
              <c:pt idx="0">
                <c:v>11</c:v>
              </c:pt>
              <c:pt idx="1">
                <c:v>2</c:v>
              </c:pt>
              <c:pt idx="2">
                <c:v>0</c:v>
              </c:pt>
              <c:pt idx="3">
                <c:v>6</c:v>
              </c:pt>
              <c:pt idx="4">
                <c:v>8</c:v>
              </c:pt>
              <c:pt idx="5">
                <c:v>0</c:v>
              </c:pt>
              <c:pt idx="6">
                <c:v>0</c:v>
              </c:pt>
              <c:pt idx="7">
                <c:v>0</c:v>
              </c:pt>
              <c:pt idx="8">
                <c:v>23</c:v>
              </c:pt>
            </c:numLit>
          </c:val>
        </c:ser>
        <c:dLbls>
          <c:showLegendKey val="0"/>
          <c:showVal val="0"/>
          <c:showCatName val="0"/>
          <c:showSerName val="0"/>
          <c:showPercent val="0"/>
          <c:showBubbleSize val="0"/>
        </c:dLbls>
        <c:gapWidth val="150"/>
        <c:overlap val="100"/>
        <c:axId val="106136320"/>
        <c:axId val="106137856"/>
      </c:barChart>
      <c:catAx>
        <c:axId val="10613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6137856"/>
        <c:crosses val="autoZero"/>
        <c:auto val="1"/>
        <c:lblAlgn val="ctr"/>
        <c:lblOffset val="100"/>
        <c:tickLblSkip val="1"/>
        <c:tickMarkSkip val="1"/>
        <c:noMultiLvlLbl val="0"/>
      </c:catAx>
      <c:valAx>
        <c:axId val="106137856"/>
        <c:scaling>
          <c:orientation val="minMax"/>
          <c:max val="3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1363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Investment Income</a:t>
            </a:r>
          </a:p>
        </c:rich>
      </c:tx>
      <c:layout>
        <c:manualLayout>
          <c:xMode val="edge"/>
          <c:yMode val="edge"/>
          <c:x val="0.3759999144709763"/>
          <c:y val="3.6900369003690051E-2"/>
        </c:manualLayout>
      </c:layout>
      <c:overlay val="0"/>
      <c:spPr>
        <a:noFill/>
        <a:ln w="25400">
          <a:noFill/>
        </a:ln>
      </c:spPr>
    </c:title>
    <c:autoTitleDeleted val="0"/>
    <c:plotArea>
      <c:layout>
        <c:manualLayout>
          <c:layoutTarget val="inner"/>
          <c:xMode val="edge"/>
          <c:yMode val="edge"/>
          <c:x val="0.22010869565217392"/>
          <c:y val="0.19188226454801469"/>
          <c:w val="0.5923913043478255"/>
          <c:h val="0.45756540007603475"/>
        </c:manualLayout>
      </c:layout>
      <c:barChart>
        <c:barDir val="col"/>
        <c:grouping val="clustered"/>
        <c:varyColors val="0"/>
        <c:ser>
          <c:idx val="1"/>
          <c:order val="0"/>
          <c:tx>
            <c:strRef>
              <c:f>'Cash Data'!$AF$2</c:f>
              <c:strCache>
                <c:ptCount val="1"/>
                <c:pt idx="0">
                  <c:v>Investment</c:v>
                </c:pt>
              </c:strCache>
            </c:strRef>
          </c:tx>
          <c:spPr>
            <a:solidFill>
              <a:srgbClr val="993366"/>
            </a:solidFill>
            <a:ln w="12700">
              <a:solidFill>
                <a:srgbClr val="000000"/>
              </a:solidFill>
              <a:prstDash val="solid"/>
            </a:ln>
          </c:spPr>
          <c:invertIfNegative val="0"/>
          <c:cat>
            <c:numRef>
              <c:f>'Cash Data'!$AG$1:$AR$1</c:f>
              <c:numCache>
                <c:formatCode>mmm\-yy</c:formatCode>
                <c:ptCount val="12"/>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numCache>
            </c:numRef>
          </c:cat>
          <c:val>
            <c:numRef>
              <c:f>'Cash Data'!$AG$2:$AR$2</c:f>
              <c:numCache>
                <c:formatCode>#,##0</c:formatCode>
                <c:ptCount val="12"/>
                <c:pt idx="0">
                  <c:v>7000</c:v>
                </c:pt>
                <c:pt idx="1">
                  <c:v>5000</c:v>
                </c:pt>
                <c:pt idx="2">
                  <c:v>7000</c:v>
                </c:pt>
                <c:pt idx="3">
                  <c:v>7000</c:v>
                </c:pt>
                <c:pt idx="4">
                  <c:v>7000</c:v>
                </c:pt>
                <c:pt idx="5">
                  <c:v>7000</c:v>
                </c:pt>
                <c:pt idx="6">
                  <c:v>7000</c:v>
                </c:pt>
                <c:pt idx="7">
                  <c:v>7000</c:v>
                </c:pt>
                <c:pt idx="8">
                  <c:v>7000</c:v>
                </c:pt>
                <c:pt idx="9">
                  <c:v>7000</c:v>
                </c:pt>
                <c:pt idx="10">
                  <c:v>7000</c:v>
                </c:pt>
                <c:pt idx="11">
                  <c:v>7000</c:v>
                </c:pt>
              </c:numCache>
            </c:numRef>
          </c:val>
        </c:ser>
        <c:dLbls>
          <c:showLegendKey val="0"/>
          <c:showVal val="0"/>
          <c:showCatName val="0"/>
          <c:showSerName val="0"/>
          <c:showPercent val="0"/>
          <c:showBubbleSize val="0"/>
        </c:dLbls>
        <c:gapWidth val="150"/>
        <c:axId val="106157952"/>
        <c:axId val="106311680"/>
      </c:barChart>
      <c:lineChart>
        <c:grouping val="standard"/>
        <c:varyColors val="0"/>
        <c:ser>
          <c:idx val="0"/>
          <c:order val="1"/>
          <c:tx>
            <c:strRef>
              <c:f>'Cash Data'!$AF$3</c:f>
              <c:strCache>
                <c:ptCount val="1"/>
                <c:pt idx="0">
                  <c:v>Interest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'Cash Data'!$AG$1:$AR$1</c:f>
              <c:numCache>
                <c:formatCode>mmm\-yy</c:formatCode>
                <c:ptCount val="12"/>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numCache>
            </c:numRef>
          </c:cat>
          <c:val>
            <c:numRef>
              <c:f>'Cash Data'!$AG$3:$AR$3</c:f>
              <c:numCache>
                <c:formatCode>#,##0</c:formatCode>
                <c:ptCount val="12"/>
                <c:pt idx="0">
                  <c:v>4000</c:v>
                </c:pt>
                <c:pt idx="1">
                  <c:v>3000</c:v>
                </c:pt>
                <c:pt idx="2">
                  <c:v>4000</c:v>
                </c:pt>
                <c:pt idx="3">
                  <c:v>4000</c:v>
                </c:pt>
                <c:pt idx="4">
                  <c:v>4000</c:v>
                </c:pt>
                <c:pt idx="5">
                  <c:v>4000</c:v>
                </c:pt>
                <c:pt idx="6">
                  <c:v>4000</c:v>
                </c:pt>
                <c:pt idx="7">
                  <c:v>4000</c:v>
                </c:pt>
                <c:pt idx="8">
                  <c:v>4000</c:v>
                </c:pt>
                <c:pt idx="9">
                  <c:v>4000</c:v>
                </c:pt>
                <c:pt idx="10">
                  <c:v>4000</c:v>
                </c:pt>
                <c:pt idx="11">
                  <c:v>4000</c:v>
                </c:pt>
              </c:numCache>
            </c:numRef>
          </c:val>
          <c:smooth val="0"/>
        </c:ser>
        <c:dLbls>
          <c:showLegendKey val="0"/>
          <c:showVal val="0"/>
          <c:showCatName val="0"/>
          <c:showSerName val="0"/>
          <c:showPercent val="0"/>
          <c:showBubbleSize val="0"/>
        </c:dLbls>
        <c:marker val="1"/>
        <c:smooth val="0"/>
        <c:axId val="106313600"/>
        <c:axId val="106315136"/>
      </c:lineChart>
      <c:catAx>
        <c:axId val="106157952"/>
        <c:scaling>
          <c:orientation val="minMax"/>
        </c:scaling>
        <c:delete val="0"/>
        <c:axPos val="b"/>
        <c:numFmt formatCode="mmm\-yy" sourceLinked="1"/>
        <c:majorTickMark val="cross"/>
        <c:minorTickMark val="none"/>
        <c:tickLblPos val="nextTo"/>
        <c:spPr>
          <a:ln w="3175">
            <a:solidFill>
              <a:srgbClr val="000000"/>
            </a:solidFill>
            <a:prstDash val="solid"/>
          </a:ln>
        </c:spPr>
        <c:txPr>
          <a:bodyPr rot="-3660000" vert="horz"/>
          <a:lstStyle/>
          <a:p>
            <a:pPr>
              <a:defRPr sz="800" b="0" i="0" u="none" strike="noStrike" baseline="0">
                <a:solidFill>
                  <a:srgbClr val="000000"/>
                </a:solidFill>
                <a:latin typeface="Arial"/>
                <a:ea typeface="Arial"/>
                <a:cs typeface="Arial"/>
              </a:defRPr>
            </a:pPr>
            <a:endParaRPr lang="en-US"/>
          </a:p>
        </c:txPr>
        <c:crossAx val="106311680"/>
        <c:crosses val="autoZero"/>
        <c:auto val="0"/>
        <c:lblAlgn val="ctr"/>
        <c:lblOffset val="100"/>
        <c:tickLblSkip val="1"/>
        <c:tickMarkSkip val="1"/>
        <c:noMultiLvlLbl val="0"/>
      </c:catAx>
      <c:valAx>
        <c:axId val="106311680"/>
        <c:scaling>
          <c:orientation val="minMax"/>
        </c:scaling>
        <c:delete val="0"/>
        <c:axPos val="l"/>
        <c:title>
          <c:tx>
            <c:rich>
              <a:bodyPr rot="0" vert="horz"/>
              <a:lstStyle/>
              <a:p>
                <a:pPr algn="ctr">
                  <a:defRPr sz="800" b="0" i="0" u="none" strike="noStrike" baseline="0">
                    <a:solidFill>
                      <a:srgbClr val="000000"/>
                    </a:solidFill>
                    <a:latin typeface="Arial"/>
                    <a:ea typeface="Arial"/>
                    <a:cs typeface="Arial"/>
                  </a:defRPr>
                </a:pPr>
                <a:r>
                  <a:rPr lang="en-GB"/>
                  <a:t>£'000</a:t>
                </a:r>
              </a:p>
            </c:rich>
          </c:tx>
          <c:layout>
            <c:manualLayout>
              <c:xMode val="edge"/>
              <c:yMode val="edge"/>
              <c:x val="3.1999828941952531E-2"/>
              <c:y val="0.38376461244927451"/>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157952"/>
        <c:crosses val="autoZero"/>
        <c:crossBetween val="between"/>
      </c:valAx>
      <c:catAx>
        <c:axId val="106313600"/>
        <c:scaling>
          <c:orientation val="minMax"/>
        </c:scaling>
        <c:delete val="1"/>
        <c:axPos val="b"/>
        <c:numFmt formatCode="mmm\-yy" sourceLinked="1"/>
        <c:majorTickMark val="out"/>
        <c:minorTickMark val="none"/>
        <c:tickLblPos val="none"/>
        <c:crossAx val="106315136"/>
        <c:crosses val="autoZero"/>
        <c:auto val="0"/>
        <c:lblAlgn val="ctr"/>
        <c:lblOffset val="100"/>
        <c:noMultiLvlLbl val="0"/>
      </c:catAx>
      <c:valAx>
        <c:axId val="106315136"/>
        <c:scaling>
          <c:orientation val="minMax"/>
        </c:scaling>
        <c:delete val="0"/>
        <c:axPos val="r"/>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0.91242362525458265"/>
              <c:y val="0.36900369003690037"/>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313600"/>
        <c:crosses val="max"/>
        <c:crossBetween val="between"/>
      </c:valAx>
      <c:spPr>
        <a:solidFill>
          <a:srgbClr val="C0C0C0"/>
        </a:solidFill>
        <a:ln w="12700">
          <a:solidFill>
            <a:srgbClr val="808080"/>
          </a:solidFill>
          <a:prstDash val="solid"/>
        </a:ln>
      </c:spPr>
    </c:plotArea>
    <c:legend>
      <c:legendPos val="r"/>
      <c:legendEntry>
        <c:idx val="0"/>
        <c:txPr>
          <a:bodyPr/>
          <a:lstStyle/>
          <a:p>
            <a:pPr>
              <a:defRPr sz="735" b="0" i="0" u="none" strike="noStrike" baseline="0">
                <a:solidFill>
                  <a:srgbClr val="000000"/>
                </a:solidFill>
                <a:latin typeface="Arial"/>
                <a:ea typeface="Arial"/>
                <a:cs typeface="Arial"/>
              </a:defRPr>
            </a:pPr>
            <a:endParaRPr lang="en-US"/>
          </a:p>
        </c:txPr>
      </c:legendEntry>
      <c:legendEntry>
        <c:idx val="1"/>
        <c:txPr>
          <a:bodyPr/>
          <a:lstStyle/>
          <a:p>
            <a:pPr>
              <a:defRPr sz="735" b="0" i="0" u="none" strike="noStrike" baseline="0">
                <a:solidFill>
                  <a:srgbClr val="000000"/>
                </a:solidFill>
                <a:latin typeface="Arial"/>
                <a:ea typeface="Arial"/>
                <a:cs typeface="Arial"/>
              </a:defRPr>
            </a:pPr>
            <a:endParaRPr lang="en-US"/>
          </a:p>
        </c:txPr>
      </c:legendEntry>
      <c:layout>
        <c:manualLayout>
          <c:xMode val="edge"/>
          <c:yMode val="edge"/>
          <c:x val="0.27902240325865668"/>
          <c:y val="0.88191881918819293"/>
          <c:w val="0.44195519348268841"/>
          <c:h val="8.1180811808117856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3" r="0.750000000000003"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GB"/>
              <a:t>Cash flow Waterfall Year End Forecast 2016/17 £k</a:t>
            </a:r>
          </a:p>
        </c:rich>
      </c:tx>
      <c:layout>
        <c:manualLayout>
          <c:xMode val="edge"/>
          <c:yMode val="edge"/>
          <c:x val="0.24029601272216697"/>
          <c:y val="3.7037037037037056E-2"/>
        </c:manualLayout>
      </c:layout>
      <c:overlay val="0"/>
      <c:spPr>
        <a:noFill/>
        <a:ln w="25400">
          <a:noFill/>
        </a:ln>
      </c:spPr>
    </c:title>
    <c:autoTitleDeleted val="0"/>
    <c:plotArea>
      <c:layout>
        <c:manualLayout>
          <c:layoutTarget val="inner"/>
          <c:xMode val="edge"/>
          <c:yMode val="edge"/>
          <c:x val="0.13927524252838561"/>
          <c:y val="0.13086458637114806"/>
          <c:w val="0.82816780499122689"/>
          <c:h val="0.42098920968212306"/>
        </c:manualLayout>
      </c:layout>
      <c:barChart>
        <c:barDir val="col"/>
        <c:grouping val="stacked"/>
        <c:varyColors val="0"/>
        <c:ser>
          <c:idx val="0"/>
          <c:order val="0"/>
          <c:tx>
            <c:strRef>
              <c:f>'Chart Data'!$B$184:$B$185</c:f>
              <c:strCache>
                <c:ptCount val="1"/>
                <c:pt idx="0">
                  <c:v>Base</c:v>
                </c:pt>
              </c:strCache>
            </c:strRef>
          </c:tx>
          <c:spPr>
            <a:noFill/>
            <a:ln w="25400">
              <a:noFill/>
            </a:ln>
          </c:spPr>
          <c:invertIfNegative val="0"/>
          <c:cat>
            <c:strRef>
              <c:f>'Chart Data'!$A$186:$A$200</c:f>
              <c:strCache>
                <c:ptCount val="15"/>
                <c:pt idx="0">
                  <c:v>Plan</c:v>
                </c:pt>
                <c:pt idx="1">
                  <c:v>Drawdown on debt</c:v>
                </c:pt>
                <c:pt idx="2">
                  <c:v>Non Cash I&amp;E Items</c:v>
                </c:pt>
                <c:pt idx="3">
                  <c:v>Movem't in Wking Cap</c:v>
                </c:pt>
                <c:pt idx="4">
                  <c:v>Provisions</c:v>
                </c:pt>
                <c:pt idx="5">
                  <c:v>Capital Expenditure</c:v>
                </c:pt>
                <c:pt idx="6">
                  <c:v>EBITDA</c:v>
                </c:pt>
                <c:pt idx="7">
                  <c:v>PDC Received</c:v>
                </c:pt>
                <c:pt idx="8">
                  <c:v>PDC Repaid</c:v>
                </c:pt>
                <c:pt idx="9">
                  <c:v>Dividends Paid</c:v>
                </c:pt>
                <c:pt idx="10">
                  <c:v>Int on Loans &amp; Leases</c:v>
                </c:pt>
                <c:pt idx="11">
                  <c:v>Interest received</c:v>
                </c:pt>
                <c:pt idx="12">
                  <c:v>Asset sales</c:v>
                </c:pt>
                <c:pt idx="13">
                  <c:v>Repayment of debt</c:v>
                </c:pt>
                <c:pt idx="14">
                  <c:v>Forecast</c:v>
                </c:pt>
              </c:strCache>
            </c:strRef>
          </c:cat>
          <c:val>
            <c:numRef>
              <c:f>'Chart Data'!$B$186:$B$200</c:f>
              <c:numCache>
                <c:formatCode>#,##0_);[Red]\(#,##0\)</c:formatCode>
                <c:ptCount val="15"/>
                <c:pt idx="1">
                  <c:v>3166.8110000000015</c:v>
                </c:pt>
                <c:pt idx="2">
                  <c:v>3497.8110000000015</c:v>
                </c:pt>
                <c:pt idx="3">
                  <c:v>3497.8110000000015</c:v>
                </c:pt>
                <c:pt idx="4">
                  <c:v>8240.8110000000015</c:v>
                </c:pt>
                <c:pt idx="5">
                  <c:v>754.81100000000151</c:v>
                </c:pt>
                <c:pt idx="6">
                  <c:v>543.03999999996449</c:v>
                </c:pt>
                <c:pt idx="7">
                  <c:v>543.03999999996449</c:v>
                </c:pt>
                <c:pt idx="8">
                  <c:v>1878.0399999999645</c:v>
                </c:pt>
                <c:pt idx="9">
                  <c:v>1878.0399999999645</c:v>
                </c:pt>
                <c:pt idx="10">
                  <c:v>1878.0399999999645</c:v>
                </c:pt>
                <c:pt idx="11">
                  <c:v>1932.0399999999645</c:v>
                </c:pt>
                <c:pt idx="12">
                  <c:v>1932.0399999999645</c:v>
                </c:pt>
                <c:pt idx="13">
                  <c:v>1932.0399999999645</c:v>
                </c:pt>
              </c:numCache>
            </c:numRef>
          </c:val>
        </c:ser>
        <c:ser>
          <c:idx val="1"/>
          <c:order val="1"/>
          <c:tx>
            <c:strRef>
              <c:f>'Chart Data'!$C$184:$C$185</c:f>
              <c:strCache>
                <c:ptCount val="1"/>
                <c:pt idx="0">
                  <c:v>End</c:v>
                </c:pt>
              </c:strCache>
            </c:strRef>
          </c:tx>
          <c:spPr>
            <a:solidFill>
              <a:srgbClr val="C0C0C0"/>
            </a:solidFill>
            <a:ln w="12700">
              <a:solidFill>
                <a:srgbClr val="000000"/>
              </a:solidFill>
              <a:prstDash val="solid"/>
            </a:ln>
          </c:spPr>
          <c:invertIfNegative val="0"/>
          <c:cat>
            <c:strRef>
              <c:f>'Chart Data'!$A$186:$A$200</c:f>
              <c:strCache>
                <c:ptCount val="15"/>
                <c:pt idx="0">
                  <c:v>Plan</c:v>
                </c:pt>
                <c:pt idx="1">
                  <c:v>Drawdown on debt</c:v>
                </c:pt>
                <c:pt idx="2">
                  <c:v>Non Cash I&amp;E Items</c:v>
                </c:pt>
                <c:pt idx="3">
                  <c:v>Movem't in Wking Cap</c:v>
                </c:pt>
                <c:pt idx="4">
                  <c:v>Provisions</c:v>
                </c:pt>
                <c:pt idx="5">
                  <c:v>Capital Expenditure</c:v>
                </c:pt>
                <c:pt idx="6">
                  <c:v>EBITDA</c:v>
                </c:pt>
                <c:pt idx="7">
                  <c:v>PDC Received</c:v>
                </c:pt>
                <c:pt idx="8">
                  <c:v>PDC Repaid</c:v>
                </c:pt>
                <c:pt idx="9">
                  <c:v>Dividends Paid</c:v>
                </c:pt>
                <c:pt idx="10">
                  <c:v>Int on Loans &amp; Leases</c:v>
                </c:pt>
                <c:pt idx="11">
                  <c:v>Interest received</c:v>
                </c:pt>
                <c:pt idx="12">
                  <c:v>Asset sales</c:v>
                </c:pt>
                <c:pt idx="13">
                  <c:v>Repayment of debt</c:v>
                </c:pt>
                <c:pt idx="14">
                  <c:v>Forecast</c:v>
                </c:pt>
              </c:strCache>
            </c:strRef>
          </c:cat>
          <c:val>
            <c:numRef>
              <c:f>'Chart Data'!$C$186:$C$200</c:f>
              <c:numCache>
                <c:formatCode>#,##0_);[Red]\(#,##0\)</c:formatCode>
                <c:ptCount val="15"/>
                <c:pt idx="14">
                  <c:v>3168.0399999999645</c:v>
                </c:pt>
              </c:numCache>
            </c:numRef>
          </c:val>
        </c:ser>
        <c:ser>
          <c:idx val="3"/>
          <c:order val="2"/>
          <c:tx>
            <c:strRef>
              <c:f>'Chart Data'!$D$184:$D$185</c:f>
              <c:strCache>
                <c:ptCount val="1"/>
                <c:pt idx="0">
                  <c:v>Down</c:v>
                </c:pt>
              </c:strCache>
            </c:strRef>
          </c:tx>
          <c:spPr>
            <a:solidFill>
              <a:srgbClr val="339966"/>
            </a:solidFill>
            <a:ln w="12700">
              <a:solidFill>
                <a:srgbClr val="000000"/>
              </a:solidFill>
              <a:prstDash val="solid"/>
            </a:ln>
          </c:spPr>
          <c:invertIfNegative val="0"/>
          <c:cat>
            <c:strRef>
              <c:f>'Chart Data'!$A$186:$A$200</c:f>
              <c:strCache>
                <c:ptCount val="15"/>
                <c:pt idx="0">
                  <c:v>Plan</c:v>
                </c:pt>
                <c:pt idx="1">
                  <c:v>Drawdown on debt</c:v>
                </c:pt>
                <c:pt idx="2">
                  <c:v>Non Cash I&amp;E Items</c:v>
                </c:pt>
                <c:pt idx="3">
                  <c:v>Movem't in Wking Cap</c:v>
                </c:pt>
                <c:pt idx="4">
                  <c:v>Provisions</c:v>
                </c:pt>
                <c:pt idx="5">
                  <c:v>Capital Expenditure</c:v>
                </c:pt>
                <c:pt idx="6">
                  <c:v>EBITDA</c:v>
                </c:pt>
                <c:pt idx="7">
                  <c:v>PDC Received</c:v>
                </c:pt>
                <c:pt idx="8">
                  <c:v>PDC Repaid</c:v>
                </c:pt>
                <c:pt idx="9">
                  <c:v>Dividends Paid</c:v>
                </c:pt>
                <c:pt idx="10">
                  <c:v>Int on Loans &amp; Leases</c:v>
                </c:pt>
                <c:pt idx="11">
                  <c:v>Interest received</c:v>
                </c:pt>
                <c:pt idx="12">
                  <c:v>Asset sales</c:v>
                </c:pt>
                <c:pt idx="13">
                  <c:v>Repayment of debt</c:v>
                </c:pt>
                <c:pt idx="14">
                  <c:v>Forecast</c:v>
                </c:pt>
              </c:strCache>
            </c:strRef>
          </c:cat>
          <c:val>
            <c:numRef>
              <c:f>'Chart Data'!$E$186:$E$200</c:f>
              <c:numCache>
                <c:formatCode>#,##0_);[Red]\(#,##0\)</c:formatCode>
                <c:ptCount val="15"/>
                <c:pt idx="1">
                  <c:v>331</c:v>
                </c:pt>
                <c:pt idx="2">
                  <c:v>0</c:v>
                </c:pt>
                <c:pt idx="3">
                  <c:v>4875</c:v>
                </c:pt>
                <c:pt idx="4">
                  <c:v>0</c:v>
                </c:pt>
                <c:pt idx="5">
                  <c:v>0</c:v>
                </c:pt>
                <c:pt idx="6">
                  <c:v>0</c:v>
                </c:pt>
                <c:pt idx="7">
                  <c:v>1335</c:v>
                </c:pt>
                <c:pt idx="8">
                  <c:v>0</c:v>
                </c:pt>
                <c:pt idx="9">
                  <c:v>0</c:v>
                </c:pt>
                <c:pt idx="10">
                  <c:v>55</c:v>
                </c:pt>
                <c:pt idx="11">
                  <c:v>0</c:v>
                </c:pt>
                <c:pt idx="12">
                  <c:v>0</c:v>
                </c:pt>
                <c:pt idx="13">
                  <c:v>1236</c:v>
                </c:pt>
              </c:numCache>
            </c:numRef>
          </c:val>
        </c:ser>
        <c:ser>
          <c:idx val="2"/>
          <c:order val="3"/>
          <c:tx>
            <c:strRef>
              <c:f>'Chart Data'!$D$184:$D$185</c:f>
              <c:strCache>
                <c:ptCount val="1"/>
                <c:pt idx="0">
                  <c:v>Down</c:v>
                </c:pt>
              </c:strCache>
            </c:strRef>
          </c:tx>
          <c:spPr>
            <a:solidFill>
              <a:srgbClr val="FF0000"/>
            </a:solidFill>
            <a:ln w="12700">
              <a:solidFill>
                <a:srgbClr val="000000"/>
              </a:solidFill>
              <a:prstDash val="solid"/>
            </a:ln>
          </c:spPr>
          <c:invertIfNegative val="0"/>
          <c:cat>
            <c:strRef>
              <c:f>'Chart Data'!$A$186:$A$200</c:f>
              <c:strCache>
                <c:ptCount val="15"/>
                <c:pt idx="0">
                  <c:v>Plan</c:v>
                </c:pt>
                <c:pt idx="1">
                  <c:v>Drawdown on debt</c:v>
                </c:pt>
                <c:pt idx="2">
                  <c:v>Non Cash I&amp;E Items</c:v>
                </c:pt>
                <c:pt idx="3">
                  <c:v>Movem't in Wking Cap</c:v>
                </c:pt>
                <c:pt idx="4">
                  <c:v>Provisions</c:v>
                </c:pt>
                <c:pt idx="5">
                  <c:v>Capital Expenditure</c:v>
                </c:pt>
                <c:pt idx="6">
                  <c:v>EBITDA</c:v>
                </c:pt>
                <c:pt idx="7">
                  <c:v>PDC Received</c:v>
                </c:pt>
                <c:pt idx="8">
                  <c:v>PDC Repaid</c:v>
                </c:pt>
                <c:pt idx="9">
                  <c:v>Dividends Paid</c:v>
                </c:pt>
                <c:pt idx="10">
                  <c:v>Int on Loans &amp; Leases</c:v>
                </c:pt>
                <c:pt idx="11">
                  <c:v>Interest received</c:v>
                </c:pt>
                <c:pt idx="12">
                  <c:v>Asset sales</c:v>
                </c:pt>
                <c:pt idx="13">
                  <c:v>Repayment of debt</c:v>
                </c:pt>
                <c:pt idx="14">
                  <c:v>Forecast</c:v>
                </c:pt>
              </c:strCache>
            </c:strRef>
          </c:cat>
          <c:val>
            <c:numRef>
              <c:f>'Chart Data'!$D$186:$D$200</c:f>
              <c:numCache>
                <c:formatCode>#,##0_);[Red]\(#,##0\)</c:formatCode>
                <c:ptCount val="15"/>
                <c:pt idx="1">
                  <c:v>0</c:v>
                </c:pt>
                <c:pt idx="2">
                  <c:v>0</c:v>
                </c:pt>
                <c:pt idx="3">
                  <c:v>0</c:v>
                </c:pt>
                <c:pt idx="4">
                  <c:v>132</c:v>
                </c:pt>
                <c:pt idx="5">
                  <c:v>7486</c:v>
                </c:pt>
                <c:pt idx="6">
                  <c:v>211.77100000003702</c:v>
                </c:pt>
                <c:pt idx="7">
                  <c:v>0</c:v>
                </c:pt>
                <c:pt idx="8">
                  <c:v>0</c:v>
                </c:pt>
                <c:pt idx="9">
                  <c:v>0</c:v>
                </c:pt>
                <c:pt idx="10">
                  <c:v>0</c:v>
                </c:pt>
                <c:pt idx="11">
                  <c:v>1</c:v>
                </c:pt>
                <c:pt idx="12">
                  <c:v>0</c:v>
                </c:pt>
                <c:pt idx="13">
                  <c:v>0</c:v>
                </c:pt>
              </c:numCache>
            </c:numRef>
          </c:val>
        </c:ser>
        <c:ser>
          <c:idx val="4"/>
          <c:order val="4"/>
          <c:tx>
            <c:strRef>
              <c:f>'Chart Data'!$F$184:$F$185</c:f>
              <c:strCache>
                <c:ptCount val="1"/>
                <c:pt idx="0">
                  <c:v>Start</c:v>
                </c:pt>
              </c:strCache>
            </c:strRef>
          </c:tx>
          <c:spPr>
            <a:solidFill>
              <a:srgbClr val="660066"/>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cat>
            <c:strRef>
              <c:f>'Chart Data'!$A$186:$A$200</c:f>
              <c:strCache>
                <c:ptCount val="15"/>
                <c:pt idx="0">
                  <c:v>Plan</c:v>
                </c:pt>
                <c:pt idx="1">
                  <c:v>Drawdown on debt</c:v>
                </c:pt>
                <c:pt idx="2">
                  <c:v>Non Cash I&amp;E Items</c:v>
                </c:pt>
                <c:pt idx="3">
                  <c:v>Movem't in Wking Cap</c:v>
                </c:pt>
                <c:pt idx="4">
                  <c:v>Provisions</c:v>
                </c:pt>
                <c:pt idx="5">
                  <c:v>Capital Expenditure</c:v>
                </c:pt>
                <c:pt idx="6">
                  <c:v>EBITDA</c:v>
                </c:pt>
                <c:pt idx="7">
                  <c:v>PDC Received</c:v>
                </c:pt>
                <c:pt idx="8">
                  <c:v>PDC Repaid</c:v>
                </c:pt>
                <c:pt idx="9">
                  <c:v>Dividends Paid</c:v>
                </c:pt>
                <c:pt idx="10">
                  <c:v>Int on Loans &amp; Leases</c:v>
                </c:pt>
                <c:pt idx="11">
                  <c:v>Interest received</c:v>
                </c:pt>
                <c:pt idx="12">
                  <c:v>Asset sales</c:v>
                </c:pt>
                <c:pt idx="13">
                  <c:v>Repayment of debt</c:v>
                </c:pt>
                <c:pt idx="14">
                  <c:v>Forecast</c:v>
                </c:pt>
              </c:strCache>
            </c:strRef>
          </c:cat>
          <c:val>
            <c:numRef>
              <c:f>'Chart Data'!$F$186:$F$200</c:f>
              <c:numCache>
                <c:formatCode>#,##0_);[Red]\(#,##0\)</c:formatCode>
                <c:ptCount val="15"/>
                <c:pt idx="0">
                  <c:v>3166.8110000000015</c:v>
                </c:pt>
              </c:numCache>
            </c:numRef>
          </c:val>
        </c:ser>
        <c:dLbls>
          <c:showLegendKey val="0"/>
          <c:showVal val="0"/>
          <c:showCatName val="0"/>
          <c:showSerName val="0"/>
          <c:showPercent val="0"/>
          <c:showBubbleSize val="0"/>
        </c:dLbls>
        <c:gapWidth val="150"/>
        <c:overlap val="100"/>
        <c:axId val="106897792"/>
        <c:axId val="106899328"/>
      </c:barChart>
      <c:catAx>
        <c:axId val="106897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3960000" vert="horz"/>
          <a:lstStyle/>
          <a:p>
            <a:pPr>
              <a:defRPr sz="800" b="0" i="0" u="none" strike="noStrike" baseline="0">
                <a:solidFill>
                  <a:srgbClr val="000000"/>
                </a:solidFill>
                <a:latin typeface="Arial"/>
                <a:ea typeface="Arial"/>
                <a:cs typeface="Arial"/>
              </a:defRPr>
            </a:pPr>
            <a:endParaRPr lang="en-US"/>
          </a:p>
        </c:txPr>
        <c:crossAx val="106899328"/>
        <c:crosses val="autoZero"/>
        <c:auto val="1"/>
        <c:lblAlgn val="ctr"/>
        <c:lblOffset val="100"/>
        <c:tickLblSkip val="1"/>
        <c:tickMarkSkip val="1"/>
        <c:noMultiLvlLbl val="0"/>
      </c:catAx>
      <c:valAx>
        <c:axId val="106899328"/>
        <c:scaling>
          <c:orientation val="minMax"/>
          <c:max val="9000"/>
          <c:min val="0"/>
        </c:scaling>
        <c:delete val="0"/>
        <c:axPos val="l"/>
        <c:majorGridlines>
          <c:spPr>
            <a:ln w="3175">
              <a:solidFill>
                <a:srgbClr val="000000"/>
              </a:solidFill>
              <a:prstDash val="solid"/>
            </a:ln>
          </c:spPr>
        </c:majorGridlines>
        <c:numFmt formatCode="#,##0_);[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897792"/>
        <c:crosses val="autoZero"/>
        <c:crossBetween val="between"/>
        <c:majorUnit val="1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GB"/>
              <a:t>In Month Income 2016/17</a:t>
            </a:r>
          </a:p>
        </c:rich>
      </c:tx>
      <c:layout>
        <c:manualLayout>
          <c:xMode val="edge"/>
          <c:yMode val="edge"/>
          <c:x val="0.3587922691481748"/>
          <c:y val="3.5031812973842738E-2"/>
        </c:manualLayout>
      </c:layout>
      <c:overlay val="0"/>
      <c:spPr>
        <a:noFill/>
        <a:ln w="25400">
          <a:noFill/>
        </a:ln>
      </c:spPr>
    </c:title>
    <c:autoTitleDeleted val="0"/>
    <c:plotArea>
      <c:layout>
        <c:manualLayout>
          <c:layoutTarget val="inner"/>
          <c:xMode val="edge"/>
          <c:yMode val="edge"/>
          <c:x val="0.13272727272727294"/>
          <c:y val="0.1609907120743034"/>
          <c:w val="0.8236363636363635"/>
          <c:h val="0.56965944272446145"/>
        </c:manualLayout>
      </c:layout>
      <c:lineChart>
        <c:grouping val="standard"/>
        <c:varyColors val="0"/>
        <c:ser>
          <c:idx val="0"/>
          <c:order val="0"/>
          <c:tx>
            <c:strRef>
              <c:f>'Chart Data'!$A$9</c:f>
              <c:strCache>
                <c:ptCount val="1"/>
                <c:pt idx="0">
                  <c:v>Plan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'Chart Data'!$B$8:$M$8</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Data'!$B$9:$M$9</c:f>
              <c:numCache>
                <c:formatCode>#,##0;[Red]\(#,##0\)</c:formatCode>
                <c:ptCount val="12"/>
                <c:pt idx="0">
                  <c:v>45741</c:v>
                </c:pt>
                <c:pt idx="1">
                  <c:v>45720.998999999996</c:v>
                </c:pt>
                <c:pt idx="2">
                  <c:v>45753.998999999996</c:v>
                </c:pt>
                <c:pt idx="3">
                  <c:v>45809.999999999993</c:v>
                </c:pt>
                <c:pt idx="4">
                  <c:v>45794.999999999985</c:v>
                </c:pt>
                <c:pt idx="5">
                  <c:v>45819.089000000007</c:v>
                </c:pt>
                <c:pt idx="6">
                  <c:v>45814.098999999995</c:v>
                </c:pt>
                <c:pt idx="7">
                  <c:v>45829.099000000002</c:v>
                </c:pt>
                <c:pt idx="8">
                  <c:v>45831.000999999997</c:v>
                </c:pt>
                <c:pt idx="9">
                  <c:v>45834.001000000004</c:v>
                </c:pt>
                <c:pt idx="10">
                  <c:v>45834.000999999989</c:v>
                </c:pt>
                <c:pt idx="11">
                  <c:v>45853.999000000003</c:v>
                </c:pt>
              </c:numCache>
            </c:numRef>
          </c:val>
          <c:smooth val="0"/>
        </c:ser>
        <c:ser>
          <c:idx val="1"/>
          <c:order val="1"/>
          <c:tx>
            <c:strRef>
              <c:f>'Chart Data'!$A$10</c:f>
              <c:strCache>
                <c:ptCount val="1"/>
                <c:pt idx="0">
                  <c:v>Actual / Forecast</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dPt>
            <c:idx val="0"/>
            <c:marker>
              <c:spPr>
                <a:solidFill>
                  <a:srgbClr val="000000"/>
                </a:solidFill>
                <a:ln>
                  <a:solidFill>
                    <a:srgbClr val="000000"/>
                  </a:solidFill>
                  <a:prstDash val="solid"/>
                </a:ln>
              </c:spPr>
            </c:marker>
            <c:bubble3D val="0"/>
            <c:spPr>
              <a:ln w="25400">
                <a:solidFill>
                  <a:srgbClr val="000000"/>
                </a:solidFill>
                <a:prstDash val="solid"/>
              </a:ln>
            </c:spPr>
          </c:dPt>
          <c:cat>
            <c:numRef>
              <c:f>'Chart Data'!$B$8:$M$8</c:f>
              <c:numCache>
                <c:formatCode>mmm\-yy</c:formatCode>
                <c:ptCount val="12"/>
                <c:pt idx="0">
                  <c:v>42461</c:v>
                </c:pt>
                <c:pt idx="1">
                  <c:v>42491</c:v>
                </c:pt>
                <c:pt idx="2">
                  <c:v>42522</c:v>
                </c:pt>
                <c:pt idx="3">
                  <c:v>42552</c:v>
                </c:pt>
                <c:pt idx="4">
                  <c:v>42583</c:v>
                </c:pt>
                <c:pt idx="5">
                  <c:v>42614</c:v>
                </c:pt>
                <c:pt idx="6">
                  <c:v>42644</c:v>
                </c:pt>
                <c:pt idx="7">
                  <c:v>42675</c:v>
                </c:pt>
                <c:pt idx="8">
                  <c:v>42705</c:v>
                </c:pt>
                <c:pt idx="9">
                  <c:v>42736</c:v>
                </c:pt>
                <c:pt idx="10">
                  <c:v>42767</c:v>
                </c:pt>
                <c:pt idx="11">
                  <c:v>42795</c:v>
                </c:pt>
              </c:numCache>
            </c:numRef>
          </c:cat>
          <c:val>
            <c:numRef>
              <c:f>'Chart Data'!$B$10:$M$10</c:f>
              <c:numCache>
                <c:formatCode>#,##0;[Red]\(#,##0\)</c:formatCode>
                <c:ptCount val="12"/>
                <c:pt idx="0">
                  <c:v>44229.398999999998</c:v>
                </c:pt>
                <c:pt idx="1">
                  <c:v>44057.762999999992</c:v>
                </c:pt>
                <c:pt idx="2">
                  <c:v>44699.227999999996</c:v>
                </c:pt>
                <c:pt idx="3">
                  <c:v>48505.536</c:v>
                </c:pt>
                <c:pt idx="4">
                  <c:v>44925.517999999996</c:v>
                </c:pt>
                <c:pt idx="5">
                  <c:v>44952.371999999996</c:v>
                </c:pt>
                <c:pt idx="6">
                  <c:v>48482.137999999992</c:v>
                </c:pt>
                <c:pt idx="7">
                  <c:v>44905.725999999988</c:v>
                </c:pt>
                <c:pt idx="8">
                  <c:v>44942.616000000002</c:v>
                </c:pt>
                <c:pt idx="9">
                  <c:v>48561.389999999992</c:v>
                </c:pt>
                <c:pt idx="10">
                  <c:v>44967.491000000002</c:v>
                </c:pt>
                <c:pt idx="11">
                  <c:v>48623.800999999999</c:v>
                </c:pt>
              </c:numCache>
            </c:numRef>
          </c:val>
          <c:smooth val="0"/>
        </c:ser>
        <c:dLbls>
          <c:showLegendKey val="0"/>
          <c:showVal val="0"/>
          <c:showCatName val="0"/>
          <c:showSerName val="0"/>
          <c:showPercent val="0"/>
          <c:showBubbleSize val="0"/>
        </c:dLbls>
        <c:marker val="1"/>
        <c:smooth val="0"/>
        <c:axId val="106998016"/>
        <c:axId val="107032576"/>
      </c:lineChart>
      <c:dateAx>
        <c:axId val="106998016"/>
        <c:scaling>
          <c:orientation val="minMax"/>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07032576"/>
        <c:crosses val="autoZero"/>
        <c:auto val="1"/>
        <c:lblOffset val="100"/>
        <c:baseTimeUnit val="months"/>
        <c:majorUnit val="1"/>
        <c:majorTimeUnit val="months"/>
        <c:minorUnit val="1"/>
        <c:minorTimeUnit val="months"/>
      </c:dateAx>
      <c:valAx>
        <c:axId val="10703257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£k</a:t>
                </a:r>
              </a:p>
            </c:rich>
          </c:tx>
          <c:layout>
            <c:manualLayout>
              <c:xMode val="edge"/>
              <c:yMode val="edge"/>
              <c:x val="2.8419183965640648E-2"/>
              <c:y val="0.41719737045253225"/>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998016"/>
        <c:crosses val="autoZero"/>
        <c:crossBetween val="between"/>
      </c:valAx>
      <c:spPr>
        <a:noFill/>
        <a:ln w="12700">
          <a:solidFill>
            <a:srgbClr val="808080"/>
          </a:solidFill>
          <a:prstDash val="solid"/>
        </a:ln>
      </c:spPr>
    </c:plotArea>
    <c:legend>
      <c:legendPos val="r"/>
      <c:layout>
        <c:manualLayout>
          <c:xMode val="edge"/>
          <c:yMode val="edge"/>
          <c:x val="0.42727272727272786"/>
          <c:y val="0.90712074303405577"/>
          <c:w val="0.31818181818181868"/>
          <c:h val="6.8111455108359142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chart" Target="../charts/chart34.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image" Target="../images/spacer.gif"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10</xdr:col>
      <xdr:colOff>1447800</xdr:colOff>
      <xdr:row>0</xdr:row>
      <xdr:rowOff>0</xdr:rowOff>
    </xdr:from>
    <xdr:to>
      <xdr:col>14</xdr:col>
      <xdr:colOff>9525</xdr:colOff>
      <xdr:row>3</xdr:row>
      <xdr:rowOff>0</xdr:rowOff>
    </xdr:to>
    <xdr:pic>
      <xdr:nvPicPr>
        <xdr:cNvPr id="9451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982200" y="0"/>
          <a:ext cx="2562225" cy="447675"/>
        </a:xfrm>
        <a:prstGeom prst="rect">
          <a:avLst/>
        </a:prstGeom>
        <a:noFill/>
        <a:ln w="9525">
          <a:noFill/>
          <a:miter lim="800000"/>
          <a:headEnd/>
          <a:tailEnd/>
        </a:ln>
      </xdr:spPr>
    </xdr:pic>
    <xdr:clientData/>
  </xdr:twoCellAnchor>
  <xdr:twoCellAnchor editAs="oneCell">
    <xdr:from>
      <xdr:col>16</xdr:col>
      <xdr:colOff>419100</xdr:colOff>
      <xdr:row>0</xdr:row>
      <xdr:rowOff>0</xdr:rowOff>
    </xdr:from>
    <xdr:to>
      <xdr:col>21</xdr:col>
      <xdr:colOff>209550</xdr:colOff>
      <xdr:row>6</xdr:row>
      <xdr:rowOff>0</xdr:rowOff>
    </xdr:to>
    <xdr:sp macro="" textlink="">
      <xdr:nvSpPr>
        <xdr:cNvPr id="945154" name="AutoShape 2" descr="image002"/>
        <xdr:cNvSpPr>
          <a:spLocks noChangeAspect="1" noChangeArrowheads="1"/>
        </xdr:cNvSpPr>
      </xdr:nvSpPr>
      <xdr:spPr bwMode="auto">
        <a:xfrm>
          <a:off x="14173200" y="0"/>
          <a:ext cx="2847975" cy="809625"/>
        </a:xfrm>
        <a:prstGeom prst="rect">
          <a:avLst/>
        </a:prstGeom>
        <a:no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224117</xdr:colOff>
      <xdr:row>57</xdr:row>
      <xdr:rowOff>168088</xdr:rowOff>
    </xdr:from>
    <xdr:to>
      <xdr:col>18</xdr:col>
      <xdr:colOff>705970</xdr:colOff>
      <xdr:row>65</xdr:row>
      <xdr:rowOff>235310</xdr:rowOff>
    </xdr:to>
    <xdr:sp macro="" textlink="">
      <xdr:nvSpPr>
        <xdr:cNvPr id="2" name="TextBox 1"/>
        <xdr:cNvSpPr txBox="1"/>
      </xdr:nvSpPr>
      <xdr:spPr>
        <a:xfrm>
          <a:off x="15397442" y="9912163"/>
          <a:ext cx="2977403" cy="15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GB" sz="1100" b="0" i="0" u="none" strike="noStrike" baseline="0">
              <a:solidFill>
                <a:srgbClr val="000000"/>
              </a:solidFill>
              <a:latin typeface="Calibri"/>
            </a:rPr>
            <a:t>This tables represents the  level of overperformance against the Commissioned Plans for the 3 months to 30th June 2013</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224117</xdr:colOff>
      <xdr:row>58</xdr:row>
      <xdr:rowOff>168088</xdr:rowOff>
    </xdr:from>
    <xdr:to>
      <xdr:col>18</xdr:col>
      <xdr:colOff>705970</xdr:colOff>
      <xdr:row>66</xdr:row>
      <xdr:rowOff>235323</xdr:rowOff>
    </xdr:to>
    <xdr:sp macro="" textlink="">
      <xdr:nvSpPr>
        <xdr:cNvPr id="2" name="TextBox 1"/>
        <xdr:cNvSpPr txBox="1"/>
      </xdr:nvSpPr>
      <xdr:spPr>
        <a:xfrm>
          <a:off x="15385676" y="9603441"/>
          <a:ext cx="2969559" cy="15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tables represents the  level of overeperformance</a:t>
          </a:r>
          <a:r>
            <a:rPr lang="en-GB" sz="1100" baseline="0"/>
            <a:t> against the Commissioned Plans for the 2 months to 30th June 2013</a:t>
          </a: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42</xdr:row>
      <xdr:rowOff>0</xdr:rowOff>
    </xdr:from>
    <xdr:to>
      <xdr:col>16</xdr:col>
      <xdr:colOff>0</xdr:colOff>
      <xdr:row>42</xdr:row>
      <xdr:rowOff>0</xdr:rowOff>
    </xdr:to>
    <xdr:graphicFrame macro="">
      <xdr:nvGraphicFramePr>
        <xdr:cNvPr id="9687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6</xdr:col>
      <xdr:colOff>0</xdr:colOff>
      <xdr:row>42</xdr:row>
      <xdr:rowOff>0</xdr:rowOff>
    </xdr:to>
    <xdr:graphicFrame macro="">
      <xdr:nvGraphicFramePr>
        <xdr:cNvPr id="96870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27</xdr:row>
      <xdr:rowOff>104775</xdr:rowOff>
    </xdr:from>
    <xdr:to>
      <xdr:col>8</xdr:col>
      <xdr:colOff>38100</xdr:colOff>
      <xdr:row>48</xdr:row>
      <xdr:rowOff>104775</xdr:rowOff>
    </xdr:to>
    <xdr:graphicFrame macro="">
      <xdr:nvGraphicFramePr>
        <xdr:cNvPr id="97177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152400</xdr:colOff>
      <xdr:row>27</xdr:row>
      <xdr:rowOff>0</xdr:rowOff>
    </xdr:from>
    <xdr:to>
      <xdr:col>18</xdr:col>
      <xdr:colOff>0</xdr:colOff>
      <xdr:row>48</xdr:row>
      <xdr:rowOff>0</xdr:rowOff>
    </xdr:to>
    <xdr:graphicFrame macro="">
      <xdr:nvGraphicFramePr>
        <xdr:cNvPr id="97177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39</xdr:row>
      <xdr:rowOff>0</xdr:rowOff>
    </xdr:from>
    <xdr:to>
      <xdr:col>5</xdr:col>
      <xdr:colOff>19050</xdr:colOff>
      <xdr:row>57</xdr:row>
      <xdr:rowOff>66675</xdr:rowOff>
    </xdr:to>
    <xdr:graphicFrame macro="">
      <xdr:nvGraphicFramePr>
        <xdr:cNvPr id="978945" name="Chart 2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38</xdr:row>
      <xdr:rowOff>47625</xdr:rowOff>
    </xdr:from>
    <xdr:to>
      <xdr:col>11</xdr:col>
      <xdr:colOff>66675</xdr:colOff>
      <xdr:row>57</xdr:row>
      <xdr:rowOff>76200</xdr:rowOff>
    </xdr:to>
    <xdr:graphicFrame macro="">
      <xdr:nvGraphicFramePr>
        <xdr:cNvPr id="978946" name="Chart 2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24</xdr:row>
      <xdr:rowOff>0</xdr:rowOff>
    </xdr:from>
    <xdr:to>
      <xdr:col>11</xdr:col>
      <xdr:colOff>9525</xdr:colOff>
      <xdr:row>37</xdr:row>
      <xdr:rowOff>0</xdr:rowOff>
    </xdr:to>
    <xdr:graphicFrame macro="">
      <xdr:nvGraphicFramePr>
        <xdr:cNvPr id="978947" name="Chart 2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57</xdr:row>
      <xdr:rowOff>142875</xdr:rowOff>
    </xdr:from>
    <xdr:to>
      <xdr:col>5</xdr:col>
      <xdr:colOff>38100</xdr:colOff>
      <xdr:row>77</xdr:row>
      <xdr:rowOff>28575</xdr:rowOff>
    </xdr:to>
    <xdr:graphicFrame macro="">
      <xdr:nvGraphicFramePr>
        <xdr:cNvPr id="978948" name="Chart 2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47625</xdr:colOff>
      <xdr:row>57</xdr:row>
      <xdr:rowOff>142875</xdr:rowOff>
    </xdr:from>
    <xdr:to>
      <xdr:col>11</xdr:col>
      <xdr:colOff>66675</xdr:colOff>
      <xdr:row>77</xdr:row>
      <xdr:rowOff>9525</xdr:rowOff>
    </xdr:to>
    <xdr:graphicFrame macro="">
      <xdr:nvGraphicFramePr>
        <xdr:cNvPr id="978949" name="Chart 2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43</xdr:row>
      <xdr:rowOff>0</xdr:rowOff>
    </xdr:from>
    <xdr:to>
      <xdr:col>13</xdr:col>
      <xdr:colOff>9525</xdr:colOff>
      <xdr:row>43</xdr:row>
      <xdr:rowOff>0</xdr:rowOff>
    </xdr:to>
    <xdr:graphicFrame macro="">
      <xdr:nvGraphicFramePr>
        <xdr:cNvPr id="98508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43</xdr:row>
      <xdr:rowOff>0</xdr:rowOff>
    </xdr:from>
    <xdr:to>
      <xdr:col>6</xdr:col>
      <xdr:colOff>9525</xdr:colOff>
      <xdr:row>43</xdr:row>
      <xdr:rowOff>0</xdr:rowOff>
    </xdr:to>
    <xdr:graphicFrame macro="">
      <xdr:nvGraphicFramePr>
        <xdr:cNvPr id="98509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11</xdr:row>
      <xdr:rowOff>47625</xdr:rowOff>
    </xdr:from>
    <xdr:to>
      <xdr:col>16</xdr:col>
      <xdr:colOff>9525</xdr:colOff>
      <xdr:row>30</xdr:row>
      <xdr:rowOff>0</xdr:rowOff>
    </xdr:to>
    <xdr:graphicFrame macro="">
      <xdr:nvGraphicFramePr>
        <xdr:cNvPr id="2"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30</xdr:row>
      <xdr:rowOff>57150</xdr:rowOff>
    </xdr:from>
    <xdr:to>
      <xdr:col>16</xdr:col>
      <xdr:colOff>19050</xdr:colOff>
      <xdr:row>49</xdr:row>
      <xdr:rowOff>0</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28574</xdr:colOff>
      <xdr:row>49</xdr:row>
      <xdr:rowOff>33337</xdr:rowOff>
    </xdr:from>
    <xdr:to>
      <xdr:col>16</xdr:col>
      <xdr:colOff>28574</xdr:colOff>
      <xdr:row>59</xdr:row>
      <xdr:rowOff>104775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32</xdr:col>
      <xdr:colOff>0</xdr:colOff>
      <xdr:row>0</xdr:row>
      <xdr:rowOff>0</xdr:rowOff>
    </xdr:from>
    <xdr:to>
      <xdr:col>32</xdr:col>
      <xdr:colOff>0</xdr:colOff>
      <xdr:row>21</xdr:row>
      <xdr:rowOff>0</xdr:rowOff>
    </xdr:to>
    <xdr:graphicFrame macro="">
      <xdr:nvGraphicFramePr>
        <xdr:cNvPr id="942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0</xdr:colOff>
      <xdr:row>22</xdr:row>
      <xdr:rowOff>0</xdr:rowOff>
    </xdr:from>
    <xdr:to>
      <xdr:col>32</xdr:col>
      <xdr:colOff>0</xdr:colOff>
      <xdr:row>44</xdr:row>
      <xdr:rowOff>47625</xdr:rowOff>
    </xdr:to>
    <xdr:graphicFrame macro="">
      <xdr:nvGraphicFramePr>
        <xdr:cNvPr id="94209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0</xdr:colOff>
      <xdr:row>46</xdr:row>
      <xdr:rowOff>9525</xdr:rowOff>
    </xdr:from>
    <xdr:to>
      <xdr:col>32</xdr:col>
      <xdr:colOff>0</xdr:colOff>
      <xdr:row>57</xdr:row>
      <xdr:rowOff>0</xdr:rowOff>
    </xdr:to>
    <xdr:graphicFrame macro="">
      <xdr:nvGraphicFramePr>
        <xdr:cNvPr id="94209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97</xdr:row>
      <xdr:rowOff>0</xdr:rowOff>
    </xdr:from>
    <xdr:to>
      <xdr:col>0</xdr:col>
      <xdr:colOff>9525</xdr:colOff>
      <xdr:row>97</xdr:row>
      <xdr:rowOff>9525</xdr:rowOff>
    </xdr:to>
    <xdr:pic>
      <xdr:nvPicPr>
        <xdr:cNvPr id="942095" name="Picture 7" descr="../images/spacer.gif"/>
        <xdr:cNvPicPr>
          <a:picLocks noChangeAspect="1" noChangeArrowheads="1"/>
        </xdr:cNvPicPr>
      </xdr:nvPicPr>
      <xdr:blipFill>
        <a:blip xmlns:r="http://schemas.openxmlformats.org/officeDocument/2006/relationships" r:link="rId4" cstate="print"/>
        <a:srcRect/>
        <a:stretch>
          <a:fillRect/>
        </a:stretch>
      </xdr:blipFill>
      <xdr:spPr bwMode="auto">
        <a:xfrm>
          <a:off x="0" y="14963775"/>
          <a:ext cx="9525" cy="9525"/>
        </a:xfrm>
        <a:prstGeom prst="rect">
          <a:avLst/>
        </a:prstGeom>
        <a:noFill/>
        <a:ln w="9525">
          <a:noFill/>
          <a:miter lim="800000"/>
          <a:headEnd/>
          <a:tailEnd/>
        </a:ln>
      </xdr:spPr>
    </xdr:pic>
    <xdr:clientData/>
  </xdr:twoCellAnchor>
  <xdr:twoCellAnchor>
    <xdr:from>
      <xdr:col>49</xdr:col>
      <xdr:colOff>0</xdr:colOff>
      <xdr:row>22</xdr:row>
      <xdr:rowOff>0</xdr:rowOff>
    </xdr:from>
    <xdr:to>
      <xdr:col>49</xdr:col>
      <xdr:colOff>0</xdr:colOff>
      <xdr:row>44</xdr:row>
      <xdr:rowOff>47625</xdr:rowOff>
    </xdr:to>
    <xdr:graphicFrame macro="">
      <xdr:nvGraphicFramePr>
        <xdr:cNvPr id="9420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49</xdr:col>
      <xdr:colOff>0</xdr:colOff>
      <xdr:row>46</xdr:row>
      <xdr:rowOff>9525</xdr:rowOff>
    </xdr:from>
    <xdr:to>
      <xdr:col>49</xdr:col>
      <xdr:colOff>0</xdr:colOff>
      <xdr:row>57</xdr:row>
      <xdr:rowOff>0</xdr:rowOff>
    </xdr:to>
    <xdr:graphicFrame macro="">
      <xdr:nvGraphicFramePr>
        <xdr:cNvPr id="942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49</xdr:col>
      <xdr:colOff>0</xdr:colOff>
      <xdr:row>22</xdr:row>
      <xdr:rowOff>0</xdr:rowOff>
    </xdr:from>
    <xdr:to>
      <xdr:col>49</xdr:col>
      <xdr:colOff>0</xdr:colOff>
      <xdr:row>44</xdr:row>
      <xdr:rowOff>47625</xdr:rowOff>
    </xdr:to>
    <xdr:graphicFrame macro="">
      <xdr:nvGraphicFramePr>
        <xdr:cNvPr id="94209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717511" cy="197205"/>
    <xdr:pic>
      <xdr:nvPicPr>
        <xdr:cNvPr id="4" name="image1.png" descr="image1.png"/>
        <xdr:cNvPicPr>
          <a:picLocks noChangeAspect="1"/>
        </xdr:cNvPicPr>
      </xdr:nvPicPr>
      <xdr:blipFill>
        <a:blip xmlns:r="http://schemas.openxmlformats.org/officeDocument/2006/relationships" r:embed="rId1"/>
        <a:stretch>
          <a:fillRect/>
        </a:stretch>
      </xdr:blipFill>
      <xdr:spPr>
        <a:xfrm>
          <a:off x="0" y="0"/>
          <a:ext cx="717511" cy="197205"/>
        </a:xfrm>
        <a:prstGeom prst="rect">
          <a:avLst/>
        </a:prstGeom>
      </xdr:spPr>
    </xdr:pic>
    <xdr:clientData/>
  </xdr:oneCellAnchor>
  <xdr:oneCellAnchor>
    <xdr:from>
      <xdr:col>0</xdr:col>
      <xdr:colOff>0</xdr:colOff>
      <xdr:row>0</xdr:row>
      <xdr:rowOff>0</xdr:rowOff>
    </xdr:from>
    <xdr:ext cx="714375" cy="196342"/>
    <xdr:pic>
      <xdr:nvPicPr>
        <xdr:cNvPr id="3" name="image1.png" descr="image1.png"/>
        <xdr:cNvPicPr>
          <a:picLocks noChangeAspect="1"/>
        </xdr:cNvPicPr>
      </xdr:nvPicPr>
      <xdr:blipFill>
        <a:blip xmlns:r="http://schemas.openxmlformats.org/officeDocument/2006/relationships" r:embed="rId1"/>
        <a:stretch>
          <a:fillRect/>
        </a:stretch>
      </xdr:blipFill>
      <xdr:spPr>
        <a:xfrm>
          <a:off x="0" y="0"/>
          <a:ext cx="714375" cy="196342"/>
        </a:xfrm>
        <a:prstGeom prst="rect">
          <a:avLst/>
        </a:prstGeom>
      </xdr:spPr>
    </xdr:pic>
    <xdr:clientData/>
  </xdr:oneCellAnchor>
  <xdr:oneCellAnchor>
    <xdr:from>
      <xdr:col>0</xdr:col>
      <xdr:colOff>0</xdr:colOff>
      <xdr:row>0</xdr:row>
      <xdr:rowOff>0</xdr:rowOff>
    </xdr:from>
    <xdr:ext cx="714375" cy="196342"/>
    <xdr:pic>
      <xdr:nvPicPr>
        <xdr:cNvPr id="5" name="image1.png" descr="image1.png"/>
        <xdr:cNvPicPr>
          <a:picLocks noChangeAspect="1"/>
        </xdr:cNvPicPr>
      </xdr:nvPicPr>
      <xdr:blipFill>
        <a:blip xmlns:r="http://schemas.openxmlformats.org/officeDocument/2006/relationships" r:embed="rId1"/>
        <a:stretch>
          <a:fillRect/>
        </a:stretch>
      </xdr:blipFill>
      <xdr:spPr>
        <a:xfrm>
          <a:off x="0" y="0"/>
          <a:ext cx="714375" cy="196342"/>
        </a:xfrm>
        <a:prstGeom prst="rect">
          <a:avLst/>
        </a:prstGeom>
      </xdr:spPr>
    </xdr:pic>
    <xdr:clientData/>
  </xdr:oneCellAnchor>
  <xdr:oneCellAnchor>
    <xdr:from>
      <xdr:col>0</xdr:col>
      <xdr:colOff>0</xdr:colOff>
      <xdr:row>0</xdr:row>
      <xdr:rowOff>0</xdr:rowOff>
    </xdr:from>
    <xdr:ext cx="714375" cy="196342"/>
    <xdr:pic>
      <xdr:nvPicPr>
        <xdr:cNvPr id="6" name="image1.png" descr="image1.png"/>
        <xdr:cNvPicPr>
          <a:picLocks noChangeAspect="1"/>
        </xdr:cNvPicPr>
      </xdr:nvPicPr>
      <xdr:blipFill>
        <a:blip xmlns:r="http://schemas.openxmlformats.org/officeDocument/2006/relationships" r:embed="rId1"/>
        <a:stretch>
          <a:fillRect/>
        </a:stretch>
      </xdr:blipFill>
      <xdr:spPr>
        <a:xfrm>
          <a:off x="0" y="0"/>
          <a:ext cx="714375" cy="196342"/>
        </a:xfrm>
        <a:prstGeom prst="rect">
          <a:avLst/>
        </a:prstGeom>
      </xdr:spPr>
    </xdr:pic>
    <xdr:clientData/>
  </xdr:oneCellAnchor>
  <xdr:oneCellAnchor>
    <xdr:from>
      <xdr:col>0</xdr:col>
      <xdr:colOff>0</xdr:colOff>
      <xdr:row>0</xdr:row>
      <xdr:rowOff>0</xdr:rowOff>
    </xdr:from>
    <xdr:ext cx="714375" cy="196342"/>
    <xdr:pic>
      <xdr:nvPicPr>
        <xdr:cNvPr id="7" name="image1.png" descr="image1.png"/>
        <xdr:cNvPicPr>
          <a:picLocks noChangeAspect="1"/>
        </xdr:cNvPicPr>
      </xdr:nvPicPr>
      <xdr:blipFill>
        <a:blip xmlns:r="http://schemas.openxmlformats.org/officeDocument/2006/relationships" r:embed="rId1"/>
        <a:stretch>
          <a:fillRect/>
        </a:stretch>
      </xdr:blipFill>
      <xdr:spPr>
        <a:xfrm>
          <a:off x="0" y="0"/>
          <a:ext cx="714375" cy="196342"/>
        </a:xfrm>
        <a:prstGeom prst="rect">
          <a:avLst/>
        </a:prstGeom>
      </xdr:spPr>
    </xdr:pic>
    <xdr:clientData/>
  </xdr:oneCellAnchor>
  <xdr:oneCellAnchor>
    <xdr:from>
      <xdr:col>0</xdr:col>
      <xdr:colOff>0</xdr:colOff>
      <xdr:row>0</xdr:row>
      <xdr:rowOff>0</xdr:rowOff>
    </xdr:from>
    <xdr:ext cx="714375" cy="196342"/>
    <xdr:pic>
      <xdr:nvPicPr>
        <xdr:cNvPr id="8" name="image1.png" descr="image1.png"/>
        <xdr:cNvPicPr>
          <a:picLocks noChangeAspect="1"/>
        </xdr:cNvPicPr>
      </xdr:nvPicPr>
      <xdr:blipFill>
        <a:blip xmlns:r="http://schemas.openxmlformats.org/officeDocument/2006/relationships" r:embed="rId1"/>
        <a:stretch>
          <a:fillRect/>
        </a:stretch>
      </xdr:blipFill>
      <xdr:spPr>
        <a:xfrm>
          <a:off x="0" y="0"/>
          <a:ext cx="714375" cy="196342"/>
        </a:xfrm>
        <a:prstGeom prst="rect">
          <a:avLst/>
        </a:prstGeom>
      </xdr:spPr>
    </xdr:pic>
    <xdr:clientData/>
  </xdr:oneCellAnchor>
  <xdr:oneCellAnchor>
    <xdr:from>
      <xdr:col>0</xdr:col>
      <xdr:colOff>0</xdr:colOff>
      <xdr:row>0</xdr:row>
      <xdr:rowOff>0</xdr:rowOff>
    </xdr:from>
    <xdr:ext cx="720686" cy="198081"/>
    <xdr:pic>
      <xdr:nvPicPr>
        <xdr:cNvPr id="11" name="image1.png" descr="image1.png"/>
        <xdr:cNvPicPr>
          <a:picLocks noChangeAspect="1"/>
        </xdr:cNvPicPr>
      </xdr:nvPicPr>
      <xdr:blipFill>
        <a:blip xmlns:r="http://schemas.openxmlformats.org/officeDocument/2006/relationships" r:embed="rId1"/>
        <a:stretch>
          <a:fillRect/>
        </a:stretch>
      </xdr:blipFill>
      <xdr:spPr>
        <a:xfrm>
          <a:off x="0" y="0"/>
          <a:ext cx="720686" cy="198081"/>
        </a:xfrm>
        <a:prstGeom prst="rect">
          <a:avLst/>
        </a:prstGeom>
      </xdr:spPr>
    </xdr:pic>
    <xdr:clientData/>
  </xdr:oneCellAnchor>
  <xdr:oneCellAnchor>
    <xdr:from>
      <xdr:col>0</xdr:col>
      <xdr:colOff>0</xdr:colOff>
      <xdr:row>0</xdr:row>
      <xdr:rowOff>0</xdr:rowOff>
    </xdr:from>
    <xdr:ext cx="720686" cy="198081"/>
    <xdr:pic>
      <xdr:nvPicPr>
        <xdr:cNvPr id="10" name="image1.png" descr="image1.png"/>
        <xdr:cNvPicPr>
          <a:picLocks noChangeAspect="1"/>
        </xdr:cNvPicPr>
      </xdr:nvPicPr>
      <xdr:blipFill>
        <a:blip xmlns:r="http://schemas.openxmlformats.org/officeDocument/2006/relationships" r:embed="rId1"/>
        <a:stretch>
          <a:fillRect/>
        </a:stretch>
      </xdr:blipFill>
      <xdr:spPr>
        <a:xfrm>
          <a:off x="0" y="0"/>
          <a:ext cx="720686" cy="19808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5</xdr:col>
      <xdr:colOff>0</xdr:colOff>
      <xdr:row>50</xdr:row>
      <xdr:rowOff>0</xdr:rowOff>
    </xdr:from>
    <xdr:to>
      <xdr:col>15</xdr:col>
      <xdr:colOff>495300</xdr:colOff>
      <xdr:row>70</xdr:row>
      <xdr:rowOff>28575</xdr:rowOff>
    </xdr:to>
    <xdr:graphicFrame macro="">
      <xdr:nvGraphicFramePr>
        <xdr:cNvPr id="9943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71</xdr:row>
      <xdr:rowOff>0</xdr:rowOff>
    </xdr:from>
    <xdr:to>
      <xdr:col>15</xdr:col>
      <xdr:colOff>504825</xdr:colOff>
      <xdr:row>91</xdr:row>
      <xdr:rowOff>28575</xdr:rowOff>
    </xdr:to>
    <xdr:graphicFrame macro="">
      <xdr:nvGraphicFramePr>
        <xdr:cNvPr id="9943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35</xdr:row>
      <xdr:rowOff>19050</xdr:rowOff>
    </xdr:from>
    <xdr:to>
      <xdr:col>4</xdr:col>
      <xdr:colOff>9525</xdr:colOff>
      <xdr:row>59</xdr:row>
      <xdr:rowOff>123825</xdr:rowOff>
    </xdr:to>
    <xdr:graphicFrame macro="">
      <xdr:nvGraphicFramePr>
        <xdr:cNvPr id="95232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56</xdr:row>
      <xdr:rowOff>152400</xdr:rowOff>
    </xdr:from>
    <xdr:to>
      <xdr:col>1</xdr:col>
      <xdr:colOff>723900</xdr:colOff>
      <xdr:row>59</xdr:row>
      <xdr:rowOff>114300</xdr:rowOff>
    </xdr:to>
    <xdr:sp macro="" textlink="">
      <xdr:nvSpPr>
        <xdr:cNvPr id="2" name="TextBox 1"/>
        <xdr:cNvSpPr txBox="1"/>
      </xdr:nvSpPr>
      <xdr:spPr>
        <a:xfrm>
          <a:off x="104775" y="10077450"/>
          <a:ext cx="28670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i="1"/>
            <a:t>Plan</a:t>
          </a:r>
          <a:r>
            <a:rPr lang="en-GB" sz="1000" i="1" baseline="0"/>
            <a:t> reflects the profile of the Trusts plan to deliver £15.6m Deficit</a:t>
          </a:r>
          <a:endParaRPr lang="en-GB" sz="1000" i="1"/>
        </a:p>
      </xdr:txBody>
    </xdr:sp>
    <xdr:clientData/>
  </xdr:twoCellAnchor>
  <xdr:twoCellAnchor>
    <xdr:from>
      <xdr:col>4</xdr:col>
      <xdr:colOff>28575</xdr:colOff>
      <xdr:row>35</xdr:row>
      <xdr:rowOff>28574</xdr:rowOff>
    </xdr:from>
    <xdr:to>
      <xdr:col>9</xdr:col>
      <xdr:colOff>0</xdr:colOff>
      <xdr:row>59</xdr:row>
      <xdr:rowOff>123824</xdr:rowOff>
    </xdr:to>
    <xdr:graphicFrame macro="">
      <xdr:nvGraphicFramePr>
        <xdr:cNvPr id="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1019175</xdr:colOff>
      <xdr:row>3</xdr:row>
      <xdr:rowOff>123825</xdr:rowOff>
    </xdr:from>
    <xdr:to>
      <xdr:col>42</xdr:col>
      <xdr:colOff>542925</xdr:colOff>
      <xdr:row>21</xdr:row>
      <xdr:rowOff>142875</xdr:rowOff>
    </xdr:to>
    <xdr:graphicFrame macro="">
      <xdr:nvGraphicFramePr>
        <xdr:cNvPr id="99737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523875</xdr:colOff>
      <xdr:row>0</xdr:row>
      <xdr:rowOff>0</xdr:rowOff>
    </xdr:from>
    <xdr:to>
      <xdr:col>28</xdr:col>
      <xdr:colOff>466725</xdr:colOff>
      <xdr:row>0</xdr:row>
      <xdr:rowOff>0</xdr:rowOff>
    </xdr:to>
    <xdr:graphicFrame macro="">
      <xdr:nvGraphicFramePr>
        <xdr:cNvPr id="9994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276225</xdr:colOff>
      <xdr:row>0</xdr:row>
      <xdr:rowOff>0</xdr:rowOff>
    </xdr:from>
    <xdr:to>
      <xdr:col>19</xdr:col>
      <xdr:colOff>219075</xdr:colOff>
      <xdr:row>0</xdr:row>
      <xdr:rowOff>0</xdr:rowOff>
    </xdr:to>
    <xdr:graphicFrame macro="">
      <xdr:nvGraphicFramePr>
        <xdr:cNvPr id="99942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466725</xdr:colOff>
      <xdr:row>1</xdr:row>
      <xdr:rowOff>38100</xdr:rowOff>
    </xdr:from>
    <xdr:to>
      <xdr:col>14</xdr:col>
      <xdr:colOff>38100</xdr:colOff>
      <xdr:row>21</xdr:row>
      <xdr:rowOff>123825</xdr:rowOff>
    </xdr:to>
    <xdr:graphicFrame macro="">
      <xdr:nvGraphicFramePr>
        <xdr:cNvPr id="10055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866775</xdr:colOff>
      <xdr:row>22</xdr:row>
      <xdr:rowOff>0</xdr:rowOff>
    </xdr:from>
    <xdr:to>
      <xdr:col>14</xdr:col>
      <xdr:colOff>542925</xdr:colOff>
      <xdr:row>42</xdr:row>
      <xdr:rowOff>85725</xdr:rowOff>
    </xdr:to>
    <xdr:graphicFrame macro="">
      <xdr:nvGraphicFramePr>
        <xdr:cNvPr id="10055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38100</xdr:colOff>
      <xdr:row>11</xdr:row>
      <xdr:rowOff>85725</xdr:rowOff>
    </xdr:from>
    <xdr:to>
      <xdr:col>24</xdr:col>
      <xdr:colOff>466725</xdr:colOff>
      <xdr:row>32</xdr:row>
      <xdr:rowOff>9525</xdr:rowOff>
    </xdr:to>
    <xdr:graphicFrame macro="">
      <xdr:nvGraphicFramePr>
        <xdr:cNvPr id="10055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828675</xdr:colOff>
      <xdr:row>40</xdr:row>
      <xdr:rowOff>85725</xdr:rowOff>
    </xdr:from>
    <xdr:to>
      <xdr:col>14</xdr:col>
      <xdr:colOff>504825</xdr:colOff>
      <xdr:row>61</xdr:row>
      <xdr:rowOff>9525</xdr:rowOff>
    </xdr:to>
    <xdr:graphicFrame macro="">
      <xdr:nvGraphicFramePr>
        <xdr:cNvPr id="10055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43</xdr:row>
      <xdr:rowOff>0</xdr:rowOff>
    </xdr:from>
    <xdr:to>
      <xdr:col>13</xdr:col>
      <xdr:colOff>9525</xdr:colOff>
      <xdr:row>43</xdr:row>
      <xdr:rowOff>0</xdr:rowOff>
    </xdr:to>
    <xdr:graphicFrame macro="">
      <xdr:nvGraphicFramePr>
        <xdr:cNvPr id="94617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43</xdr:row>
      <xdr:rowOff>0</xdr:rowOff>
    </xdr:from>
    <xdr:to>
      <xdr:col>6</xdr:col>
      <xdr:colOff>9525</xdr:colOff>
      <xdr:row>43</xdr:row>
      <xdr:rowOff>0</xdr:rowOff>
    </xdr:to>
    <xdr:graphicFrame macro="">
      <xdr:nvGraphicFramePr>
        <xdr:cNvPr id="94617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43</xdr:row>
      <xdr:rowOff>0</xdr:rowOff>
    </xdr:from>
    <xdr:to>
      <xdr:col>13</xdr:col>
      <xdr:colOff>9525</xdr:colOff>
      <xdr:row>43</xdr:row>
      <xdr:rowOff>0</xdr:rowOff>
    </xdr:to>
    <xdr:graphicFrame macro="">
      <xdr:nvGraphicFramePr>
        <xdr:cNvPr id="94924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43</xdr:row>
      <xdr:rowOff>0</xdr:rowOff>
    </xdr:from>
    <xdr:to>
      <xdr:col>6</xdr:col>
      <xdr:colOff>9525</xdr:colOff>
      <xdr:row>43</xdr:row>
      <xdr:rowOff>0</xdr:rowOff>
    </xdr:to>
    <xdr:graphicFrame macro="">
      <xdr:nvGraphicFramePr>
        <xdr:cNvPr id="94925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xdr:row>
      <xdr:rowOff>0</xdr:rowOff>
    </xdr:from>
    <xdr:to>
      <xdr:col>4</xdr:col>
      <xdr:colOff>0</xdr:colOff>
      <xdr:row>62</xdr:row>
      <xdr:rowOff>152400</xdr:rowOff>
    </xdr:to>
    <xdr:graphicFrame macro="">
      <xdr:nvGraphicFramePr>
        <xdr:cNvPr id="9441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47</xdr:row>
      <xdr:rowOff>0</xdr:rowOff>
    </xdr:from>
    <xdr:to>
      <xdr:col>9</xdr:col>
      <xdr:colOff>47625</xdr:colOff>
      <xdr:row>62</xdr:row>
      <xdr:rowOff>142875</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40</xdr:row>
      <xdr:rowOff>9525</xdr:rowOff>
    </xdr:from>
    <xdr:to>
      <xdr:col>4</xdr:col>
      <xdr:colOff>9525</xdr:colOff>
      <xdr:row>65</xdr:row>
      <xdr:rowOff>85725</xdr:rowOff>
    </xdr:to>
    <xdr:graphicFrame macro="">
      <xdr:nvGraphicFramePr>
        <xdr:cNvPr id="95744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133349</xdr:colOff>
      <xdr:row>39</xdr:row>
      <xdr:rowOff>59530</xdr:rowOff>
    </xdr:from>
    <xdr:to>
      <xdr:col>8</xdr:col>
      <xdr:colOff>1143001</xdr:colOff>
      <xdr:row>66</xdr:row>
      <xdr:rowOff>11906</xdr:rowOff>
    </xdr:to>
    <xdr:graphicFrame macro="">
      <xdr:nvGraphicFramePr>
        <xdr:cNvPr id="95744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224117</xdr:colOff>
      <xdr:row>57</xdr:row>
      <xdr:rowOff>168088</xdr:rowOff>
    </xdr:from>
    <xdr:to>
      <xdr:col>18</xdr:col>
      <xdr:colOff>705970</xdr:colOff>
      <xdr:row>65</xdr:row>
      <xdr:rowOff>235310</xdr:rowOff>
    </xdr:to>
    <xdr:sp macro="" textlink="">
      <xdr:nvSpPr>
        <xdr:cNvPr id="2" name="TextBox 1"/>
        <xdr:cNvSpPr txBox="1"/>
      </xdr:nvSpPr>
      <xdr:spPr>
        <a:xfrm>
          <a:off x="16026092" y="10055038"/>
          <a:ext cx="2977403" cy="1591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GB" sz="1100" b="0" i="0" u="none" strike="noStrike" baseline="0">
              <a:solidFill>
                <a:srgbClr val="000000"/>
              </a:solidFill>
              <a:latin typeface="Calibri"/>
            </a:rPr>
            <a:t>This tables represents the  Trusts assessment of the performance against the Commissioned Plans for the 11 months to 28th February  2014 for Sussex CCGs and NHS England.</a:t>
          </a:r>
        </a:p>
        <a:p>
          <a:pPr algn="l" rtl="0">
            <a:lnSpc>
              <a:spcPts val="1200"/>
            </a:lnSpc>
            <a:defRPr sz="1000"/>
          </a:pPr>
          <a:r>
            <a:rPr lang="en-GB" sz="1100" b="0" i="0" u="none" strike="noStrike" baseline="0">
              <a:solidFill>
                <a:srgbClr val="000000"/>
              </a:solidFill>
              <a:latin typeface="Calibri"/>
            </a:rPr>
            <a:t>Adjustments are made for Non-Elective Marginal Rates, Readmissions , Data Challenges and Risk Sharing Arrangements</a:t>
          </a:r>
        </a:p>
        <a:p>
          <a:pPr algn="l" rtl="0">
            <a:defRPr sz="1000"/>
          </a:pPr>
          <a:endParaRPr lang="en-GB" sz="1100" b="0" i="0" u="none" strike="noStrike" baseline="0">
            <a:solidFill>
              <a:srgbClr val="000000"/>
            </a:solidFill>
            <a:latin typeface="Calibri"/>
          </a:endParaRPr>
        </a:p>
        <a:p>
          <a:pPr algn="l" rtl="0">
            <a:defRPr sz="1000"/>
          </a:pPr>
          <a:endParaRPr lang="en-GB" sz="1100" b="0" i="0" u="none" strike="noStrike" baseline="0">
            <a:solidFill>
              <a:srgbClr val="000000"/>
            </a:solidFill>
            <a:latin typeface="Calibri"/>
          </a:endParaRPr>
        </a:p>
        <a:p>
          <a:pPr algn="l" rtl="0">
            <a:lnSpc>
              <a:spcPts val="1100"/>
            </a:lnSpc>
            <a:defRPr sz="1000"/>
          </a:pPr>
          <a:endParaRPr lang="en-GB" sz="1100" b="0" i="0" u="none" strike="noStrike" baseline="0">
            <a:solidFill>
              <a:srgbClr val="000000"/>
            </a:solidFill>
            <a:latin typeface="Calibri"/>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224117</xdr:colOff>
      <xdr:row>65</xdr:row>
      <xdr:rowOff>168088</xdr:rowOff>
    </xdr:from>
    <xdr:to>
      <xdr:col>18</xdr:col>
      <xdr:colOff>705970</xdr:colOff>
      <xdr:row>73</xdr:row>
      <xdr:rowOff>235310</xdr:rowOff>
    </xdr:to>
    <xdr:sp macro="" textlink="">
      <xdr:nvSpPr>
        <xdr:cNvPr id="2" name="TextBox 1"/>
        <xdr:cNvSpPr txBox="1"/>
      </xdr:nvSpPr>
      <xdr:spPr>
        <a:xfrm>
          <a:off x="16485197" y="11735248"/>
          <a:ext cx="3042173" cy="1591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GB" sz="1100" b="0" i="0" u="none" strike="noStrike" baseline="0">
              <a:solidFill>
                <a:srgbClr val="000000"/>
              </a:solidFill>
              <a:latin typeface="Calibri"/>
            </a:rPr>
            <a:t>This tables represents the  Trusts assessment of the performance against the Commissioned Plans for the 11 months to 28th February  2014 for Sussex CCGs and NHS England.</a:t>
          </a:r>
        </a:p>
        <a:p>
          <a:pPr algn="l" rtl="0">
            <a:lnSpc>
              <a:spcPts val="1200"/>
            </a:lnSpc>
            <a:defRPr sz="1000"/>
          </a:pPr>
          <a:r>
            <a:rPr lang="en-GB" sz="1100" b="0" i="0" u="none" strike="noStrike" baseline="0">
              <a:solidFill>
                <a:srgbClr val="000000"/>
              </a:solidFill>
              <a:latin typeface="Calibri"/>
            </a:rPr>
            <a:t>Adjustments are made for Non-Elective Marginal Rates, Readmissions , Data Challenges and Risk Sharing Arrangements</a:t>
          </a:r>
        </a:p>
        <a:p>
          <a:pPr algn="l" rtl="0">
            <a:defRPr sz="1000"/>
          </a:pPr>
          <a:endParaRPr lang="en-GB" sz="1100" b="0" i="0" u="none" strike="noStrike" baseline="0">
            <a:solidFill>
              <a:srgbClr val="000000"/>
            </a:solidFill>
            <a:latin typeface="Calibri"/>
          </a:endParaRPr>
        </a:p>
        <a:p>
          <a:pPr algn="l" rtl="0">
            <a:defRPr sz="1000"/>
          </a:pPr>
          <a:endParaRPr lang="en-GB" sz="1100" b="0" i="0" u="none" strike="noStrike" baseline="0">
            <a:solidFill>
              <a:srgbClr val="000000"/>
            </a:solidFill>
            <a:latin typeface="Calibri"/>
          </a:endParaRPr>
        </a:p>
        <a:p>
          <a:pPr algn="l" rtl="0">
            <a:lnSpc>
              <a:spcPts val="1100"/>
            </a:lnSpc>
            <a:defRPr sz="1000"/>
          </a:pPr>
          <a:endParaRPr lang="en-GB" sz="1100" b="0" i="0" u="none" strike="noStrike" baseline="0">
            <a:solidFill>
              <a:srgbClr val="000000"/>
            </a:solidFill>
            <a:latin typeface="Calibri"/>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67</xdr:row>
      <xdr:rowOff>95249</xdr:rowOff>
    </xdr:from>
    <xdr:to>
      <xdr:col>4</xdr:col>
      <xdr:colOff>857250</xdr:colOff>
      <xdr:row>92</xdr:row>
      <xdr:rowOff>71436</xdr:rowOff>
    </xdr:to>
    <xdr:graphicFrame macro="">
      <xdr:nvGraphicFramePr>
        <xdr:cNvPr id="961537" name="Chart 10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9524</xdr:colOff>
      <xdr:row>67</xdr:row>
      <xdr:rowOff>95249</xdr:rowOff>
    </xdr:from>
    <xdr:to>
      <xdr:col>10</xdr:col>
      <xdr:colOff>66674</xdr:colOff>
      <xdr:row>92</xdr:row>
      <xdr:rowOff>107156</xdr:rowOff>
    </xdr:to>
    <xdr:graphicFrame macro="">
      <xdr:nvGraphicFramePr>
        <xdr:cNvPr id="961538"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4</xdr:col>
      <xdr:colOff>847725</xdr:colOff>
      <xdr:row>66</xdr:row>
      <xdr:rowOff>104775</xdr:rowOff>
    </xdr:to>
    <xdr:graphicFrame macro="">
      <xdr:nvGraphicFramePr>
        <xdr:cNvPr id="961539" name="Chart 10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48</xdr:row>
      <xdr:rowOff>0</xdr:rowOff>
    </xdr:from>
    <xdr:to>
      <xdr:col>10</xdr:col>
      <xdr:colOff>47625</xdr:colOff>
      <xdr:row>66</xdr:row>
      <xdr:rowOff>85725</xdr:rowOff>
    </xdr:to>
    <xdr:graphicFrame macro="">
      <xdr:nvGraphicFramePr>
        <xdr:cNvPr id="961540" name="Chart 10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rfs001\group%20on%20bgh6001\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FT2\REV99\EXPO\CONTENTS\SECTION5.XLS\SECTION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2ksvr059\finance$\Finman\Data\FINCHAPT\2009_10%20Reports\Month%2003%202009%2010\Consolidated\Agency%20invoiced%20log%20M_03_20091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man\Data\FINCHAPT\2012_13%20Reports\SHA\Month%2012\Workings\RXH%20Key%20Data%20M11%20ad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Share\Board%20Report\2016-17\Month%201\Board%20Report%20Month%201%202016-17%20Checking%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2"/>
      <sheetName val="Table 5.3 &amp; 5.4"/>
      <sheetName val="Table 5.5"/>
      <sheetName val="Table 5.6"/>
      <sheetName val="Table 5.7"/>
      <sheetName val="Table 5.8"/>
      <sheetName val="Table 5.9"/>
      <sheetName val="Table 5.10"/>
      <sheetName val="Table 5.11"/>
      <sheetName val="Table 5.12"/>
      <sheetName val="Table 5.13"/>
      <sheetName val="Table 5.14"/>
      <sheetName val="Table 5.15"/>
      <sheetName val="Table 5.16"/>
      <sheetName val="Table 5.17"/>
      <sheetName val="Table 5.18"/>
      <sheetName val="Table 5.19"/>
      <sheetName val="Table 5.20"/>
      <sheetName val="Table 5.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4)"/>
      <sheetName val="Appendix 2G"/>
      <sheetName val="Sheet1 (3)"/>
      <sheetName val="Sheet1 (2)"/>
      <sheetName val="Sheet1"/>
      <sheetName val="summary"/>
      <sheetName val="data"/>
      <sheetName val="Hourly rates"/>
      <sheetName val="Grade"/>
      <sheetName val="JG_Data"/>
      <sheetName val="Cost Centres"/>
      <sheetName val="formula"/>
      <sheetName val="CC_ChartOf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Grade</v>
          </cell>
          <cell r="B1" t="str">
            <v>Weekly/Monthly</v>
          </cell>
          <cell r="C1" t="str">
            <v>AccCode</v>
          </cell>
        </row>
        <row r="2">
          <cell r="A2" t="str">
            <v>2 Gen (All)</v>
          </cell>
          <cell r="B2" t="str">
            <v>Monthly</v>
          </cell>
          <cell r="C2" t="str">
            <v>005818</v>
          </cell>
        </row>
        <row r="3">
          <cell r="A3" t="str">
            <v>2 General (Adva</v>
          </cell>
          <cell r="B3" t="str">
            <v>Monthly</v>
          </cell>
          <cell r="C3" t="str">
            <v>005818</v>
          </cell>
        </row>
        <row r="4">
          <cell r="A4" t="str">
            <v>5 Gen (All)</v>
          </cell>
          <cell r="B4" t="str">
            <v>Monthly</v>
          </cell>
          <cell r="C4" t="str">
            <v>005815</v>
          </cell>
        </row>
        <row r="5">
          <cell r="A5" t="str">
            <v>5 General (Adva</v>
          </cell>
          <cell r="B5" t="str">
            <v>Monthly</v>
          </cell>
          <cell r="C5" t="str">
            <v>005815</v>
          </cell>
        </row>
        <row r="6">
          <cell r="A6" t="str">
            <v>5 Mental (Advan</v>
          </cell>
          <cell r="B6" t="str">
            <v/>
          </cell>
          <cell r="C6" t="str">
            <v/>
          </cell>
        </row>
        <row r="7">
          <cell r="A7" t="str">
            <v>6 Mental (Advan</v>
          </cell>
          <cell r="B7" t="str">
            <v>Monthly</v>
          </cell>
          <cell r="C7" t="str">
            <v>005814</v>
          </cell>
        </row>
        <row r="8">
          <cell r="A8" t="str">
            <v>A (Ch)</v>
          </cell>
          <cell r="B8" t="str">
            <v>Monthly</v>
          </cell>
          <cell r="C8" t="str">
            <v>005818</v>
          </cell>
        </row>
        <row r="9">
          <cell r="A9" t="str">
            <v>A (MD)</v>
          </cell>
          <cell r="B9" t="str">
            <v>Monthly</v>
          </cell>
          <cell r="C9" t="str">
            <v>005818</v>
          </cell>
        </row>
        <row r="10">
          <cell r="A10" t="str">
            <v>A /2 General (B</v>
          </cell>
          <cell r="B10" t="str">
            <v>Monthly</v>
          </cell>
          <cell r="C10" t="str">
            <v>005818</v>
          </cell>
        </row>
        <row r="11">
          <cell r="A11" t="str">
            <v>A /2 General (M</v>
          </cell>
          <cell r="B11" t="str">
            <v>Monthly</v>
          </cell>
          <cell r="C11" t="str">
            <v>005818</v>
          </cell>
        </row>
        <row r="12">
          <cell r="A12" t="str">
            <v>A NP06</v>
          </cell>
          <cell r="B12" t="str">
            <v>Weekly</v>
          </cell>
          <cell r="C12" t="str">
            <v/>
          </cell>
        </row>
        <row r="13">
          <cell r="A13" t="str">
            <v>A/2 (PS)</v>
          </cell>
          <cell r="B13" t="str">
            <v>Monthly</v>
          </cell>
          <cell r="C13" t="str">
            <v>005818</v>
          </cell>
        </row>
        <row r="14">
          <cell r="A14" t="str">
            <v>B NP16</v>
          </cell>
          <cell r="B14" t="str">
            <v>Weekly</v>
          </cell>
          <cell r="C14" t="str">
            <v/>
          </cell>
        </row>
        <row r="15">
          <cell r="A15" t="str">
            <v>Band 5 (DN)</v>
          </cell>
          <cell r="B15" t="str">
            <v>Monthly</v>
          </cell>
          <cell r="C15" t="str">
            <v>005815</v>
          </cell>
        </row>
        <row r="16">
          <cell r="A16" t="str">
            <v>C NP21</v>
          </cell>
          <cell r="B16" t="str">
            <v>Weekly</v>
          </cell>
          <cell r="C16" t="str">
            <v/>
          </cell>
        </row>
        <row r="17">
          <cell r="A17" t="str">
            <v>CC Ass't NXA3</v>
          </cell>
          <cell r="B17" t="str">
            <v>Monthly</v>
          </cell>
          <cell r="C17" t="str">
            <v>005264</v>
          </cell>
        </row>
        <row r="18">
          <cell r="A18" t="str">
            <v>D (Amb)</v>
          </cell>
          <cell r="B18" t="str">
            <v>Monthly</v>
          </cell>
          <cell r="C18" t="str">
            <v>005815</v>
          </cell>
        </row>
        <row r="19">
          <cell r="A19" t="str">
            <v>D (Ch)</v>
          </cell>
          <cell r="B19" t="str">
            <v>Monthly</v>
          </cell>
          <cell r="C19" t="str">
            <v>005815</v>
          </cell>
        </row>
        <row r="20">
          <cell r="A20" t="str">
            <v>D (MD)</v>
          </cell>
          <cell r="B20" t="str">
            <v>Monthly</v>
          </cell>
          <cell r="C20" t="str">
            <v>005815</v>
          </cell>
        </row>
        <row r="21">
          <cell r="A21" t="str">
            <v>D / 5 General (</v>
          </cell>
          <cell r="B21" t="str">
            <v>Monthly</v>
          </cell>
          <cell r="C21" t="str">
            <v>005815</v>
          </cell>
        </row>
        <row r="22">
          <cell r="A22" t="str">
            <v>D E/N NP26</v>
          </cell>
          <cell r="B22" t="str">
            <v>Weekly</v>
          </cell>
          <cell r="C22" t="str">
            <v/>
          </cell>
        </row>
        <row r="23">
          <cell r="A23" t="str">
            <v>D General (Orio</v>
          </cell>
          <cell r="B23" t="str">
            <v>Monthly</v>
          </cell>
          <cell r="C23" t="str">
            <v>005815</v>
          </cell>
        </row>
        <row r="24">
          <cell r="A24" t="str">
            <v>D Midwife (Amb)</v>
          </cell>
          <cell r="B24" t="str">
            <v/>
          </cell>
          <cell r="C24" t="str">
            <v>005815</v>
          </cell>
        </row>
        <row r="25">
          <cell r="A25" t="str">
            <v>D RGN NP31</v>
          </cell>
          <cell r="B25" t="str">
            <v>Weekly</v>
          </cell>
          <cell r="C25" t="str">
            <v/>
          </cell>
        </row>
        <row r="26">
          <cell r="A26" t="str">
            <v>D Spec (Amb)</v>
          </cell>
          <cell r="B26" t="str">
            <v>Monthly</v>
          </cell>
          <cell r="C26" t="str">
            <v>005815</v>
          </cell>
        </row>
        <row r="27">
          <cell r="A27" t="str">
            <v>D/5 (PS)</v>
          </cell>
          <cell r="B27" t="str">
            <v>Monthly</v>
          </cell>
          <cell r="C27" t="str">
            <v>005815</v>
          </cell>
        </row>
        <row r="28">
          <cell r="A28" t="str">
            <v>D/5 Critical (B</v>
          </cell>
          <cell r="B28" t="str">
            <v>Monthly</v>
          </cell>
          <cell r="C28" t="str">
            <v>005815</v>
          </cell>
        </row>
        <row r="29">
          <cell r="A29" t="str">
            <v>D/5 Mental (Med</v>
          </cell>
          <cell r="B29" t="str">
            <v>Monthly</v>
          </cell>
          <cell r="C29" t="str">
            <v>005815</v>
          </cell>
        </row>
        <row r="30">
          <cell r="A30" t="str">
            <v>E NP36</v>
          </cell>
          <cell r="B30" t="str">
            <v>Weekly</v>
          </cell>
          <cell r="C30" t="str">
            <v/>
          </cell>
        </row>
        <row r="31">
          <cell r="A31" t="str">
            <v>F NP41</v>
          </cell>
          <cell r="B31" t="str">
            <v>Weekly</v>
          </cell>
          <cell r="C31" t="str">
            <v/>
          </cell>
        </row>
        <row r="32">
          <cell r="A32" t="str">
            <v>G Disc NP48</v>
          </cell>
          <cell r="B32" t="str">
            <v>Weekly</v>
          </cell>
          <cell r="C32" t="str">
            <v/>
          </cell>
        </row>
        <row r="33">
          <cell r="A33" t="str">
            <v>G NP46</v>
          </cell>
          <cell r="B33" t="str">
            <v>Weekly</v>
          </cell>
          <cell r="C33" t="str">
            <v/>
          </cell>
        </row>
        <row r="34">
          <cell r="A34" t="str">
            <v>H (MM) NP61</v>
          </cell>
          <cell r="B34" t="str">
            <v>Weekly</v>
          </cell>
          <cell r="C34" t="str">
            <v/>
          </cell>
        </row>
        <row r="35">
          <cell r="A35" t="str">
            <v>H NP51</v>
          </cell>
          <cell r="B35" t="str">
            <v>Weekly</v>
          </cell>
          <cell r="C35" t="str">
            <v/>
          </cell>
        </row>
        <row r="36">
          <cell r="A36" t="str">
            <v>HC Sub 1 NCA1</v>
          </cell>
          <cell r="B36" t="str">
            <v>Monthly</v>
          </cell>
          <cell r="C36" t="str">
            <v>005264</v>
          </cell>
        </row>
        <row r="37">
          <cell r="A37" t="str">
            <v>HC Sub 2 NCA2</v>
          </cell>
          <cell r="B37" t="str">
            <v>Monthly</v>
          </cell>
          <cell r="C37" t="str">
            <v>005264</v>
          </cell>
        </row>
        <row r="38">
          <cell r="A38" t="str">
            <v>HC Sub 2NCA2</v>
          </cell>
          <cell r="B38" t="str">
            <v>Monthly</v>
          </cell>
          <cell r="C38" t="str">
            <v>005264</v>
          </cell>
        </row>
        <row r="39">
          <cell r="A39" t="str">
            <v>HC Sub 3 NCA3</v>
          </cell>
          <cell r="B39" t="str">
            <v>Monthly</v>
          </cell>
          <cell r="C39" t="str">
            <v>005264</v>
          </cell>
        </row>
        <row r="40">
          <cell r="A40" t="str">
            <v>Midwifery NP39</v>
          </cell>
          <cell r="B40" t="str">
            <v>Weekly</v>
          </cell>
          <cell r="C40" t="str">
            <v/>
          </cell>
        </row>
        <row r="41">
          <cell r="A41" t="str">
            <v>NIB2</v>
          </cell>
          <cell r="B41" t="str">
            <v>Monthly</v>
          </cell>
          <cell r="C41" t="str">
            <v>005230</v>
          </cell>
        </row>
        <row r="42">
          <cell r="A42" t="str">
            <v>NIB3</v>
          </cell>
          <cell r="B42" t="str">
            <v>Monthly</v>
          </cell>
          <cell r="C42" t="str">
            <v>005230</v>
          </cell>
        </row>
        <row r="43">
          <cell r="A43" t="str">
            <v>NIS1</v>
          </cell>
          <cell r="B43" t="str">
            <v>Monthly</v>
          </cell>
          <cell r="C43" t="str">
            <v>005230</v>
          </cell>
        </row>
        <row r="44">
          <cell r="A44" t="str">
            <v>NIS2</v>
          </cell>
          <cell r="B44" t="str">
            <v>Monthly</v>
          </cell>
          <cell r="C44" t="str">
            <v>005230</v>
          </cell>
        </row>
        <row r="45">
          <cell r="A45" t="str">
            <v>NIS3</v>
          </cell>
          <cell r="B45" t="str">
            <v>Monthly</v>
          </cell>
          <cell r="C45" t="str">
            <v>005230</v>
          </cell>
        </row>
        <row r="46">
          <cell r="A46" t="str">
            <v>NNA1 N Nse.</v>
          </cell>
          <cell r="B46" t="str">
            <v>Monthly</v>
          </cell>
          <cell r="C46" t="str">
            <v>005264</v>
          </cell>
        </row>
        <row r="47">
          <cell r="A47" t="str">
            <v>NQA1 Qual.</v>
          </cell>
          <cell r="B47" t="str">
            <v>Monthly</v>
          </cell>
          <cell r="C47" t="str">
            <v>005264</v>
          </cell>
        </row>
        <row r="48">
          <cell r="A48" t="str">
            <v>NQA2 Spec.</v>
          </cell>
          <cell r="B48" t="str">
            <v>Monthly</v>
          </cell>
          <cell r="C48" t="str">
            <v>005264</v>
          </cell>
        </row>
        <row r="49">
          <cell r="A49" t="str">
            <v>NQA3 H. Spec.</v>
          </cell>
          <cell r="B49" t="str">
            <v>Monthly</v>
          </cell>
          <cell r="C49" t="str">
            <v>005264</v>
          </cell>
        </row>
        <row r="50">
          <cell r="A50" t="str">
            <v>NQB1</v>
          </cell>
          <cell r="B50" t="str">
            <v>Monthly</v>
          </cell>
          <cell r="C50" t="str">
            <v>005230</v>
          </cell>
        </row>
        <row r="51">
          <cell r="A51" t="str">
            <v>NQB2</v>
          </cell>
          <cell r="B51" t="str">
            <v>Monthly</v>
          </cell>
          <cell r="C51" t="str">
            <v>005230</v>
          </cell>
        </row>
        <row r="52">
          <cell r="A52" t="str">
            <v>NQS1</v>
          </cell>
          <cell r="B52" t="str">
            <v>Monthly</v>
          </cell>
          <cell r="C52" t="str">
            <v>005230</v>
          </cell>
        </row>
        <row r="53">
          <cell r="A53" t="str">
            <v>NQS2</v>
          </cell>
          <cell r="B53" t="str">
            <v>Monthly</v>
          </cell>
          <cell r="C53" t="str">
            <v>005230</v>
          </cell>
        </row>
        <row r="54">
          <cell r="A54" t="str">
            <v>NUB1 Unq.</v>
          </cell>
          <cell r="B54" t="str">
            <v>Monthly</v>
          </cell>
          <cell r="C54" t="str">
            <v>005230</v>
          </cell>
        </row>
        <row r="55">
          <cell r="A55" t="str">
            <v>Stf NN NM21</v>
          </cell>
          <cell r="B55" t="str">
            <v>Weekly</v>
          </cell>
          <cell r="C55" t="str">
            <v/>
          </cell>
        </row>
        <row r="56">
          <cell r="A56" t="str">
            <v>Band 2 (DN)</v>
          </cell>
          <cell r="C56" t="str">
            <v>005818</v>
          </cell>
        </row>
        <row r="57">
          <cell r="A57" t="str">
            <v>A (Amb)</v>
          </cell>
          <cell r="C57" t="str">
            <v>005818</v>
          </cell>
        </row>
      </sheetData>
      <sheetData sheetId="9" refreshError="1">
        <row r="1">
          <cell r="E1" t="str">
            <v>Refresh JG Data here for M03</v>
          </cell>
          <cell r="K1" t="str">
            <v>Accrual</v>
          </cell>
          <cell r="L1">
            <v>734766.03999999608</v>
          </cell>
        </row>
        <row r="2">
          <cell r="D2" t="str">
            <v>Booking Ref</v>
          </cell>
          <cell r="E2" t="str">
            <v>Name</v>
          </cell>
          <cell r="F2" t="str">
            <v>Grade</v>
          </cell>
          <cell r="G2" t="str">
            <v>Invs No</v>
          </cell>
          <cell r="H2" t="str">
            <v>Agency Name</v>
          </cell>
          <cell r="I2" t="str">
            <v>From</v>
          </cell>
          <cell r="J2" t="str">
            <v>To</v>
          </cell>
          <cell r="K2" t="str">
            <v>Hours</v>
          </cell>
          <cell r="L2" t="str">
            <v>Accrual Amt</v>
          </cell>
          <cell r="M2" t="str">
            <v>Invs cost</v>
          </cell>
          <cell r="N2" t="str">
            <v>Blank</v>
          </cell>
          <cell r="O2" t="str">
            <v>YN</v>
          </cell>
          <cell r="P2" t="str">
            <v>YN2</v>
          </cell>
          <cell r="Q2" t="str">
            <v>Reason</v>
          </cell>
          <cell r="R2" t="str">
            <v>blank2</v>
          </cell>
          <cell r="S2" t="str">
            <v>?</v>
          </cell>
          <cell r="T2" t="str">
            <v>blank3</v>
          </cell>
        </row>
        <row r="3">
          <cell r="D3">
            <v>808004717</v>
          </cell>
          <cell r="E3" t="str">
            <v>ATINUKE OKE-OLATUNDE</v>
          </cell>
          <cell r="F3" t="str">
            <v>D (MD)</v>
          </cell>
          <cell r="G3">
            <v>330426</v>
          </cell>
          <cell r="H3" t="str">
            <v>Mayday</v>
          </cell>
          <cell r="I3">
            <v>0.84375</v>
          </cell>
          <cell r="J3">
            <v>0.3125</v>
          </cell>
          <cell r="K3">
            <v>10.25</v>
          </cell>
          <cell r="L3">
            <v>430.26</v>
          </cell>
          <cell r="O3" t="str">
            <v>Y</v>
          </cell>
          <cell r="P3" t="str">
            <v>N</v>
          </cell>
          <cell r="Q3" t="str">
            <v>Vacancy</v>
          </cell>
          <cell r="S3">
            <v>0.27</v>
          </cell>
        </row>
        <row r="4">
          <cell r="D4">
            <v>708002189</v>
          </cell>
          <cell r="E4" t="str">
            <v>BERNADETTE SHINYA-NDUNUWANI</v>
          </cell>
          <cell r="F4" t="str">
            <v>D (MD)</v>
          </cell>
          <cell r="G4">
            <v>327205</v>
          </cell>
          <cell r="H4" t="str">
            <v>Mayday</v>
          </cell>
          <cell r="I4">
            <v>0.3125</v>
          </cell>
          <cell r="J4">
            <v>0.64583333333333337</v>
          </cell>
          <cell r="K4">
            <v>7.6666666666666696</v>
          </cell>
          <cell r="L4">
            <v>247.56</v>
          </cell>
          <cell r="O4" t="str">
            <v>Y</v>
          </cell>
          <cell r="P4" t="str">
            <v>N</v>
          </cell>
          <cell r="Q4" t="str">
            <v>Extra Capacity</v>
          </cell>
          <cell r="S4">
            <v>0.2</v>
          </cell>
        </row>
        <row r="5">
          <cell r="D5">
            <v>708002224</v>
          </cell>
          <cell r="E5" t="str">
            <v>BERNADETTE SHINYA-NDUNUWANI</v>
          </cell>
          <cell r="F5" t="str">
            <v>D (MD)</v>
          </cell>
          <cell r="G5">
            <v>327205</v>
          </cell>
          <cell r="H5" t="str">
            <v>Mayday</v>
          </cell>
          <cell r="I5">
            <v>0.64583333333333337</v>
          </cell>
          <cell r="J5">
            <v>0.85416666666666663</v>
          </cell>
          <cell r="K5">
            <v>5</v>
          </cell>
          <cell r="L5">
            <v>161.44999999999999</v>
          </cell>
          <cell r="O5" t="str">
            <v>Y</v>
          </cell>
          <cell r="P5" t="str">
            <v>N</v>
          </cell>
          <cell r="Q5" t="str">
            <v>Extra Capacity</v>
          </cell>
          <cell r="S5">
            <v>0.13</v>
          </cell>
        </row>
        <row r="6">
          <cell r="D6">
            <v>908000130</v>
          </cell>
          <cell r="E6" t="str">
            <v>BERTHA CHITABO</v>
          </cell>
          <cell r="F6" t="str">
            <v>D (Ch)</v>
          </cell>
          <cell r="G6">
            <v>16611</v>
          </cell>
          <cell r="H6" t="str">
            <v>Choice</v>
          </cell>
          <cell r="I6">
            <v>0.875</v>
          </cell>
          <cell r="J6">
            <v>0.3125</v>
          </cell>
          <cell r="K6">
            <v>9.5</v>
          </cell>
          <cell r="L6">
            <v>300.97000000000003</v>
          </cell>
          <cell r="O6" t="str">
            <v>Y</v>
          </cell>
          <cell r="P6" t="str">
            <v>N</v>
          </cell>
          <cell r="Q6" t="str">
            <v>Emergency Leave</v>
          </cell>
          <cell r="S6">
            <v>0.25</v>
          </cell>
        </row>
        <row r="7">
          <cell r="D7">
            <v>808006553</v>
          </cell>
          <cell r="E7" t="str">
            <v>BRIGHTNESS NDEBELE</v>
          </cell>
          <cell r="F7" t="str">
            <v>D (MD)</v>
          </cell>
          <cell r="G7">
            <v>327199</v>
          </cell>
          <cell r="H7" t="str">
            <v>Mayday</v>
          </cell>
          <cell r="I7">
            <v>0.3125</v>
          </cell>
          <cell r="J7">
            <v>0.5625</v>
          </cell>
          <cell r="K7">
            <v>3.5</v>
          </cell>
          <cell r="L7">
            <v>113.02</v>
          </cell>
          <cell r="O7" t="str">
            <v>Y</v>
          </cell>
          <cell r="P7" t="str">
            <v>N</v>
          </cell>
          <cell r="Q7" t="str">
            <v>Short Term Sick</v>
          </cell>
          <cell r="S7">
            <v>0.09</v>
          </cell>
        </row>
        <row r="8">
          <cell r="D8">
            <v>808004992</v>
          </cell>
          <cell r="E8" t="str">
            <v>CHRIS STULAR</v>
          </cell>
          <cell r="F8" t="str">
            <v>D General (Orio</v>
          </cell>
          <cell r="G8" t="str">
            <v>Invsd Smt checked</v>
          </cell>
          <cell r="H8" t="str">
            <v>Orion</v>
          </cell>
          <cell r="I8">
            <v>0.33333333333333331</v>
          </cell>
          <cell r="J8">
            <v>0.75</v>
          </cell>
          <cell r="K8">
            <v>9.5</v>
          </cell>
          <cell r="L8">
            <v>172.14</v>
          </cell>
          <cell r="O8" t="str">
            <v>Y</v>
          </cell>
          <cell r="P8" t="str">
            <v>N</v>
          </cell>
          <cell r="Q8" t="str">
            <v>Vacancy</v>
          </cell>
          <cell r="S8">
            <v>0.25</v>
          </cell>
        </row>
        <row r="9">
          <cell r="D9">
            <v>808006426</v>
          </cell>
          <cell r="E9" t="str">
            <v>COLLEN SIBANDA</v>
          </cell>
          <cell r="F9" t="str">
            <v>D (Ch)</v>
          </cell>
          <cell r="G9">
            <v>16547</v>
          </cell>
          <cell r="H9" t="str">
            <v>Choice</v>
          </cell>
          <cell r="I9">
            <v>0.3125</v>
          </cell>
          <cell r="J9">
            <v>0.54166666666666663</v>
          </cell>
          <cell r="K9">
            <v>5.5</v>
          </cell>
          <cell r="L9">
            <v>134.03</v>
          </cell>
          <cell r="O9" t="str">
            <v>Y</v>
          </cell>
          <cell r="P9" t="str">
            <v>N</v>
          </cell>
          <cell r="Q9" t="str">
            <v>Vacancy</v>
          </cell>
          <cell r="S9">
            <v>0.15</v>
          </cell>
        </row>
        <row r="10">
          <cell r="D10">
            <v>908000211</v>
          </cell>
          <cell r="E10" t="str">
            <v>DIAGRET MGANDELE</v>
          </cell>
          <cell r="F10" t="str">
            <v>D (MD)</v>
          </cell>
          <cell r="G10">
            <v>326070</v>
          </cell>
          <cell r="H10" t="str">
            <v>Mayday</v>
          </cell>
          <cell r="I10">
            <v>0.83333333333333337</v>
          </cell>
          <cell r="J10">
            <v>0.33333333333333331</v>
          </cell>
          <cell r="K10">
            <v>11.3333333333333</v>
          </cell>
          <cell r="L10">
            <v>475.74</v>
          </cell>
          <cell r="O10" t="str">
            <v>Y</v>
          </cell>
          <cell r="P10" t="str">
            <v>N</v>
          </cell>
          <cell r="Q10" t="str">
            <v>Extra Capacity</v>
          </cell>
          <cell r="S10">
            <v>0.3</v>
          </cell>
        </row>
        <row r="11">
          <cell r="D11">
            <v>708002199</v>
          </cell>
          <cell r="E11" t="str">
            <v>EMMA FLIT-ELY</v>
          </cell>
          <cell r="F11" t="str">
            <v>D (Ch)</v>
          </cell>
          <cell r="H11" t="str">
            <v>Choice</v>
          </cell>
          <cell r="I11">
            <v>0.3125</v>
          </cell>
          <cell r="J11">
            <v>0.64583333333333337</v>
          </cell>
          <cell r="K11">
            <v>7.6666666666666696</v>
          </cell>
          <cell r="L11">
            <v>186.84</v>
          </cell>
          <cell r="O11" t="str">
            <v>Y</v>
          </cell>
          <cell r="P11" t="str">
            <v>N</v>
          </cell>
          <cell r="Q11" t="str">
            <v>Extra Capacity</v>
          </cell>
          <cell r="S11">
            <v>0.2</v>
          </cell>
        </row>
        <row r="12">
          <cell r="D12">
            <v>808001935</v>
          </cell>
          <cell r="E12" t="str">
            <v>FATIMA UMARU</v>
          </cell>
          <cell r="F12" t="str">
            <v>D (MD)</v>
          </cell>
          <cell r="G12">
            <v>327212</v>
          </cell>
          <cell r="H12" t="str">
            <v>Mayday</v>
          </cell>
          <cell r="I12">
            <v>0.875</v>
          </cell>
          <cell r="J12">
            <v>0.30208333333333331</v>
          </cell>
          <cell r="K12">
            <v>9.9166666666666696</v>
          </cell>
          <cell r="L12">
            <v>416.27</v>
          </cell>
          <cell r="O12" t="str">
            <v>Y</v>
          </cell>
          <cell r="P12" t="str">
            <v>N</v>
          </cell>
          <cell r="Q12" t="str">
            <v>Vacancy</v>
          </cell>
          <cell r="S12">
            <v>0.26</v>
          </cell>
        </row>
        <row r="13">
          <cell r="D13">
            <v>908000131</v>
          </cell>
          <cell r="E13" t="str">
            <v>IOAN GALATANU</v>
          </cell>
          <cell r="F13" t="str">
            <v>D (Amb)</v>
          </cell>
          <cell r="G13">
            <v>739487</v>
          </cell>
          <cell r="H13" t="str">
            <v>Ambition</v>
          </cell>
          <cell r="I13">
            <v>0.5</v>
          </cell>
          <cell r="J13">
            <v>0.83333333333333337</v>
          </cell>
          <cell r="K13">
            <v>7.6666666666666696</v>
          </cell>
          <cell r="L13">
            <v>299.77</v>
          </cell>
          <cell r="O13" t="str">
            <v>Y</v>
          </cell>
          <cell r="P13" t="str">
            <v>N</v>
          </cell>
          <cell r="Q13" t="str">
            <v>Vacancy</v>
          </cell>
          <cell r="S13">
            <v>0.2</v>
          </cell>
        </row>
        <row r="14">
          <cell r="D14">
            <v>808005865</v>
          </cell>
          <cell r="E14" t="str">
            <v>JEAN NGONA</v>
          </cell>
          <cell r="F14" t="str">
            <v>D (MD)</v>
          </cell>
          <cell r="G14">
            <v>327848</v>
          </cell>
          <cell r="H14" t="str">
            <v>Mayday</v>
          </cell>
          <cell r="I14">
            <v>0.625</v>
          </cell>
          <cell r="J14">
            <v>0.89583333333333337</v>
          </cell>
          <cell r="K14">
            <v>6</v>
          </cell>
          <cell r="L14">
            <v>193.74</v>
          </cell>
          <cell r="O14" t="str">
            <v>Y</v>
          </cell>
          <cell r="P14" t="str">
            <v>N</v>
          </cell>
          <cell r="Q14" t="str">
            <v>Short Term Sick</v>
          </cell>
          <cell r="S14">
            <v>0.16</v>
          </cell>
        </row>
        <row r="15">
          <cell r="D15">
            <v>808002080</v>
          </cell>
          <cell r="E15" t="str">
            <v>JOANNE BUSS</v>
          </cell>
          <cell r="F15" t="str">
            <v>D (MD)</v>
          </cell>
          <cell r="G15">
            <v>326252</v>
          </cell>
          <cell r="H15" t="str">
            <v>Mayday</v>
          </cell>
          <cell r="I15">
            <v>0.625</v>
          </cell>
          <cell r="J15">
            <v>0.85416666666666663</v>
          </cell>
          <cell r="K15">
            <v>5.5</v>
          </cell>
          <cell r="L15">
            <v>177.59</v>
          </cell>
          <cell r="O15" t="str">
            <v>Y</v>
          </cell>
          <cell r="P15" t="str">
            <v>N</v>
          </cell>
          <cell r="Q15" t="str">
            <v>Vacancy</v>
          </cell>
          <cell r="S15">
            <v>0.15</v>
          </cell>
        </row>
        <row r="16">
          <cell r="D16">
            <v>808006666</v>
          </cell>
          <cell r="E16" t="str">
            <v>JOY VILLANUEVA</v>
          </cell>
          <cell r="F16" t="str">
            <v>D (MD)</v>
          </cell>
          <cell r="G16">
            <v>326521</v>
          </cell>
          <cell r="H16" t="str">
            <v>Mayday</v>
          </cell>
          <cell r="I16">
            <v>0.3125</v>
          </cell>
          <cell r="J16">
            <v>0.58333333333333337</v>
          </cell>
          <cell r="K16">
            <v>6.1666666666666696</v>
          </cell>
          <cell r="L16">
            <v>199.12</v>
          </cell>
          <cell r="O16" t="str">
            <v>Y</v>
          </cell>
          <cell r="P16" t="str">
            <v>N</v>
          </cell>
          <cell r="Q16" t="str">
            <v>Extra Capacity</v>
          </cell>
          <cell r="S16">
            <v>0.16</v>
          </cell>
        </row>
        <row r="17">
          <cell r="D17">
            <v>708002198</v>
          </cell>
          <cell r="E17" t="str">
            <v>KATE MIGHNANE</v>
          </cell>
          <cell r="F17" t="str">
            <v>D (Ch)</v>
          </cell>
          <cell r="H17" t="str">
            <v>Choice</v>
          </cell>
          <cell r="I17">
            <v>0.3125</v>
          </cell>
          <cell r="J17">
            <v>0.64583333333333337</v>
          </cell>
          <cell r="K17">
            <v>7.6666666666666696</v>
          </cell>
          <cell r="L17">
            <v>186.84</v>
          </cell>
          <cell r="O17" t="str">
            <v>Y</v>
          </cell>
          <cell r="P17" t="str">
            <v>N</v>
          </cell>
          <cell r="Q17" t="str">
            <v>Extra Capacity</v>
          </cell>
          <cell r="S17">
            <v>0.2</v>
          </cell>
        </row>
        <row r="18">
          <cell r="D18">
            <v>708002250</v>
          </cell>
          <cell r="E18" t="str">
            <v>KATE MIGHNANE</v>
          </cell>
          <cell r="F18" t="str">
            <v>D (Ch)</v>
          </cell>
          <cell r="H18" t="str">
            <v>Choice</v>
          </cell>
          <cell r="I18">
            <v>0.64583333333333337</v>
          </cell>
          <cell r="J18">
            <v>0.85416666666666663</v>
          </cell>
          <cell r="K18">
            <v>5</v>
          </cell>
          <cell r="L18">
            <v>121.85</v>
          </cell>
          <cell r="O18" t="str">
            <v>Y</v>
          </cell>
          <cell r="P18" t="str">
            <v>N</v>
          </cell>
          <cell r="Q18" t="str">
            <v>Extra Capacity</v>
          </cell>
          <cell r="S18">
            <v>0.13</v>
          </cell>
        </row>
        <row r="19">
          <cell r="D19">
            <v>808002203</v>
          </cell>
          <cell r="E19" t="str">
            <v>KATIE NCUBE</v>
          </cell>
          <cell r="F19" t="str">
            <v>D (Amb)</v>
          </cell>
          <cell r="G19">
            <v>739486</v>
          </cell>
          <cell r="H19" t="str">
            <v>Ambition</v>
          </cell>
          <cell r="I19">
            <v>0.5625</v>
          </cell>
          <cell r="J19">
            <v>0.89583333333333337</v>
          </cell>
          <cell r="K19">
            <v>7.6666666666666696</v>
          </cell>
          <cell r="L19">
            <v>299.77</v>
          </cell>
          <cell r="O19" t="str">
            <v>Y</v>
          </cell>
          <cell r="P19" t="str">
            <v>N</v>
          </cell>
          <cell r="Q19" t="str">
            <v>Vacancy</v>
          </cell>
          <cell r="S19">
            <v>0.2</v>
          </cell>
        </row>
        <row r="20">
          <cell r="D20">
            <v>808000261</v>
          </cell>
          <cell r="E20" t="str">
            <v>LEONA CONTRERAS</v>
          </cell>
          <cell r="F20" t="str">
            <v>D (MD)</v>
          </cell>
          <cell r="H20" t="str">
            <v>Mayday</v>
          </cell>
          <cell r="I20">
            <v>0.52083333333333337</v>
          </cell>
          <cell r="J20">
            <v>0.85416666666666663</v>
          </cell>
          <cell r="K20">
            <v>7.6666666666666696</v>
          </cell>
          <cell r="L20">
            <v>247.56</v>
          </cell>
          <cell r="O20" t="str">
            <v>Y</v>
          </cell>
          <cell r="P20" t="str">
            <v>N</v>
          </cell>
          <cell r="Q20" t="str">
            <v>Extra Capacity</v>
          </cell>
          <cell r="S20">
            <v>0.2</v>
          </cell>
        </row>
        <row r="21">
          <cell r="D21">
            <v>908000212</v>
          </cell>
          <cell r="E21" t="str">
            <v>METTA SUNDAY</v>
          </cell>
          <cell r="F21" t="str">
            <v>D (MD)</v>
          </cell>
          <cell r="G21">
            <v>326078</v>
          </cell>
          <cell r="H21" t="str">
            <v>Mayday</v>
          </cell>
          <cell r="I21">
            <v>0.83333333333333337</v>
          </cell>
          <cell r="J21">
            <v>0.33333333333333331</v>
          </cell>
          <cell r="K21">
            <v>11.3333333333333</v>
          </cell>
          <cell r="L21">
            <v>475.74</v>
          </cell>
          <cell r="O21" t="str">
            <v>Y</v>
          </cell>
          <cell r="P21" t="str">
            <v>N</v>
          </cell>
          <cell r="Q21" t="str">
            <v>Extra Capacity</v>
          </cell>
          <cell r="S21">
            <v>0.3</v>
          </cell>
        </row>
        <row r="22">
          <cell r="D22">
            <v>708002307</v>
          </cell>
          <cell r="E22" t="str">
            <v>NILO DANUGO</v>
          </cell>
          <cell r="F22" t="str">
            <v>D (Ch)</v>
          </cell>
          <cell r="G22">
            <v>16546</v>
          </cell>
          <cell r="H22" t="str">
            <v>Choice</v>
          </cell>
          <cell r="I22">
            <v>0.83333333333333337</v>
          </cell>
          <cell r="J22">
            <v>0.33333333333333331</v>
          </cell>
          <cell r="K22">
            <v>11.3333333333333</v>
          </cell>
          <cell r="L22">
            <v>359.05</v>
          </cell>
          <cell r="O22" t="str">
            <v>Y</v>
          </cell>
          <cell r="P22" t="str">
            <v>N</v>
          </cell>
          <cell r="Q22" t="str">
            <v>Extra Capacity</v>
          </cell>
          <cell r="S22">
            <v>0.3</v>
          </cell>
        </row>
        <row r="23">
          <cell r="D23">
            <v>808006670</v>
          </cell>
          <cell r="E23" t="str">
            <v>OMAR SENGHORE</v>
          </cell>
          <cell r="F23" t="str">
            <v>D (MD)</v>
          </cell>
          <cell r="H23" t="str">
            <v>Mayday</v>
          </cell>
          <cell r="I23">
            <v>0.83333333333333337</v>
          </cell>
          <cell r="J23">
            <v>0.33333333333333331</v>
          </cell>
          <cell r="K23">
            <v>11.3333333333333</v>
          </cell>
          <cell r="L23">
            <v>475.74</v>
          </cell>
          <cell r="O23" t="str">
            <v>Y</v>
          </cell>
          <cell r="P23" t="str">
            <v>N</v>
          </cell>
          <cell r="Q23" t="str">
            <v>Extra Capacity</v>
          </cell>
          <cell r="S23">
            <v>0.3</v>
          </cell>
        </row>
        <row r="24">
          <cell r="D24">
            <v>808003091</v>
          </cell>
          <cell r="E24" t="str">
            <v>PAT MTHETHWA</v>
          </cell>
          <cell r="F24" t="str">
            <v>D (Ch)</v>
          </cell>
          <cell r="G24">
            <v>16531</v>
          </cell>
          <cell r="H24" t="str">
            <v>Choice</v>
          </cell>
          <cell r="I24">
            <v>0.63541666666666663</v>
          </cell>
          <cell r="J24">
            <v>0.85416666666666663</v>
          </cell>
          <cell r="K24">
            <v>5.25</v>
          </cell>
          <cell r="L24">
            <v>127.94</v>
          </cell>
          <cell r="O24" t="str">
            <v>Y</v>
          </cell>
          <cell r="P24" t="str">
            <v>N</v>
          </cell>
          <cell r="Q24" t="str">
            <v>Vacancy</v>
          </cell>
          <cell r="S24">
            <v>0.14000000000000001</v>
          </cell>
        </row>
        <row r="25">
          <cell r="D25">
            <v>908000260</v>
          </cell>
          <cell r="E25" t="str">
            <v>PAT MUGABZA</v>
          </cell>
          <cell r="F25" t="str">
            <v>A (Ch)</v>
          </cell>
          <cell r="G25">
            <v>16526</v>
          </cell>
          <cell r="H25" t="str">
            <v>Choice</v>
          </cell>
          <cell r="I25">
            <v>0.3125</v>
          </cell>
          <cell r="J25">
            <v>0.875</v>
          </cell>
          <cell r="K25">
            <v>12.8333333333333</v>
          </cell>
          <cell r="L25">
            <v>142.32</v>
          </cell>
          <cell r="O25" t="str">
            <v>Y</v>
          </cell>
          <cell r="P25" t="str">
            <v>N</v>
          </cell>
          <cell r="Q25" t="str">
            <v>On-Call</v>
          </cell>
          <cell r="S25">
            <v>0.34</v>
          </cell>
        </row>
        <row r="26">
          <cell r="D26">
            <v>808001047</v>
          </cell>
          <cell r="E26" t="str">
            <v>PEGGY MAPOGO</v>
          </cell>
          <cell r="F26" t="str">
            <v>D (Ch)</v>
          </cell>
          <cell r="G26">
            <v>16526</v>
          </cell>
          <cell r="H26" t="str">
            <v>Choice</v>
          </cell>
          <cell r="I26">
            <v>0.5625</v>
          </cell>
          <cell r="J26">
            <v>0.875</v>
          </cell>
          <cell r="K26">
            <v>7.1666666666666696</v>
          </cell>
          <cell r="L26">
            <v>174.65</v>
          </cell>
          <cell r="O26" t="str">
            <v>Y</v>
          </cell>
          <cell r="P26" t="str">
            <v>N</v>
          </cell>
          <cell r="Q26" t="str">
            <v>Annual Leave</v>
          </cell>
          <cell r="S26">
            <v>0.19</v>
          </cell>
        </row>
        <row r="27">
          <cell r="D27">
            <v>808006168</v>
          </cell>
          <cell r="E27" t="str">
            <v>PEGGY MAPOGO</v>
          </cell>
          <cell r="F27" t="str">
            <v>D (Ch)</v>
          </cell>
          <cell r="G27">
            <v>16526</v>
          </cell>
          <cell r="H27" t="str">
            <v>Choice</v>
          </cell>
          <cell r="I27">
            <v>0.3125</v>
          </cell>
          <cell r="J27">
            <v>0.5625</v>
          </cell>
          <cell r="K27">
            <v>5.6666666666666696</v>
          </cell>
          <cell r="L27">
            <v>138.1</v>
          </cell>
          <cell r="O27" t="str">
            <v>Y</v>
          </cell>
          <cell r="P27" t="str">
            <v>N</v>
          </cell>
          <cell r="Q27" t="str">
            <v>Annual Leave</v>
          </cell>
          <cell r="S27">
            <v>0.15</v>
          </cell>
        </row>
        <row r="28">
          <cell r="D28">
            <v>908000002</v>
          </cell>
          <cell r="E28" t="str">
            <v>TAM NDLOVU</v>
          </cell>
          <cell r="F28" t="str">
            <v>D (MD)</v>
          </cell>
          <cell r="G28">
            <v>327213</v>
          </cell>
          <cell r="H28" t="str">
            <v>Mayday</v>
          </cell>
          <cell r="I28">
            <v>0.83333333333333337</v>
          </cell>
          <cell r="J28">
            <v>0.33333333333333331</v>
          </cell>
          <cell r="K28">
            <v>11.3333333333333</v>
          </cell>
          <cell r="L28">
            <v>475.74</v>
          </cell>
          <cell r="O28" t="str">
            <v>Y</v>
          </cell>
          <cell r="P28" t="str">
            <v>N</v>
          </cell>
          <cell r="Q28" t="str">
            <v>Specials</v>
          </cell>
          <cell r="S28">
            <v>0.3</v>
          </cell>
        </row>
        <row r="29">
          <cell r="D29">
            <v>808004716</v>
          </cell>
          <cell r="E29" t="str">
            <v>TEMBE NGIDI</v>
          </cell>
          <cell r="F29" t="str">
            <v>D (MD)</v>
          </cell>
          <cell r="G29">
            <v>326282</v>
          </cell>
          <cell r="H29" t="str">
            <v>Mayday</v>
          </cell>
          <cell r="I29">
            <v>0.84375</v>
          </cell>
          <cell r="J29">
            <v>0.3125</v>
          </cell>
          <cell r="K29">
            <v>10.25</v>
          </cell>
          <cell r="L29">
            <v>430.26</v>
          </cell>
          <cell r="O29" t="str">
            <v>Y</v>
          </cell>
          <cell r="P29" t="str">
            <v>N</v>
          </cell>
          <cell r="Q29" t="str">
            <v>Vacancy</v>
          </cell>
          <cell r="S29">
            <v>0.27</v>
          </cell>
        </row>
        <row r="30">
          <cell r="D30">
            <v>808006790</v>
          </cell>
          <cell r="E30" t="str">
            <v>TENNYSON MUSYANI</v>
          </cell>
          <cell r="F30" t="str">
            <v>D (MD)</v>
          </cell>
          <cell r="G30">
            <v>327197</v>
          </cell>
          <cell r="H30" t="str">
            <v>Mayday</v>
          </cell>
          <cell r="I30">
            <v>0.33333333333333331</v>
          </cell>
          <cell r="J30">
            <v>0.58333333333333337</v>
          </cell>
          <cell r="K30">
            <v>5.6666666666666696</v>
          </cell>
          <cell r="L30">
            <v>182.98</v>
          </cell>
          <cell r="O30" t="str">
            <v>Y</v>
          </cell>
          <cell r="P30" t="str">
            <v>N</v>
          </cell>
          <cell r="Q30" t="str">
            <v>Specials</v>
          </cell>
          <cell r="S30">
            <v>0.15</v>
          </cell>
        </row>
        <row r="31">
          <cell r="D31">
            <v>808006791</v>
          </cell>
          <cell r="E31" t="str">
            <v>TENNYSON MUSYANI</v>
          </cell>
          <cell r="F31" t="str">
            <v>D (MD)</v>
          </cell>
          <cell r="G31">
            <v>327197</v>
          </cell>
          <cell r="H31" t="str">
            <v>Mayday</v>
          </cell>
          <cell r="I31">
            <v>0.58333333333333337</v>
          </cell>
          <cell r="J31">
            <v>0.83333333333333337</v>
          </cell>
          <cell r="K31">
            <v>5.6666666666666696</v>
          </cell>
          <cell r="L31">
            <v>182.98</v>
          </cell>
          <cell r="O31" t="str">
            <v>Y</v>
          </cell>
          <cell r="P31" t="str">
            <v>N</v>
          </cell>
          <cell r="Q31" t="str">
            <v>Specials</v>
          </cell>
          <cell r="S31">
            <v>0.15</v>
          </cell>
        </row>
        <row r="32">
          <cell r="D32">
            <v>808006667</v>
          </cell>
          <cell r="E32" t="str">
            <v>THEMBE NHOSE</v>
          </cell>
          <cell r="F32" t="str">
            <v>D (MD)</v>
          </cell>
          <cell r="G32">
            <v>326588</v>
          </cell>
          <cell r="H32" t="str">
            <v>Mayday</v>
          </cell>
          <cell r="I32">
            <v>0.83333333333333337</v>
          </cell>
          <cell r="J32">
            <v>0.33333333333333331</v>
          </cell>
          <cell r="K32">
            <v>11.3333333333333</v>
          </cell>
          <cell r="L32">
            <v>475.74</v>
          </cell>
          <cell r="O32" t="str">
            <v>Y</v>
          </cell>
          <cell r="P32" t="str">
            <v>N</v>
          </cell>
          <cell r="Q32" t="str">
            <v>Extra Capacity</v>
          </cell>
          <cell r="S32">
            <v>0.3</v>
          </cell>
        </row>
        <row r="33">
          <cell r="D33">
            <v>908000113</v>
          </cell>
          <cell r="E33" t="str">
            <v>TRUST CHIWUNDURA</v>
          </cell>
          <cell r="F33" t="str">
            <v>A (Ch)</v>
          </cell>
          <cell r="G33">
            <v>16531</v>
          </cell>
          <cell r="H33" t="str">
            <v>Choice</v>
          </cell>
          <cell r="I33">
            <v>0.82291666666666663</v>
          </cell>
          <cell r="J33">
            <v>0.34375</v>
          </cell>
          <cell r="K33">
            <v>11.5</v>
          </cell>
          <cell r="L33">
            <v>170.05</v>
          </cell>
          <cell r="O33" t="str">
            <v>Y</v>
          </cell>
          <cell r="P33" t="str">
            <v>N</v>
          </cell>
          <cell r="Q33" t="str">
            <v>Specials</v>
          </cell>
          <cell r="S33">
            <v>0.31</v>
          </cell>
        </row>
        <row r="34">
          <cell r="D34">
            <v>908000666</v>
          </cell>
          <cell r="E34" t="str">
            <v>ATINUKE OKE-OLATUNDE</v>
          </cell>
          <cell r="F34" t="str">
            <v>D (MD)</v>
          </cell>
          <cell r="G34">
            <v>330425</v>
          </cell>
          <cell r="H34" t="str">
            <v>Mayday</v>
          </cell>
          <cell r="I34">
            <v>0.82291666666666663</v>
          </cell>
          <cell r="J34">
            <v>0.33333333333333331</v>
          </cell>
          <cell r="K34">
            <v>11.5833333333333</v>
          </cell>
          <cell r="L34">
            <v>486.23</v>
          </cell>
          <cell r="O34" t="str">
            <v>Y</v>
          </cell>
          <cell r="P34" t="str">
            <v>N</v>
          </cell>
          <cell r="Q34" t="str">
            <v>Extra Capacity</v>
          </cell>
          <cell r="S34">
            <v>0.31</v>
          </cell>
        </row>
        <row r="35">
          <cell r="D35">
            <v>708002192</v>
          </cell>
          <cell r="E35" t="str">
            <v>BERNADETTE SHINYA-NDUNUWANI</v>
          </cell>
          <cell r="F35" t="str">
            <v>D (MD)</v>
          </cell>
          <cell r="G35">
            <v>327205</v>
          </cell>
          <cell r="H35" t="str">
            <v>Mayday</v>
          </cell>
          <cell r="I35">
            <v>0.3125</v>
          </cell>
          <cell r="J35">
            <v>0.64583333333333337</v>
          </cell>
          <cell r="K35">
            <v>7.6666666666666696</v>
          </cell>
          <cell r="L35">
            <v>247.56</v>
          </cell>
          <cell r="O35" t="str">
            <v>Y</v>
          </cell>
          <cell r="P35" t="str">
            <v>N</v>
          </cell>
          <cell r="Q35" t="str">
            <v>Extra Capacity</v>
          </cell>
          <cell r="S35">
            <v>0.2</v>
          </cell>
        </row>
        <row r="36">
          <cell r="D36">
            <v>708002231</v>
          </cell>
          <cell r="E36" t="str">
            <v>BERNADETTE SHINYA-NDUNUWANI</v>
          </cell>
          <cell r="F36" t="str">
            <v>D (MD)</v>
          </cell>
          <cell r="G36">
            <v>327205</v>
          </cell>
          <cell r="H36" t="str">
            <v>Mayday</v>
          </cell>
          <cell r="I36">
            <v>0.64583333333333337</v>
          </cell>
          <cell r="J36">
            <v>0.85416666666666663</v>
          </cell>
          <cell r="K36">
            <v>5</v>
          </cell>
          <cell r="L36">
            <v>161.44999999999999</v>
          </cell>
          <cell r="O36" t="str">
            <v>Y</v>
          </cell>
          <cell r="P36" t="str">
            <v>N</v>
          </cell>
          <cell r="Q36" t="str">
            <v>Extra Capacity</v>
          </cell>
          <cell r="S36">
            <v>0.13</v>
          </cell>
        </row>
        <row r="37">
          <cell r="D37">
            <v>808001055</v>
          </cell>
          <cell r="E37" t="str">
            <v>BERTHA CHITABO</v>
          </cell>
          <cell r="F37" t="str">
            <v>D (Ch)</v>
          </cell>
          <cell r="G37">
            <v>16596</v>
          </cell>
          <cell r="H37" t="str">
            <v>Choice</v>
          </cell>
          <cell r="I37">
            <v>0.875</v>
          </cell>
          <cell r="J37">
            <v>0.3125</v>
          </cell>
          <cell r="K37">
            <v>10.1666666666667</v>
          </cell>
          <cell r="L37">
            <v>322.08999999999997</v>
          </cell>
          <cell r="O37" t="str">
            <v>Y</v>
          </cell>
          <cell r="P37" t="str">
            <v>N</v>
          </cell>
          <cell r="Q37" t="str">
            <v>Vacancy</v>
          </cell>
          <cell r="S37">
            <v>0.27</v>
          </cell>
        </row>
        <row r="38">
          <cell r="D38">
            <v>808000248</v>
          </cell>
          <cell r="E38" t="str">
            <v>BRIGHTNESS NDEBELE</v>
          </cell>
          <cell r="F38" t="str">
            <v>D (MD)</v>
          </cell>
          <cell r="G38">
            <v>327201</v>
          </cell>
          <cell r="H38" t="str">
            <v>Mayday</v>
          </cell>
          <cell r="I38">
            <v>0.3125</v>
          </cell>
          <cell r="J38">
            <v>0.64583333333333337</v>
          </cell>
          <cell r="K38">
            <v>7.6666666666666696</v>
          </cell>
          <cell r="L38">
            <v>247.56</v>
          </cell>
          <cell r="O38" t="str">
            <v>Y</v>
          </cell>
          <cell r="P38" t="str">
            <v>N</v>
          </cell>
          <cell r="Q38" t="str">
            <v>Extra Capacity</v>
          </cell>
          <cell r="S38">
            <v>0.2</v>
          </cell>
        </row>
        <row r="39">
          <cell r="D39">
            <v>808000255</v>
          </cell>
          <cell r="E39" t="str">
            <v>BRIGHTNESS NDEBELE</v>
          </cell>
          <cell r="F39" t="str">
            <v>D (MD)</v>
          </cell>
          <cell r="G39">
            <v>327201</v>
          </cell>
          <cell r="H39" t="str">
            <v>Mayday</v>
          </cell>
          <cell r="I39">
            <v>0.64583333333333337</v>
          </cell>
          <cell r="J39">
            <v>0.85416666666666663</v>
          </cell>
          <cell r="K39">
            <v>5</v>
          </cell>
          <cell r="L39">
            <v>161.44999999999999</v>
          </cell>
          <cell r="O39" t="str">
            <v>Y</v>
          </cell>
          <cell r="P39" t="str">
            <v>N</v>
          </cell>
          <cell r="Q39" t="str">
            <v>Extra Capacity</v>
          </cell>
          <cell r="S39">
            <v>0.13</v>
          </cell>
        </row>
        <row r="40">
          <cell r="D40">
            <v>708002383</v>
          </cell>
          <cell r="E40" t="str">
            <v>CARL HIBBET A Depena</v>
          </cell>
          <cell r="F40" t="str">
            <v>D (Ch)</v>
          </cell>
          <cell r="G40">
            <v>16546</v>
          </cell>
          <cell r="H40" t="str">
            <v>Choice</v>
          </cell>
          <cell r="I40">
            <v>0.83333333333333337</v>
          </cell>
          <cell r="J40">
            <v>0.33333333333333331</v>
          </cell>
          <cell r="K40">
            <v>11.3333333333333</v>
          </cell>
          <cell r="L40">
            <v>359.05</v>
          </cell>
          <cell r="O40" t="str">
            <v>Y</v>
          </cell>
          <cell r="P40" t="str">
            <v>N</v>
          </cell>
          <cell r="Q40" t="str">
            <v>Extra Capacity</v>
          </cell>
          <cell r="S40">
            <v>0.3</v>
          </cell>
        </row>
        <row r="41">
          <cell r="D41">
            <v>808004993</v>
          </cell>
          <cell r="E41" t="str">
            <v>CHRIS STULAR</v>
          </cell>
          <cell r="F41" t="str">
            <v>D General (Orio</v>
          </cell>
          <cell r="G41" t="str">
            <v>Invsd Smt checked</v>
          </cell>
          <cell r="H41" t="str">
            <v>Orion</v>
          </cell>
          <cell r="I41">
            <v>0.33333333333333331</v>
          </cell>
          <cell r="J41">
            <v>0.89583333333333337</v>
          </cell>
          <cell r="K41">
            <v>12.5</v>
          </cell>
          <cell r="L41">
            <v>226.5</v>
          </cell>
          <cell r="O41" t="str">
            <v>Y</v>
          </cell>
          <cell r="P41" t="str">
            <v>N</v>
          </cell>
          <cell r="Q41" t="str">
            <v>Vacancy</v>
          </cell>
          <cell r="S41">
            <v>0.33</v>
          </cell>
        </row>
        <row r="42">
          <cell r="D42">
            <v>808006465</v>
          </cell>
          <cell r="E42" t="str">
            <v>COLLEN SIBANDA</v>
          </cell>
          <cell r="F42" t="str">
            <v>D (Ch)</v>
          </cell>
          <cell r="G42">
            <v>16540</v>
          </cell>
          <cell r="H42" t="str">
            <v>Choice</v>
          </cell>
          <cell r="I42">
            <v>0.5625</v>
          </cell>
          <cell r="J42">
            <v>0.89583333333333337</v>
          </cell>
          <cell r="K42">
            <v>7.6666666666666696</v>
          </cell>
          <cell r="L42">
            <v>186.84</v>
          </cell>
          <cell r="O42" t="str">
            <v>Y</v>
          </cell>
          <cell r="P42" t="str">
            <v>N</v>
          </cell>
          <cell r="Q42" t="str">
            <v>Under Established</v>
          </cell>
          <cell r="S42">
            <v>0.2</v>
          </cell>
        </row>
        <row r="43">
          <cell r="D43">
            <v>908001359</v>
          </cell>
          <cell r="E43" t="str">
            <v>DIAGRET MGANDELE</v>
          </cell>
          <cell r="F43" t="str">
            <v>D (MD)</v>
          </cell>
          <cell r="G43">
            <v>326072</v>
          </cell>
          <cell r="H43" t="str">
            <v>Mayday</v>
          </cell>
          <cell r="I43">
            <v>0.82291666666666663</v>
          </cell>
          <cell r="J43">
            <v>0.33333333333333331</v>
          </cell>
          <cell r="K43">
            <v>11.5833333333333</v>
          </cell>
          <cell r="L43">
            <v>486.23</v>
          </cell>
          <cell r="O43" t="str">
            <v>Y</v>
          </cell>
          <cell r="P43" t="str">
            <v>N</v>
          </cell>
          <cell r="Q43" t="str">
            <v>Extra Capacity</v>
          </cell>
          <cell r="S43">
            <v>0.31</v>
          </cell>
        </row>
        <row r="44">
          <cell r="D44">
            <v>808005837</v>
          </cell>
          <cell r="E44" t="str">
            <v>GRACE CHIKWAVA</v>
          </cell>
          <cell r="F44" t="str">
            <v>D (Ch)</v>
          </cell>
          <cell r="G44">
            <v>16538</v>
          </cell>
          <cell r="H44" t="str">
            <v>Choice</v>
          </cell>
          <cell r="I44">
            <v>0.58333333333333337</v>
          </cell>
          <cell r="J44">
            <v>0.84375</v>
          </cell>
          <cell r="K44">
            <v>6</v>
          </cell>
          <cell r="L44">
            <v>146.22</v>
          </cell>
          <cell r="O44" t="str">
            <v>Y</v>
          </cell>
          <cell r="P44" t="str">
            <v>N</v>
          </cell>
          <cell r="Q44" t="str">
            <v>Vacancy</v>
          </cell>
          <cell r="S44">
            <v>0.16</v>
          </cell>
        </row>
        <row r="45">
          <cell r="D45">
            <v>808003096</v>
          </cell>
          <cell r="E45" t="str">
            <v>JANE DUNSMURE</v>
          </cell>
          <cell r="F45" t="str">
            <v>D/5 (PS)</v>
          </cell>
          <cell r="H45" t="str">
            <v>Pinnacle Staffing</v>
          </cell>
          <cell r="I45">
            <v>0.82291666666666663</v>
          </cell>
          <cell r="J45">
            <v>0.34375</v>
          </cell>
          <cell r="K45">
            <v>11.5</v>
          </cell>
          <cell r="L45">
            <v>254</v>
          </cell>
          <cell r="O45" t="str">
            <v>Y</v>
          </cell>
          <cell r="P45" t="str">
            <v>N</v>
          </cell>
          <cell r="Q45" t="str">
            <v>Vacancy</v>
          </cell>
          <cell r="S45">
            <v>0.31</v>
          </cell>
        </row>
        <row r="46">
          <cell r="D46">
            <v>908000673</v>
          </cell>
          <cell r="E46" t="str">
            <v>JESSICA BELLAMY</v>
          </cell>
          <cell r="F46" t="str">
            <v>D (MD)</v>
          </cell>
          <cell r="G46">
            <v>327854</v>
          </cell>
          <cell r="H46" t="str">
            <v>Mayday</v>
          </cell>
          <cell r="I46">
            <v>0.83333333333333337</v>
          </cell>
          <cell r="J46">
            <v>0.33333333333333331</v>
          </cell>
          <cell r="K46">
            <v>11.3333333333333</v>
          </cell>
          <cell r="L46">
            <v>475.74</v>
          </cell>
          <cell r="O46" t="str">
            <v>Y</v>
          </cell>
          <cell r="P46" t="str">
            <v>N</v>
          </cell>
          <cell r="Q46" t="str">
            <v>Extra Capacity</v>
          </cell>
          <cell r="S46">
            <v>0.3</v>
          </cell>
        </row>
        <row r="47">
          <cell r="D47">
            <v>908000349</v>
          </cell>
          <cell r="E47" t="str">
            <v>JOHN CONNELY</v>
          </cell>
          <cell r="F47" t="str">
            <v>2 Gen (All)</v>
          </cell>
          <cell r="G47" t="str">
            <v>G1428451</v>
          </cell>
          <cell r="H47" t="str">
            <v xml:space="preserve">Allied </v>
          </cell>
          <cell r="I47">
            <v>0.82291666666666663</v>
          </cell>
          <cell r="J47">
            <v>0.34375</v>
          </cell>
          <cell r="K47">
            <v>11.5</v>
          </cell>
          <cell r="L47">
            <v>147.19999999999999</v>
          </cell>
          <cell r="O47" t="str">
            <v>Y</v>
          </cell>
          <cell r="P47" t="str">
            <v>N</v>
          </cell>
          <cell r="Q47" t="str">
            <v>Specials</v>
          </cell>
          <cell r="S47">
            <v>0.31</v>
          </cell>
        </row>
        <row r="48">
          <cell r="D48">
            <v>808006188</v>
          </cell>
          <cell r="E48" t="str">
            <v>JOY VILLANUEVA</v>
          </cell>
          <cell r="F48" t="str">
            <v>D (MD)</v>
          </cell>
          <cell r="G48">
            <v>326517</v>
          </cell>
          <cell r="H48" t="str">
            <v>Mayday</v>
          </cell>
          <cell r="I48">
            <v>0.60416666666666663</v>
          </cell>
          <cell r="J48">
            <v>0.8125</v>
          </cell>
          <cell r="K48">
            <v>5</v>
          </cell>
          <cell r="L48">
            <v>161.44999999999999</v>
          </cell>
          <cell r="O48" t="str">
            <v>Y</v>
          </cell>
          <cell r="P48" t="str">
            <v>N</v>
          </cell>
          <cell r="Q48" t="str">
            <v>Annual Leave</v>
          </cell>
          <cell r="S48">
            <v>0.13</v>
          </cell>
        </row>
        <row r="49">
          <cell r="D49">
            <v>808006190</v>
          </cell>
          <cell r="E49" t="str">
            <v>JOY VILLANUEVA</v>
          </cell>
          <cell r="F49" t="str">
            <v>D (MD)</v>
          </cell>
          <cell r="G49">
            <v>326517</v>
          </cell>
          <cell r="H49" t="str">
            <v>Mayday</v>
          </cell>
          <cell r="I49">
            <v>0.3125</v>
          </cell>
          <cell r="J49">
            <v>0.5625</v>
          </cell>
          <cell r="K49">
            <v>5.6666666666666696</v>
          </cell>
          <cell r="L49">
            <v>182.98</v>
          </cell>
          <cell r="O49" t="str">
            <v>Y</v>
          </cell>
          <cell r="P49" t="str">
            <v>N</v>
          </cell>
          <cell r="Q49" t="str">
            <v>Annual Leave</v>
          </cell>
          <cell r="S49">
            <v>0.15</v>
          </cell>
        </row>
        <row r="50">
          <cell r="D50">
            <v>808000262</v>
          </cell>
          <cell r="E50" t="str">
            <v>KATIE KEAVENEY</v>
          </cell>
          <cell r="F50" t="str">
            <v>D (MD)</v>
          </cell>
          <cell r="G50">
            <v>326545</v>
          </cell>
          <cell r="H50" t="str">
            <v>Mayday</v>
          </cell>
          <cell r="I50">
            <v>0.52083333333333337</v>
          </cell>
          <cell r="J50">
            <v>0.85416666666666663</v>
          </cell>
          <cell r="K50">
            <v>7.6666666666666696</v>
          </cell>
          <cell r="L50">
            <v>247.56</v>
          </cell>
          <cell r="O50" t="str">
            <v>Y</v>
          </cell>
          <cell r="P50" t="str">
            <v>N</v>
          </cell>
          <cell r="Q50" t="str">
            <v>Extra Capacity</v>
          </cell>
          <cell r="S50">
            <v>0.2</v>
          </cell>
        </row>
        <row r="51">
          <cell r="D51">
            <v>908000003</v>
          </cell>
          <cell r="E51" t="str">
            <v>KEN GOORDIN</v>
          </cell>
          <cell r="F51" t="str">
            <v>D (Ch)</v>
          </cell>
          <cell r="G51">
            <v>16528</v>
          </cell>
          <cell r="H51" t="str">
            <v>Choice</v>
          </cell>
          <cell r="I51">
            <v>0.83333333333333337</v>
          </cell>
          <cell r="J51">
            <v>0.33333333333333331</v>
          </cell>
          <cell r="K51">
            <v>11.3333333333333</v>
          </cell>
          <cell r="L51">
            <v>359.05</v>
          </cell>
          <cell r="O51" t="str">
            <v>Y</v>
          </cell>
          <cell r="P51" t="str">
            <v>N</v>
          </cell>
          <cell r="Q51" t="str">
            <v>Specials</v>
          </cell>
          <cell r="S51">
            <v>0.3</v>
          </cell>
        </row>
        <row r="52">
          <cell r="D52">
            <v>808001053</v>
          </cell>
          <cell r="E52" t="str">
            <v>KERRI GALLOWAY</v>
          </cell>
          <cell r="F52" t="str">
            <v>D (MD)</v>
          </cell>
          <cell r="G52">
            <v>326260</v>
          </cell>
          <cell r="H52" t="str">
            <v>Mayday</v>
          </cell>
          <cell r="I52">
            <v>0.5625</v>
          </cell>
          <cell r="J52">
            <v>0.875</v>
          </cell>
          <cell r="K52">
            <v>7.1666666666666696</v>
          </cell>
          <cell r="L52">
            <v>231.41</v>
          </cell>
          <cell r="O52" t="str">
            <v>Y</v>
          </cell>
          <cell r="P52" t="str">
            <v>N</v>
          </cell>
          <cell r="Q52" t="str">
            <v>Annual Leave</v>
          </cell>
          <cell r="S52">
            <v>0.19</v>
          </cell>
        </row>
        <row r="53">
          <cell r="D53">
            <v>808000247</v>
          </cell>
          <cell r="E53" t="str">
            <v>MELISSA SMITH</v>
          </cell>
          <cell r="F53" t="str">
            <v>D/5 (PS)</v>
          </cell>
          <cell r="G53" t="str">
            <v>009/1642/080911</v>
          </cell>
          <cell r="H53" t="str">
            <v>Pinnacle Staffing</v>
          </cell>
          <cell r="I53">
            <v>0.3125</v>
          </cell>
          <cell r="J53">
            <v>0.64583333333333337</v>
          </cell>
          <cell r="K53">
            <v>7.6666666666666696</v>
          </cell>
          <cell r="L53">
            <v>130.26</v>
          </cell>
          <cell r="O53" t="str">
            <v>Y</v>
          </cell>
          <cell r="P53" t="str">
            <v>N</v>
          </cell>
          <cell r="Q53" t="str">
            <v>Extra Capacity</v>
          </cell>
          <cell r="S53">
            <v>0.2</v>
          </cell>
        </row>
        <row r="54">
          <cell r="D54">
            <v>808006669</v>
          </cell>
          <cell r="E54" t="str">
            <v>NATHI ZULU</v>
          </cell>
          <cell r="F54" t="str">
            <v>D (MD)</v>
          </cell>
          <cell r="G54">
            <v>326575</v>
          </cell>
          <cell r="H54" t="str">
            <v>Mayday</v>
          </cell>
          <cell r="I54">
            <v>0.83333333333333337</v>
          </cell>
          <cell r="J54">
            <v>0.33333333333333331</v>
          </cell>
          <cell r="K54">
            <v>11.3333333333333</v>
          </cell>
          <cell r="L54">
            <v>475.74</v>
          </cell>
          <cell r="O54" t="str">
            <v>Y</v>
          </cell>
          <cell r="P54" t="str">
            <v>N</v>
          </cell>
          <cell r="Q54" t="str">
            <v>Extra Capacity</v>
          </cell>
          <cell r="S54">
            <v>0.3</v>
          </cell>
        </row>
        <row r="55">
          <cell r="D55">
            <v>908000741</v>
          </cell>
          <cell r="E55" t="str">
            <v>OMAR SENGHORE</v>
          </cell>
          <cell r="F55" t="str">
            <v>D (MD)</v>
          </cell>
          <cell r="G55">
            <v>326540</v>
          </cell>
          <cell r="H55" t="str">
            <v>Mayday</v>
          </cell>
          <cell r="I55">
            <v>0.84375</v>
          </cell>
          <cell r="J55">
            <v>0.33333333333333331</v>
          </cell>
          <cell r="K55">
            <v>11.4166666666667</v>
          </cell>
          <cell r="L55">
            <v>479.24</v>
          </cell>
          <cell r="O55" t="str">
            <v>Y</v>
          </cell>
          <cell r="P55" t="str">
            <v>N</v>
          </cell>
          <cell r="Q55" t="str">
            <v>Nurse Moved</v>
          </cell>
          <cell r="S55">
            <v>0.3</v>
          </cell>
        </row>
        <row r="56">
          <cell r="D56">
            <v>708002238</v>
          </cell>
          <cell r="E56" t="str">
            <v>PAT MTHETHWA</v>
          </cell>
          <cell r="F56" t="str">
            <v>D (Ch)</v>
          </cell>
          <cell r="G56">
            <v>16546</v>
          </cell>
          <cell r="H56" t="str">
            <v>Choice</v>
          </cell>
          <cell r="I56">
            <v>0.64583333333333337</v>
          </cell>
          <cell r="J56">
            <v>0.85416666666666663</v>
          </cell>
          <cell r="K56">
            <v>5</v>
          </cell>
          <cell r="L56">
            <v>121.85</v>
          </cell>
          <cell r="O56" t="str">
            <v>Y</v>
          </cell>
          <cell r="P56" t="str">
            <v>N</v>
          </cell>
          <cell r="Q56" t="str">
            <v>Extra Capacity</v>
          </cell>
          <cell r="S56">
            <v>0.13</v>
          </cell>
        </row>
        <row r="57">
          <cell r="D57">
            <v>808006427</v>
          </cell>
          <cell r="E57" t="str">
            <v>PAT MTHETHWA</v>
          </cell>
          <cell r="F57" t="str">
            <v>D (Ch)</v>
          </cell>
          <cell r="G57">
            <v>16546</v>
          </cell>
          <cell r="H57" t="str">
            <v>Choice</v>
          </cell>
          <cell r="I57">
            <v>0.3125</v>
          </cell>
          <cell r="J57">
            <v>0.54166666666666663</v>
          </cell>
          <cell r="K57">
            <v>5.5</v>
          </cell>
          <cell r="L57">
            <v>134.03</v>
          </cell>
          <cell r="O57" t="str">
            <v>Y</v>
          </cell>
          <cell r="P57" t="str">
            <v>N</v>
          </cell>
          <cell r="Q57" t="str">
            <v>Vacancy</v>
          </cell>
          <cell r="S57">
            <v>0.15</v>
          </cell>
        </row>
        <row r="58">
          <cell r="D58">
            <v>708002205</v>
          </cell>
          <cell r="E58" t="str">
            <v>PEGGY CHIRIKURE</v>
          </cell>
          <cell r="F58" t="str">
            <v>D (Ch)</v>
          </cell>
          <cell r="G58">
            <v>16546</v>
          </cell>
          <cell r="H58" t="str">
            <v>Choice</v>
          </cell>
          <cell r="I58">
            <v>0.3125</v>
          </cell>
          <cell r="J58">
            <v>0.625</v>
          </cell>
          <cell r="K58">
            <v>7.1666666666666696</v>
          </cell>
          <cell r="L58">
            <v>174.65</v>
          </cell>
          <cell r="O58" t="str">
            <v>Y</v>
          </cell>
          <cell r="P58" t="str">
            <v>N</v>
          </cell>
          <cell r="Q58" t="str">
            <v>Extra Capacity</v>
          </cell>
          <cell r="S58">
            <v>0.19</v>
          </cell>
        </row>
        <row r="59">
          <cell r="D59">
            <v>808006528</v>
          </cell>
          <cell r="E59" t="str">
            <v>PEGGY CHIRIKURE</v>
          </cell>
          <cell r="F59" t="str">
            <v>D (Ch)</v>
          </cell>
          <cell r="G59">
            <v>16525</v>
          </cell>
          <cell r="H59" t="str">
            <v>Choice</v>
          </cell>
          <cell r="I59">
            <v>0.625</v>
          </cell>
          <cell r="J59">
            <v>0.89583333333333337</v>
          </cell>
          <cell r="K59">
            <v>6</v>
          </cell>
          <cell r="L59">
            <v>146.22</v>
          </cell>
          <cell r="O59" t="str">
            <v>Y</v>
          </cell>
          <cell r="P59" t="str">
            <v>N</v>
          </cell>
          <cell r="Q59" t="str">
            <v>Vacancy</v>
          </cell>
          <cell r="S59">
            <v>0.16</v>
          </cell>
        </row>
        <row r="60">
          <cell r="D60">
            <v>908000613</v>
          </cell>
          <cell r="E60" t="str">
            <v>SAM KELEM</v>
          </cell>
          <cell r="F60" t="str">
            <v>D (Ch)</v>
          </cell>
          <cell r="G60">
            <v>16601</v>
          </cell>
          <cell r="H60" t="str">
            <v>Choice</v>
          </cell>
          <cell r="I60">
            <v>0.84375</v>
          </cell>
          <cell r="J60">
            <v>0.3125</v>
          </cell>
          <cell r="K60">
            <v>10.25</v>
          </cell>
          <cell r="L60">
            <v>324.73</v>
          </cell>
          <cell r="O60" t="str">
            <v>Y</v>
          </cell>
          <cell r="P60" t="str">
            <v>N</v>
          </cell>
          <cell r="Q60" t="str">
            <v>Vacancy</v>
          </cell>
          <cell r="S60">
            <v>0.27</v>
          </cell>
        </row>
        <row r="61">
          <cell r="D61">
            <v>908000005</v>
          </cell>
          <cell r="E61" t="str">
            <v>SARAH MAKOTORE</v>
          </cell>
          <cell r="F61" t="str">
            <v>D (Ch)</v>
          </cell>
          <cell r="G61">
            <v>16528</v>
          </cell>
          <cell r="H61" t="str">
            <v>Choice</v>
          </cell>
          <cell r="I61">
            <v>0.33333333333333331</v>
          </cell>
          <cell r="J61">
            <v>0.58333333333333337</v>
          </cell>
          <cell r="K61">
            <v>5.6666666666666696</v>
          </cell>
          <cell r="L61">
            <v>138.1</v>
          </cell>
          <cell r="O61" t="str">
            <v>Y</v>
          </cell>
          <cell r="P61" t="str">
            <v>N</v>
          </cell>
          <cell r="Q61" t="str">
            <v>Specials</v>
          </cell>
          <cell r="S61">
            <v>0.15</v>
          </cell>
        </row>
        <row r="62">
          <cell r="D62">
            <v>908000008</v>
          </cell>
          <cell r="E62" t="str">
            <v>SARAH MAKOTORE</v>
          </cell>
          <cell r="F62" t="str">
            <v>D (Ch)</v>
          </cell>
          <cell r="G62">
            <v>16528</v>
          </cell>
          <cell r="H62" t="str">
            <v>Choice</v>
          </cell>
          <cell r="I62">
            <v>0.58333333333333337</v>
          </cell>
          <cell r="J62">
            <v>0.83333333333333337</v>
          </cell>
          <cell r="K62">
            <v>5.6666666666666696</v>
          </cell>
          <cell r="L62">
            <v>138.1</v>
          </cell>
          <cell r="O62" t="str">
            <v>Y</v>
          </cell>
          <cell r="P62" t="str">
            <v>N</v>
          </cell>
          <cell r="Q62" t="str">
            <v>Specials</v>
          </cell>
          <cell r="S62">
            <v>0.15</v>
          </cell>
        </row>
        <row r="63">
          <cell r="D63">
            <v>808006527</v>
          </cell>
          <cell r="E63" t="str">
            <v>TAMBU JENA</v>
          </cell>
          <cell r="F63" t="str">
            <v>D (Ch)</v>
          </cell>
          <cell r="G63">
            <v>16525</v>
          </cell>
          <cell r="H63" t="str">
            <v>Choice</v>
          </cell>
          <cell r="I63">
            <v>0.54166666666666663</v>
          </cell>
          <cell r="J63">
            <v>0.89583333333333337</v>
          </cell>
          <cell r="K63">
            <v>8.1666666666666696</v>
          </cell>
          <cell r="L63">
            <v>199.02</v>
          </cell>
          <cell r="O63" t="str">
            <v>Y</v>
          </cell>
          <cell r="P63" t="str">
            <v>N</v>
          </cell>
          <cell r="Q63" t="str">
            <v>Vacancy</v>
          </cell>
          <cell r="S63">
            <v>0.22</v>
          </cell>
        </row>
        <row r="64">
          <cell r="D64">
            <v>808006668</v>
          </cell>
          <cell r="E64" t="str">
            <v>TAMBU JENA</v>
          </cell>
          <cell r="F64" t="str">
            <v>D (Ch)</v>
          </cell>
          <cell r="G64">
            <v>16544</v>
          </cell>
          <cell r="H64" t="str">
            <v>Choice</v>
          </cell>
          <cell r="I64">
            <v>0.30208333333333331</v>
          </cell>
          <cell r="J64">
            <v>0.54166666666666663</v>
          </cell>
          <cell r="K64">
            <v>5.75</v>
          </cell>
          <cell r="L64">
            <v>140.13</v>
          </cell>
          <cell r="O64" t="str">
            <v>Y</v>
          </cell>
          <cell r="P64" t="str">
            <v>N</v>
          </cell>
          <cell r="Q64" t="str">
            <v>Extra Capacity</v>
          </cell>
          <cell r="S64">
            <v>0.15</v>
          </cell>
        </row>
        <row r="65">
          <cell r="D65">
            <v>908000665</v>
          </cell>
          <cell r="E65" t="str">
            <v>TEMBE NGIDI</v>
          </cell>
          <cell r="F65" t="str">
            <v>D (MD)</v>
          </cell>
          <cell r="G65">
            <v>326280</v>
          </cell>
          <cell r="H65" t="str">
            <v>Mayday</v>
          </cell>
          <cell r="I65">
            <v>0.82291666666666663</v>
          </cell>
          <cell r="J65">
            <v>0.33333333333333331</v>
          </cell>
          <cell r="K65">
            <v>11.5833333333333</v>
          </cell>
          <cell r="L65">
            <v>486.23</v>
          </cell>
          <cell r="O65" t="str">
            <v>Y</v>
          </cell>
          <cell r="P65" t="str">
            <v>N</v>
          </cell>
          <cell r="Q65" t="str">
            <v>Extra Capacity</v>
          </cell>
          <cell r="S65">
            <v>0.31</v>
          </cell>
        </row>
        <row r="66">
          <cell r="D66">
            <v>808006039</v>
          </cell>
          <cell r="E66" t="str">
            <v>THEMBE NHOSE</v>
          </cell>
          <cell r="F66" t="str">
            <v>D (MD)</v>
          </cell>
          <cell r="G66">
            <v>326589</v>
          </cell>
          <cell r="H66" t="str">
            <v>Mayday</v>
          </cell>
          <cell r="I66">
            <v>0.8125</v>
          </cell>
          <cell r="J66">
            <v>0.33333333333333331</v>
          </cell>
          <cell r="K66">
            <v>11.5</v>
          </cell>
          <cell r="L66">
            <v>482.74</v>
          </cell>
          <cell r="O66" t="str">
            <v>Y</v>
          </cell>
          <cell r="P66" t="str">
            <v>N</v>
          </cell>
          <cell r="Q66" t="str">
            <v>Vacancy</v>
          </cell>
          <cell r="S66">
            <v>0.31</v>
          </cell>
        </row>
        <row r="67">
          <cell r="D67">
            <v>808004927</v>
          </cell>
          <cell r="E67" t="str">
            <v>VIMLA RAMDHOON</v>
          </cell>
          <cell r="F67" t="str">
            <v>2 Gen (All)</v>
          </cell>
          <cell r="G67" t="str">
            <v>G1428450</v>
          </cell>
          <cell r="H67" t="str">
            <v xml:space="preserve">Allied </v>
          </cell>
          <cell r="I67">
            <v>0.79166666666666663</v>
          </cell>
          <cell r="J67">
            <v>0.3125</v>
          </cell>
          <cell r="K67">
            <v>10.5</v>
          </cell>
          <cell r="L67">
            <v>134.4</v>
          </cell>
          <cell r="O67" t="str">
            <v>Y</v>
          </cell>
          <cell r="P67" t="str">
            <v>N</v>
          </cell>
          <cell r="Q67" t="str">
            <v>Vacancy</v>
          </cell>
          <cell r="S67">
            <v>0.28000000000000003</v>
          </cell>
        </row>
        <row r="68">
          <cell r="D68">
            <v>808002384</v>
          </cell>
          <cell r="E68" t="str">
            <v>ADEOLA SOGBESAN</v>
          </cell>
          <cell r="F68" t="str">
            <v>D (MD)</v>
          </cell>
          <cell r="G68">
            <v>32804</v>
          </cell>
          <cell r="H68" t="str">
            <v>Mayday</v>
          </cell>
          <cell r="I68">
            <v>0.625</v>
          </cell>
          <cell r="J68">
            <v>0.875</v>
          </cell>
          <cell r="K68">
            <v>5.6666666666666696</v>
          </cell>
          <cell r="L68">
            <v>182.98</v>
          </cell>
          <cell r="O68" t="str">
            <v>Y</v>
          </cell>
          <cell r="P68" t="str">
            <v>N</v>
          </cell>
          <cell r="Q68" t="str">
            <v>Vacancy</v>
          </cell>
          <cell r="S68">
            <v>0.15</v>
          </cell>
        </row>
        <row r="69">
          <cell r="D69">
            <v>908000809</v>
          </cell>
          <cell r="E69" t="str">
            <v>ADEOLA SOGBESAN</v>
          </cell>
          <cell r="F69" t="str">
            <v>D (MD)</v>
          </cell>
          <cell r="G69">
            <v>328007</v>
          </cell>
          <cell r="H69" t="str">
            <v>Mayday</v>
          </cell>
          <cell r="I69">
            <v>0.3125</v>
          </cell>
          <cell r="J69">
            <v>0.54166666666666663</v>
          </cell>
          <cell r="K69">
            <v>5.5</v>
          </cell>
          <cell r="L69">
            <v>177.59</v>
          </cell>
          <cell r="O69" t="str">
            <v>Y</v>
          </cell>
          <cell r="P69" t="str">
            <v>N</v>
          </cell>
          <cell r="Q69" t="str">
            <v>Short Term Sick</v>
          </cell>
          <cell r="S69">
            <v>0.15</v>
          </cell>
        </row>
        <row r="70">
          <cell r="D70">
            <v>808002433</v>
          </cell>
          <cell r="E70" t="str">
            <v>ANNA BONNERUP</v>
          </cell>
          <cell r="F70" t="str">
            <v>D / 5 General (</v>
          </cell>
          <cell r="H70" t="str">
            <v>Blue Arrow</v>
          </cell>
          <cell r="I70">
            <v>0.3125</v>
          </cell>
          <cell r="J70">
            <v>0.54166666666666663</v>
          </cell>
          <cell r="K70">
            <v>5.5</v>
          </cell>
          <cell r="L70">
            <v>92.84</v>
          </cell>
          <cell r="O70" t="str">
            <v>Y</v>
          </cell>
          <cell r="P70" t="str">
            <v>N</v>
          </cell>
          <cell r="Q70" t="str">
            <v>Vacancy</v>
          </cell>
          <cell r="S70">
            <v>0.15</v>
          </cell>
        </row>
        <row r="71">
          <cell r="D71">
            <v>808002435</v>
          </cell>
          <cell r="E71" t="str">
            <v>ANNA BONNERUP</v>
          </cell>
          <cell r="F71" t="str">
            <v>D / 5 General (</v>
          </cell>
          <cell r="H71" t="str">
            <v>Blue Arrow</v>
          </cell>
          <cell r="I71">
            <v>0.625</v>
          </cell>
          <cell r="J71">
            <v>0.85416666666666663</v>
          </cell>
          <cell r="K71">
            <v>5.5</v>
          </cell>
          <cell r="L71">
            <v>92.84</v>
          </cell>
          <cell r="O71" t="str">
            <v>Y</v>
          </cell>
          <cell r="P71" t="str">
            <v>N</v>
          </cell>
          <cell r="Q71" t="str">
            <v>Vacancy</v>
          </cell>
          <cell r="S71">
            <v>0.15</v>
          </cell>
        </row>
        <row r="72">
          <cell r="D72">
            <v>908002079</v>
          </cell>
          <cell r="E72" t="str">
            <v>ANTHONY OGOEGBUNAN</v>
          </cell>
          <cell r="F72" t="str">
            <v>D (MD)</v>
          </cell>
          <cell r="G72">
            <v>326522</v>
          </cell>
          <cell r="H72" t="str">
            <v>Mayday</v>
          </cell>
          <cell r="I72">
            <v>0.83333333333333337</v>
          </cell>
          <cell r="J72">
            <v>0.33333333333333331</v>
          </cell>
          <cell r="K72">
            <v>11</v>
          </cell>
          <cell r="L72">
            <v>461.75</v>
          </cell>
          <cell r="O72" t="str">
            <v>Y</v>
          </cell>
          <cell r="P72" t="str">
            <v>N</v>
          </cell>
          <cell r="Q72" t="str">
            <v>Acuity</v>
          </cell>
          <cell r="S72">
            <v>0.28999999999999998</v>
          </cell>
        </row>
        <row r="73">
          <cell r="D73">
            <v>908000705</v>
          </cell>
          <cell r="E73" t="str">
            <v>ATINUKE OKE-OLATUNDE</v>
          </cell>
          <cell r="F73" t="str">
            <v>D (MD)</v>
          </cell>
          <cell r="G73">
            <v>330424</v>
          </cell>
          <cell r="H73" t="str">
            <v>Mayday</v>
          </cell>
          <cell r="I73">
            <v>0.83333333333333337</v>
          </cell>
          <cell r="J73">
            <v>0.33333333333333331</v>
          </cell>
          <cell r="K73">
            <v>11.3333333333333</v>
          </cell>
          <cell r="L73">
            <v>475.74</v>
          </cell>
          <cell r="O73" t="str">
            <v>Y</v>
          </cell>
          <cell r="P73" t="str">
            <v>N</v>
          </cell>
          <cell r="Q73" t="str">
            <v>Extra Capacity</v>
          </cell>
          <cell r="S73">
            <v>0.3</v>
          </cell>
        </row>
        <row r="74">
          <cell r="D74">
            <v>908000755</v>
          </cell>
          <cell r="E74" t="str">
            <v>BEAUTY NGIDI</v>
          </cell>
          <cell r="F74" t="str">
            <v>D (MD)</v>
          </cell>
          <cell r="G74">
            <v>327189</v>
          </cell>
          <cell r="H74" t="str">
            <v>Mayday</v>
          </cell>
          <cell r="I74">
            <v>0.84375</v>
          </cell>
          <cell r="J74">
            <v>0.33333333333333331</v>
          </cell>
          <cell r="K74">
            <v>10.75</v>
          </cell>
          <cell r="L74">
            <v>451.25</v>
          </cell>
          <cell r="O74" t="str">
            <v>Y</v>
          </cell>
          <cell r="P74" t="str">
            <v>N</v>
          </cell>
          <cell r="Q74" t="str">
            <v>Short Term Sick</v>
          </cell>
          <cell r="S74">
            <v>0.28999999999999998</v>
          </cell>
        </row>
        <row r="75">
          <cell r="D75">
            <v>808004994</v>
          </cell>
          <cell r="E75" t="str">
            <v>CHRIS STULAR</v>
          </cell>
          <cell r="F75" t="str">
            <v>D General (Orio</v>
          </cell>
          <cell r="G75" t="str">
            <v>Invsd Smt checked</v>
          </cell>
          <cell r="H75" t="str">
            <v>Orion</v>
          </cell>
          <cell r="I75">
            <v>0.33333333333333331</v>
          </cell>
          <cell r="J75">
            <v>0.75</v>
          </cell>
          <cell r="K75">
            <v>9.5</v>
          </cell>
          <cell r="L75">
            <v>172.14</v>
          </cell>
          <cell r="O75" t="str">
            <v>Y</v>
          </cell>
          <cell r="P75" t="str">
            <v>N</v>
          </cell>
          <cell r="Q75" t="str">
            <v>Vacancy</v>
          </cell>
          <cell r="S75">
            <v>0.25</v>
          </cell>
        </row>
        <row r="76">
          <cell r="D76">
            <v>908000732</v>
          </cell>
          <cell r="E76" t="str">
            <v>CYNTHIA DELMO</v>
          </cell>
          <cell r="F76" t="str">
            <v>D (Ch)</v>
          </cell>
          <cell r="G76">
            <v>16534</v>
          </cell>
          <cell r="H76" t="str">
            <v>Choice</v>
          </cell>
          <cell r="I76">
            <v>0.88541666666666663</v>
          </cell>
          <cell r="J76">
            <v>0.3125</v>
          </cell>
          <cell r="K76">
            <v>9.9166666666666696</v>
          </cell>
          <cell r="L76">
            <v>314.17</v>
          </cell>
          <cell r="O76" t="str">
            <v>Y</v>
          </cell>
          <cell r="P76" t="str">
            <v>N</v>
          </cell>
          <cell r="Q76" t="str">
            <v>Vacancy</v>
          </cell>
          <cell r="S76">
            <v>0.26</v>
          </cell>
        </row>
        <row r="77">
          <cell r="D77">
            <v>708002200</v>
          </cell>
          <cell r="E77" t="str">
            <v>EMMA FLIT-ELY</v>
          </cell>
          <cell r="F77" t="str">
            <v>D (Ch)</v>
          </cell>
          <cell r="G77">
            <v>16546</v>
          </cell>
          <cell r="H77" t="str">
            <v>Choice</v>
          </cell>
          <cell r="I77">
            <v>0.3125</v>
          </cell>
          <cell r="J77">
            <v>0.64583333333333337</v>
          </cell>
          <cell r="K77">
            <v>7.6666666666666696</v>
          </cell>
          <cell r="L77">
            <v>186.84</v>
          </cell>
          <cell r="O77" t="str">
            <v>Y</v>
          </cell>
          <cell r="P77" t="str">
            <v>N</v>
          </cell>
          <cell r="Q77" t="str">
            <v>Extra Capacity</v>
          </cell>
          <cell r="S77">
            <v>0.2</v>
          </cell>
        </row>
        <row r="78">
          <cell r="D78">
            <v>908000280</v>
          </cell>
          <cell r="E78" t="str">
            <v>FATIMA UMARU</v>
          </cell>
          <cell r="F78" t="str">
            <v>D (MD)</v>
          </cell>
          <cell r="G78">
            <v>327211</v>
          </cell>
          <cell r="H78" t="str">
            <v>Mayday</v>
          </cell>
          <cell r="I78">
            <v>0.83333333333333337</v>
          </cell>
          <cell r="J78">
            <v>0.33333333333333331</v>
          </cell>
          <cell r="K78">
            <v>11.3333333333333</v>
          </cell>
          <cell r="L78">
            <v>475.74</v>
          </cell>
          <cell r="O78" t="str">
            <v>Y</v>
          </cell>
          <cell r="P78" t="str">
            <v>N</v>
          </cell>
          <cell r="Q78" t="str">
            <v>Extra Capacity</v>
          </cell>
          <cell r="S78">
            <v>0.3</v>
          </cell>
        </row>
        <row r="79">
          <cell r="D79">
            <v>908002078</v>
          </cell>
          <cell r="E79" t="str">
            <v>JAMES MCCLEMENTS</v>
          </cell>
          <cell r="F79" t="str">
            <v>D (MD)</v>
          </cell>
          <cell r="G79">
            <v>326247</v>
          </cell>
          <cell r="H79" t="str">
            <v>Mayday</v>
          </cell>
          <cell r="I79">
            <v>0.60416666666666663</v>
          </cell>
          <cell r="J79">
            <v>0.77083333333333337</v>
          </cell>
          <cell r="K79">
            <v>4</v>
          </cell>
          <cell r="L79">
            <v>129.16</v>
          </cell>
          <cell r="O79" t="str">
            <v>Y</v>
          </cell>
          <cell r="P79" t="str">
            <v>N</v>
          </cell>
          <cell r="Q79" t="str">
            <v>Acuity</v>
          </cell>
          <cell r="S79">
            <v>0.11</v>
          </cell>
        </row>
        <row r="80">
          <cell r="D80">
            <v>908000004</v>
          </cell>
          <cell r="E80" t="str">
            <v>JANE DUNSMURE</v>
          </cell>
          <cell r="F80" t="str">
            <v>D/5 (PS)</v>
          </cell>
          <cell r="H80" t="str">
            <v>Pinnacle Staffing</v>
          </cell>
          <cell r="I80">
            <v>0.83333333333333337</v>
          </cell>
          <cell r="J80">
            <v>0.33333333333333331</v>
          </cell>
          <cell r="K80">
            <v>11.3333333333333</v>
          </cell>
          <cell r="L80">
            <v>250.32</v>
          </cell>
          <cell r="O80" t="str">
            <v>Y</v>
          </cell>
          <cell r="P80" t="str">
            <v>N</v>
          </cell>
          <cell r="Q80" t="str">
            <v>Specials</v>
          </cell>
          <cell r="S80">
            <v>0.3</v>
          </cell>
        </row>
        <row r="81">
          <cell r="D81">
            <v>908000754</v>
          </cell>
          <cell r="E81" t="str">
            <v>JEAN NGONA</v>
          </cell>
          <cell r="F81" t="str">
            <v>D (MD)</v>
          </cell>
          <cell r="G81">
            <v>327846</v>
          </cell>
          <cell r="H81" t="str">
            <v>Mayday</v>
          </cell>
          <cell r="I81">
            <v>0.625</v>
          </cell>
          <cell r="J81">
            <v>0.89583333333333337</v>
          </cell>
          <cell r="K81">
            <v>6</v>
          </cell>
          <cell r="L81">
            <v>193.74</v>
          </cell>
          <cell r="O81" t="str">
            <v>Y</v>
          </cell>
          <cell r="P81" t="str">
            <v>N</v>
          </cell>
          <cell r="Q81" t="str">
            <v>Short Term Sick</v>
          </cell>
          <cell r="S81">
            <v>0.16</v>
          </cell>
        </row>
        <row r="82">
          <cell r="D82">
            <v>808001060</v>
          </cell>
          <cell r="E82" t="str">
            <v>JOANNE BUSS</v>
          </cell>
          <cell r="F82" t="str">
            <v>D (MD)</v>
          </cell>
          <cell r="G82">
            <v>326254</v>
          </cell>
          <cell r="H82" t="str">
            <v>Mayday</v>
          </cell>
          <cell r="I82">
            <v>0.3125</v>
          </cell>
          <cell r="J82">
            <v>0.5625</v>
          </cell>
          <cell r="K82">
            <v>5.6666666666666696</v>
          </cell>
          <cell r="L82">
            <v>182.98</v>
          </cell>
          <cell r="O82" t="str">
            <v>Y</v>
          </cell>
          <cell r="P82" t="str">
            <v>N</v>
          </cell>
          <cell r="Q82" t="str">
            <v>Annual Leave</v>
          </cell>
          <cell r="S82">
            <v>0.15</v>
          </cell>
        </row>
        <row r="83">
          <cell r="D83">
            <v>908000915</v>
          </cell>
          <cell r="E83" t="str">
            <v>JOHN CONNELY</v>
          </cell>
          <cell r="F83" t="str">
            <v>2 Gen (All)</v>
          </cell>
          <cell r="G83" t="str">
            <v>G1428451</v>
          </cell>
          <cell r="H83" t="str">
            <v xml:space="preserve">Allied </v>
          </cell>
          <cell r="I83">
            <v>0.82291666666666663</v>
          </cell>
          <cell r="J83">
            <v>0.34375</v>
          </cell>
          <cell r="K83">
            <v>11.5</v>
          </cell>
          <cell r="L83">
            <v>147.19999999999999</v>
          </cell>
          <cell r="O83" t="str">
            <v>Y</v>
          </cell>
          <cell r="P83" t="str">
            <v>N</v>
          </cell>
          <cell r="Q83" t="str">
            <v>Specials</v>
          </cell>
          <cell r="S83">
            <v>0.31</v>
          </cell>
        </row>
        <row r="84">
          <cell r="D84">
            <v>908000729</v>
          </cell>
          <cell r="E84" t="str">
            <v>JOY VILLANUEVA</v>
          </cell>
          <cell r="F84" t="str">
            <v>D (MD)</v>
          </cell>
          <cell r="G84">
            <v>326518</v>
          </cell>
          <cell r="H84" t="str">
            <v>Mayday</v>
          </cell>
          <cell r="I84">
            <v>0.3125</v>
          </cell>
          <cell r="J84">
            <v>0.5625</v>
          </cell>
          <cell r="K84">
            <v>5.6666666666666696</v>
          </cell>
          <cell r="L84">
            <v>182.98</v>
          </cell>
          <cell r="O84" t="str">
            <v>Y</v>
          </cell>
          <cell r="P84" t="str">
            <v>N</v>
          </cell>
          <cell r="Q84" t="str">
            <v>Nurse Moved</v>
          </cell>
          <cell r="S84">
            <v>0.15</v>
          </cell>
        </row>
        <row r="85">
          <cell r="D85">
            <v>808004729</v>
          </cell>
          <cell r="E85" t="str">
            <v>KAREN STRUDWICK</v>
          </cell>
          <cell r="F85" t="str">
            <v>D (Ch)</v>
          </cell>
          <cell r="G85">
            <v>16530</v>
          </cell>
          <cell r="H85" t="str">
            <v>Choice</v>
          </cell>
          <cell r="I85">
            <v>0.84375</v>
          </cell>
          <cell r="J85">
            <v>0.3125</v>
          </cell>
          <cell r="K85">
            <v>10.25</v>
          </cell>
          <cell r="L85">
            <v>324.73</v>
          </cell>
          <cell r="O85" t="str">
            <v>Y</v>
          </cell>
          <cell r="P85" t="str">
            <v>N</v>
          </cell>
          <cell r="Q85" t="str">
            <v>Vacancy</v>
          </cell>
          <cell r="S85">
            <v>0.27</v>
          </cell>
        </row>
        <row r="86">
          <cell r="D86">
            <v>808000256</v>
          </cell>
          <cell r="E86" t="str">
            <v>KATIE KEAVENEY</v>
          </cell>
          <cell r="F86" t="str">
            <v>D (MD)</v>
          </cell>
          <cell r="G86">
            <v>326549</v>
          </cell>
          <cell r="H86" t="str">
            <v>Mayday</v>
          </cell>
          <cell r="I86">
            <v>0.52083333333333337</v>
          </cell>
          <cell r="J86">
            <v>0.85416666666666663</v>
          </cell>
          <cell r="K86">
            <v>7.6666666666666696</v>
          </cell>
          <cell r="L86">
            <v>247.56</v>
          </cell>
          <cell r="O86" t="str">
            <v>Y</v>
          </cell>
          <cell r="P86" t="str">
            <v>N</v>
          </cell>
          <cell r="Q86" t="str">
            <v>Extra Capacity</v>
          </cell>
          <cell r="S86">
            <v>0.2</v>
          </cell>
        </row>
        <row r="87">
          <cell r="D87">
            <v>908000851</v>
          </cell>
          <cell r="E87" t="str">
            <v>KERRI GALLOWAY</v>
          </cell>
          <cell r="F87" t="str">
            <v>D (MD)</v>
          </cell>
          <cell r="G87">
            <v>326264</v>
          </cell>
          <cell r="H87" t="str">
            <v>Mayday</v>
          </cell>
          <cell r="I87">
            <v>0.625</v>
          </cell>
          <cell r="J87">
            <v>0.83333333333333337</v>
          </cell>
          <cell r="K87">
            <v>5</v>
          </cell>
          <cell r="L87">
            <v>161.44999999999999</v>
          </cell>
          <cell r="O87" t="str">
            <v>Y</v>
          </cell>
          <cell r="P87" t="str">
            <v>N</v>
          </cell>
          <cell r="Q87" t="str">
            <v>Nurse Moved</v>
          </cell>
          <cell r="S87">
            <v>0.13</v>
          </cell>
        </row>
        <row r="88">
          <cell r="D88">
            <v>808000239</v>
          </cell>
          <cell r="E88" t="str">
            <v>MELISSA SMITH</v>
          </cell>
          <cell r="F88" t="str">
            <v>D/5 (PS)</v>
          </cell>
          <cell r="G88" t="str">
            <v>009/1642/080911</v>
          </cell>
          <cell r="H88" t="str">
            <v>Pinnacle Staffing</v>
          </cell>
          <cell r="I88">
            <v>0.3125</v>
          </cell>
          <cell r="J88">
            <v>0.64583333333333337</v>
          </cell>
          <cell r="K88">
            <v>7.6666666666666696</v>
          </cell>
          <cell r="L88">
            <v>130.26</v>
          </cell>
          <cell r="O88" t="str">
            <v>Y</v>
          </cell>
          <cell r="P88" t="str">
            <v>N</v>
          </cell>
          <cell r="Q88" t="str">
            <v>Extra Capacity</v>
          </cell>
          <cell r="S88">
            <v>0.2</v>
          </cell>
        </row>
        <row r="89">
          <cell r="D89">
            <v>908000288</v>
          </cell>
          <cell r="E89" t="str">
            <v>NATHI ZULU</v>
          </cell>
          <cell r="F89" t="str">
            <v>D (MD)</v>
          </cell>
          <cell r="G89">
            <v>326574</v>
          </cell>
          <cell r="H89" t="str">
            <v>Mayday</v>
          </cell>
          <cell r="I89">
            <v>0.83333333333333337</v>
          </cell>
          <cell r="J89">
            <v>0.33333333333333331</v>
          </cell>
          <cell r="K89">
            <v>11.3333333333333</v>
          </cell>
          <cell r="L89">
            <v>475.74</v>
          </cell>
          <cell r="O89" t="str">
            <v>Y</v>
          </cell>
          <cell r="P89" t="str">
            <v>N</v>
          </cell>
          <cell r="Q89" t="str">
            <v>Extra Capacity</v>
          </cell>
          <cell r="S89">
            <v>0.3</v>
          </cell>
        </row>
        <row r="90">
          <cell r="D90">
            <v>708002206</v>
          </cell>
          <cell r="E90" t="str">
            <v>PAT MTHETHWA</v>
          </cell>
          <cell r="F90" t="str">
            <v>D (Ch)</v>
          </cell>
          <cell r="G90">
            <v>16546</v>
          </cell>
          <cell r="H90" t="str">
            <v>Choice</v>
          </cell>
          <cell r="I90">
            <v>0.3125</v>
          </cell>
          <cell r="J90">
            <v>0.64583333333333337</v>
          </cell>
          <cell r="K90">
            <v>7.6666666666666696</v>
          </cell>
          <cell r="L90">
            <v>186.84</v>
          </cell>
          <cell r="O90" t="str">
            <v>Y</v>
          </cell>
          <cell r="P90" t="str">
            <v>N</v>
          </cell>
          <cell r="Q90" t="str">
            <v>Extra Capacity</v>
          </cell>
          <cell r="S90">
            <v>0.2</v>
          </cell>
        </row>
        <row r="91">
          <cell r="D91">
            <v>708002239</v>
          </cell>
          <cell r="E91" t="str">
            <v>PAT MTHETHWA</v>
          </cell>
          <cell r="F91" t="str">
            <v>D (Ch)</v>
          </cell>
          <cell r="G91">
            <v>16546</v>
          </cell>
          <cell r="H91" t="str">
            <v>Choice</v>
          </cell>
          <cell r="I91">
            <v>0.64583333333333337</v>
          </cell>
          <cell r="J91">
            <v>0.85416666666666663</v>
          </cell>
          <cell r="K91">
            <v>5</v>
          </cell>
          <cell r="L91">
            <v>121.85</v>
          </cell>
          <cell r="O91" t="str">
            <v>Y</v>
          </cell>
          <cell r="P91" t="str">
            <v>N</v>
          </cell>
          <cell r="Q91" t="str">
            <v>Extra Capacity</v>
          </cell>
          <cell r="S91">
            <v>0.13</v>
          </cell>
        </row>
        <row r="92">
          <cell r="D92">
            <v>808003244</v>
          </cell>
          <cell r="E92" t="str">
            <v>PEGGY CHIRIKURE</v>
          </cell>
          <cell r="F92" t="str">
            <v>D (Ch)</v>
          </cell>
          <cell r="G92">
            <v>16537</v>
          </cell>
          <cell r="H92" t="str">
            <v>Choice</v>
          </cell>
          <cell r="I92">
            <v>0.29166666666666669</v>
          </cell>
          <cell r="J92">
            <v>0.54166666666666663</v>
          </cell>
          <cell r="K92">
            <v>5.75</v>
          </cell>
          <cell r="L92">
            <v>140.13</v>
          </cell>
          <cell r="O92" t="str">
            <v>Y</v>
          </cell>
          <cell r="P92" t="str">
            <v>N</v>
          </cell>
          <cell r="Q92" t="str">
            <v>Study Leave</v>
          </cell>
          <cell r="S92">
            <v>0.15</v>
          </cell>
        </row>
        <row r="93">
          <cell r="D93">
            <v>808003245</v>
          </cell>
          <cell r="E93" t="str">
            <v>PEGGY CHIRIKURE</v>
          </cell>
          <cell r="F93" t="str">
            <v>D (Ch)</v>
          </cell>
          <cell r="G93">
            <v>16537</v>
          </cell>
          <cell r="H93" t="str">
            <v>Choice</v>
          </cell>
          <cell r="I93">
            <v>0.625</v>
          </cell>
          <cell r="J93">
            <v>0.875</v>
          </cell>
          <cell r="K93">
            <v>5.75</v>
          </cell>
          <cell r="L93">
            <v>140.13</v>
          </cell>
          <cell r="O93" t="str">
            <v>Y</v>
          </cell>
          <cell r="P93" t="str">
            <v>N</v>
          </cell>
          <cell r="Q93" t="str">
            <v>Maternity Leave</v>
          </cell>
          <cell r="S93">
            <v>0.15</v>
          </cell>
        </row>
        <row r="94">
          <cell r="D94">
            <v>708002191</v>
          </cell>
          <cell r="E94" t="str">
            <v>PEGGY MAPOGO</v>
          </cell>
          <cell r="F94" t="str">
            <v>D (Ch)</v>
          </cell>
          <cell r="G94">
            <v>16546</v>
          </cell>
          <cell r="H94" t="str">
            <v>Choice</v>
          </cell>
          <cell r="I94">
            <v>0.3125</v>
          </cell>
          <cell r="J94">
            <v>0.64583333333333337</v>
          </cell>
          <cell r="K94">
            <v>7.6666666666666696</v>
          </cell>
          <cell r="L94">
            <v>186.84</v>
          </cell>
          <cell r="O94" t="str">
            <v>Y</v>
          </cell>
          <cell r="P94" t="str">
            <v>N</v>
          </cell>
          <cell r="Q94" t="str">
            <v>Extra Capacity</v>
          </cell>
          <cell r="S94">
            <v>0.2</v>
          </cell>
        </row>
        <row r="95">
          <cell r="D95">
            <v>708002232</v>
          </cell>
          <cell r="E95" t="str">
            <v>PEGGY MAPOGO</v>
          </cell>
          <cell r="F95" t="str">
            <v>D (Ch)</v>
          </cell>
          <cell r="G95">
            <v>16546</v>
          </cell>
          <cell r="H95" t="str">
            <v>Choice</v>
          </cell>
          <cell r="I95">
            <v>0.64583333333333337</v>
          </cell>
          <cell r="J95">
            <v>0.85416666666666663</v>
          </cell>
          <cell r="K95">
            <v>5</v>
          </cell>
          <cell r="L95">
            <v>121.85</v>
          </cell>
          <cell r="O95" t="str">
            <v>Y</v>
          </cell>
          <cell r="P95" t="str">
            <v>N</v>
          </cell>
          <cell r="Q95" t="str">
            <v>Extra Capacity</v>
          </cell>
          <cell r="S95">
            <v>0.13</v>
          </cell>
        </row>
        <row r="96">
          <cell r="D96">
            <v>908000805</v>
          </cell>
          <cell r="E96" t="str">
            <v>ROHEYATOU NDOW-NJIE</v>
          </cell>
          <cell r="F96" t="str">
            <v>D (Ch)</v>
          </cell>
          <cell r="G96">
            <v>16606</v>
          </cell>
          <cell r="H96" t="str">
            <v>Choice</v>
          </cell>
          <cell r="I96">
            <v>0.79166666666666663</v>
          </cell>
          <cell r="J96">
            <v>0.3125</v>
          </cell>
          <cell r="K96">
            <v>10.5</v>
          </cell>
          <cell r="L96">
            <v>332.65</v>
          </cell>
          <cell r="O96" t="str">
            <v>Y</v>
          </cell>
          <cell r="P96" t="str">
            <v>N</v>
          </cell>
          <cell r="Q96" t="str">
            <v>Short Term Sick</v>
          </cell>
          <cell r="S96">
            <v>0.28000000000000003</v>
          </cell>
        </row>
        <row r="97">
          <cell r="D97">
            <v>908000740</v>
          </cell>
          <cell r="E97" t="str">
            <v>SAM KELEM</v>
          </cell>
          <cell r="F97" t="str">
            <v>D (Ch)</v>
          </cell>
          <cell r="G97">
            <v>16594</v>
          </cell>
          <cell r="H97" t="str">
            <v>Choice</v>
          </cell>
          <cell r="I97">
            <v>0.83333333333333337</v>
          </cell>
          <cell r="J97">
            <v>0.33333333333333331</v>
          </cell>
          <cell r="K97">
            <v>11.3333333333333</v>
          </cell>
          <cell r="L97">
            <v>359.05</v>
          </cell>
          <cell r="O97" t="str">
            <v>Y</v>
          </cell>
          <cell r="P97" t="str">
            <v>N</v>
          </cell>
          <cell r="Q97" t="str">
            <v>Vacancy</v>
          </cell>
          <cell r="S97">
            <v>0.3</v>
          </cell>
        </row>
        <row r="98">
          <cell r="D98">
            <v>908000006</v>
          </cell>
          <cell r="E98" t="str">
            <v>SARAH MAKOTORE</v>
          </cell>
          <cell r="F98" t="str">
            <v>D (Ch)</v>
          </cell>
          <cell r="G98">
            <v>16528</v>
          </cell>
          <cell r="H98" t="str">
            <v>Choice</v>
          </cell>
          <cell r="I98">
            <v>0.33333333333333331</v>
          </cell>
          <cell r="J98">
            <v>0.58333333333333337</v>
          </cell>
          <cell r="K98">
            <v>5.6666666666666696</v>
          </cell>
          <cell r="L98">
            <v>138.1</v>
          </cell>
          <cell r="O98" t="str">
            <v>Y</v>
          </cell>
          <cell r="P98" t="str">
            <v>N</v>
          </cell>
          <cell r="Q98" t="str">
            <v>Specials</v>
          </cell>
          <cell r="S98">
            <v>0.15</v>
          </cell>
        </row>
        <row r="99">
          <cell r="D99">
            <v>908000009</v>
          </cell>
          <cell r="E99" t="str">
            <v>SARAH MAKOTORE</v>
          </cell>
          <cell r="F99" t="str">
            <v>D (Ch)</v>
          </cell>
          <cell r="G99">
            <v>16528</v>
          </cell>
          <cell r="H99" t="str">
            <v>Choice</v>
          </cell>
          <cell r="I99">
            <v>0.58333333333333337</v>
          </cell>
          <cell r="J99">
            <v>0.83333333333333337</v>
          </cell>
          <cell r="K99">
            <v>5.6666666666666696</v>
          </cell>
          <cell r="L99">
            <v>138.1</v>
          </cell>
          <cell r="O99" t="str">
            <v>Y</v>
          </cell>
          <cell r="P99" t="str">
            <v>N</v>
          </cell>
          <cell r="Q99" t="str">
            <v>Specials</v>
          </cell>
          <cell r="S99">
            <v>0.15</v>
          </cell>
        </row>
        <row r="100">
          <cell r="D100">
            <v>708002193</v>
          </cell>
          <cell r="E100" t="str">
            <v>TERRY WICKS</v>
          </cell>
          <cell r="F100" t="str">
            <v>D (Ch)</v>
          </cell>
          <cell r="H100" t="str">
            <v>Choice</v>
          </cell>
          <cell r="I100">
            <v>0.3125</v>
          </cell>
          <cell r="J100">
            <v>0.64583333333333337</v>
          </cell>
          <cell r="K100">
            <v>7.6666666666666696</v>
          </cell>
          <cell r="L100">
            <v>186.84</v>
          </cell>
          <cell r="O100" t="str">
            <v>Y</v>
          </cell>
          <cell r="P100" t="str">
            <v>N</v>
          </cell>
          <cell r="Q100" t="str">
            <v>Extra Capacity</v>
          </cell>
          <cell r="S100">
            <v>0.2</v>
          </cell>
        </row>
        <row r="101">
          <cell r="D101">
            <v>808002439</v>
          </cell>
          <cell r="E101" t="str">
            <v>ANNA BONNERUP</v>
          </cell>
          <cell r="F101" t="str">
            <v>D / 5 General (</v>
          </cell>
          <cell r="H101" t="str">
            <v>Blue Arrow</v>
          </cell>
          <cell r="I101">
            <v>0.3125</v>
          </cell>
          <cell r="J101">
            <v>0.54166666666666663</v>
          </cell>
          <cell r="K101">
            <v>5.5</v>
          </cell>
          <cell r="L101">
            <v>92.84</v>
          </cell>
          <cell r="O101" t="str">
            <v>Y</v>
          </cell>
          <cell r="P101" t="str">
            <v>N</v>
          </cell>
          <cell r="Q101" t="str">
            <v>Vacancy</v>
          </cell>
          <cell r="S101">
            <v>0.15</v>
          </cell>
        </row>
        <row r="102">
          <cell r="D102">
            <v>808002441</v>
          </cell>
          <cell r="E102" t="str">
            <v>ANNA BONNERUP</v>
          </cell>
          <cell r="F102" t="str">
            <v>D / 5 General (</v>
          </cell>
          <cell r="H102" t="str">
            <v>Blue Arrow</v>
          </cell>
          <cell r="I102">
            <v>0.625</v>
          </cell>
          <cell r="J102">
            <v>0.85416666666666663</v>
          </cell>
          <cell r="K102">
            <v>5.5</v>
          </cell>
          <cell r="L102">
            <v>92.84</v>
          </cell>
          <cell r="O102" t="str">
            <v>Y</v>
          </cell>
          <cell r="P102" t="str">
            <v>N</v>
          </cell>
          <cell r="Q102" t="str">
            <v>Vacancy</v>
          </cell>
          <cell r="S102">
            <v>0.15</v>
          </cell>
        </row>
        <row r="103">
          <cell r="D103">
            <v>808004734</v>
          </cell>
          <cell r="E103" t="str">
            <v>ATINUKE OKE-OLATUNDE</v>
          </cell>
          <cell r="F103" t="str">
            <v>D (MD)</v>
          </cell>
          <cell r="G103">
            <v>330427</v>
          </cell>
          <cell r="H103" t="str">
            <v>Mayday</v>
          </cell>
          <cell r="I103">
            <v>0.84375</v>
          </cell>
          <cell r="J103">
            <v>0.3125</v>
          </cell>
          <cell r="K103">
            <v>10.25</v>
          </cell>
          <cell r="L103">
            <v>430.26</v>
          </cell>
          <cell r="O103" t="str">
            <v>Y</v>
          </cell>
          <cell r="P103" t="str">
            <v>N</v>
          </cell>
          <cell r="Q103" t="str">
            <v>Vacancy</v>
          </cell>
          <cell r="S103">
            <v>0.27</v>
          </cell>
        </row>
        <row r="104">
          <cell r="D104">
            <v>708002201</v>
          </cell>
          <cell r="E104" t="str">
            <v>BERNADETTE SHINYA-NDUNUWANI</v>
          </cell>
          <cell r="F104" t="str">
            <v>D (MD)</v>
          </cell>
          <cell r="G104">
            <v>327205</v>
          </cell>
          <cell r="H104" t="str">
            <v>Mayday</v>
          </cell>
          <cell r="I104">
            <v>0.3125</v>
          </cell>
          <cell r="J104">
            <v>0.64583333333333337</v>
          </cell>
          <cell r="K104">
            <v>7.6666666666666696</v>
          </cell>
          <cell r="L104">
            <v>247.56</v>
          </cell>
          <cell r="O104" t="str">
            <v>Y</v>
          </cell>
          <cell r="P104" t="str">
            <v>N</v>
          </cell>
          <cell r="Q104" t="str">
            <v>Extra Capacity</v>
          </cell>
          <cell r="S104">
            <v>0.2</v>
          </cell>
        </row>
        <row r="105">
          <cell r="D105">
            <v>708002240</v>
          </cell>
          <cell r="E105" t="str">
            <v>BERNADETTE SHINYA-NDUNUWANI</v>
          </cell>
          <cell r="F105" t="str">
            <v>D (MD)</v>
          </cell>
          <cell r="G105">
            <v>327205</v>
          </cell>
          <cell r="H105" t="str">
            <v>Mayday</v>
          </cell>
          <cell r="I105">
            <v>0.64583333333333337</v>
          </cell>
          <cell r="J105">
            <v>0.85416666666666663</v>
          </cell>
          <cell r="K105">
            <v>5</v>
          </cell>
          <cell r="L105">
            <v>161.44999999999999</v>
          </cell>
          <cell r="O105" t="str">
            <v>Y</v>
          </cell>
          <cell r="P105" t="str">
            <v>N</v>
          </cell>
          <cell r="Q105" t="str">
            <v>Extra Capacity</v>
          </cell>
          <cell r="S105">
            <v>0.13</v>
          </cell>
        </row>
        <row r="106">
          <cell r="D106">
            <v>808004934</v>
          </cell>
          <cell r="E106" t="str">
            <v>BRIGHTNESS NDEBELE</v>
          </cell>
          <cell r="F106" t="str">
            <v>D (MD)</v>
          </cell>
          <cell r="G106">
            <v>327198</v>
          </cell>
          <cell r="H106" t="str">
            <v>Mayday</v>
          </cell>
          <cell r="I106">
            <v>0.3125</v>
          </cell>
          <cell r="J106">
            <v>0.5625</v>
          </cell>
          <cell r="K106">
            <v>5.6666666666666696</v>
          </cell>
          <cell r="L106">
            <v>182.98</v>
          </cell>
          <cell r="O106" t="str">
            <v>Y</v>
          </cell>
          <cell r="P106" t="str">
            <v>N</v>
          </cell>
          <cell r="Q106" t="str">
            <v>Vacancy</v>
          </cell>
          <cell r="S106">
            <v>0.15</v>
          </cell>
        </row>
        <row r="107">
          <cell r="D107">
            <v>808003102</v>
          </cell>
          <cell r="E107" t="str">
            <v>CHARLOTTE TAYLOR</v>
          </cell>
          <cell r="F107" t="str">
            <v>D/5 (PS)</v>
          </cell>
          <cell r="G107" t="str">
            <v>009/1642/080918</v>
          </cell>
          <cell r="J107">
            <v>0.34375</v>
          </cell>
          <cell r="K107">
            <v>11.5</v>
          </cell>
          <cell r="L107">
            <v>254</v>
          </cell>
          <cell r="O107" t="str">
            <v>Y</v>
          </cell>
          <cell r="P107" t="str">
            <v>N</v>
          </cell>
          <cell r="Q107" t="str">
            <v>Vacancy</v>
          </cell>
          <cell r="S107">
            <v>0.31</v>
          </cell>
        </row>
        <row r="108">
          <cell r="D108">
            <v>808004995</v>
          </cell>
          <cell r="E108" t="str">
            <v>CHRIS STULAR</v>
          </cell>
          <cell r="F108" t="str">
            <v>D General (Orio</v>
          </cell>
          <cell r="G108" t="str">
            <v>Invsd Smt checked</v>
          </cell>
          <cell r="H108" t="str">
            <v>Orion</v>
          </cell>
          <cell r="I108">
            <v>0.33333333333333331</v>
          </cell>
          <cell r="J108">
            <v>0.75</v>
          </cell>
          <cell r="K108">
            <v>9.5</v>
          </cell>
          <cell r="L108">
            <v>172.14</v>
          </cell>
          <cell r="O108" t="str">
            <v>Y</v>
          </cell>
          <cell r="P108" t="str">
            <v>N</v>
          </cell>
          <cell r="Q108" t="str">
            <v>Vacancy</v>
          </cell>
          <cell r="S108">
            <v>0.25</v>
          </cell>
        </row>
        <row r="109">
          <cell r="D109">
            <v>808001067</v>
          </cell>
          <cell r="E109" t="str">
            <v>DIGRACIA  NAPE</v>
          </cell>
          <cell r="F109" t="str">
            <v>D (MD)</v>
          </cell>
          <cell r="G109">
            <v>326270</v>
          </cell>
          <cell r="H109" t="str">
            <v>Mayday</v>
          </cell>
          <cell r="I109">
            <v>0.625</v>
          </cell>
          <cell r="J109">
            <v>0.875</v>
          </cell>
          <cell r="K109">
            <v>5.6666666666666696</v>
          </cell>
          <cell r="L109">
            <v>182.98</v>
          </cell>
          <cell r="O109" t="str">
            <v>Y</v>
          </cell>
          <cell r="P109" t="str">
            <v>N</v>
          </cell>
          <cell r="Q109" t="str">
            <v>Annual Leave</v>
          </cell>
          <cell r="S109">
            <v>0.15</v>
          </cell>
        </row>
        <row r="110">
          <cell r="D110">
            <v>908000841</v>
          </cell>
          <cell r="E110" t="str">
            <v>EMMA FLIT-ELY</v>
          </cell>
          <cell r="F110" t="str">
            <v>D (Ch)</v>
          </cell>
          <cell r="G110">
            <v>16538</v>
          </cell>
          <cell r="H110" t="str">
            <v>Choice</v>
          </cell>
          <cell r="I110">
            <v>0.3125</v>
          </cell>
          <cell r="J110">
            <v>0.60416666666666663</v>
          </cell>
          <cell r="K110">
            <v>6.6666666666666696</v>
          </cell>
          <cell r="L110">
            <v>162.47</v>
          </cell>
          <cell r="O110" t="str">
            <v>Y</v>
          </cell>
          <cell r="P110" t="str">
            <v>N</v>
          </cell>
          <cell r="Q110" t="str">
            <v>Short Term Sick</v>
          </cell>
          <cell r="S110">
            <v>0.18</v>
          </cell>
        </row>
        <row r="111">
          <cell r="D111">
            <v>908000284</v>
          </cell>
          <cell r="E111" t="str">
            <v>FATIMA UMARU</v>
          </cell>
          <cell r="F111" t="str">
            <v>D (MD)</v>
          </cell>
          <cell r="G111">
            <v>327209</v>
          </cell>
          <cell r="H111" t="str">
            <v>Mayday</v>
          </cell>
          <cell r="I111">
            <v>0.83333333333333337</v>
          </cell>
          <cell r="J111">
            <v>0.33333333333333331</v>
          </cell>
          <cell r="K111">
            <v>11.3333333333333</v>
          </cell>
          <cell r="L111">
            <v>475.74</v>
          </cell>
          <cell r="O111" t="str">
            <v>Y</v>
          </cell>
          <cell r="P111" t="str">
            <v>N</v>
          </cell>
          <cell r="Q111" t="str">
            <v>Extra Capacity</v>
          </cell>
          <cell r="S111">
            <v>0.3</v>
          </cell>
        </row>
        <row r="112">
          <cell r="D112">
            <v>908000842</v>
          </cell>
          <cell r="E112" t="str">
            <v>GRACE CHIKWAVA</v>
          </cell>
          <cell r="F112" t="str">
            <v>D (Ch)</v>
          </cell>
          <cell r="G112">
            <v>16538</v>
          </cell>
          <cell r="H112" t="str">
            <v>Choice</v>
          </cell>
          <cell r="I112">
            <v>0.60416666666666663</v>
          </cell>
          <cell r="J112">
            <v>0.85416666666666663</v>
          </cell>
          <cell r="K112">
            <v>5.6666666666666696</v>
          </cell>
          <cell r="L112">
            <v>138.1</v>
          </cell>
          <cell r="O112" t="str">
            <v>Y</v>
          </cell>
          <cell r="P112" t="str">
            <v>N</v>
          </cell>
          <cell r="Q112" t="str">
            <v>Short Term Sick</v>
          </cell>
          <cell r="S112">
            <v>0.15</v>
          </cell>
        </row>
        <row r="113">
          <cell r="D113">
            <v>908001178</v>
          </cell>
          <cell r="E113" t="str">
            <v>HOPE NYAMAYEDENGA</v>
          </cell>
          <cell r="F113" t="str">
            <v>A (Ch)</v>
          </cell>
          <cell r="G113">
            <v>16536</v>
          </cell>
          <cell r="H113" t="str">
            <v>Choice</v>
          </cell>
          <cell r="I113">
            <v>0.82291666666666663</v>
          </cell>
          <cell r="J113">
            <v>0.36458333333333331</v>
          </cell>
          <cell r="K113">
            <v>12.3333333333333</v>
          </cell>
          <cell r="L113">
            <v>182.37</v>
          </cell>
          <cell r="O113" t="str">
            <v>Y</v>
          </cell>
          <cell r="P113" t="str">
            <v>N</v>
          </cell>
          <cell r="Q113" t="str">
            <v>Short Term Sick</v>
          </cell>
          <cell r="S113">
            <v>0.33</v>
          </cell>
        </row>
        <row r="114">
          <cell r="D114">
            <v>908000753</v>
          </cell>
          <cell r="E114" t="str">
            <v>JAMES MCCLEMENTS</v>
          </cell>
          <cell r="F114" t="str">
            <v>D (MD)</v>
          </cell>
          <cell r="G114">
            <v>326246</v>
          </cell>
          <cell r="H114" t="str">
            <v>Mayday</v>
          </cell>
          <cell r="I114">
            <v>0.3125</v>
          </cell>
          <cell r="J114">
            <v>0.85416666666666663</v>
          </cell>
          <cell r="K114">
            <v>12.3333333333333</v>
          </cell>
          <cell r="L114">
            <v>398.24</v>
          </cell>
          <cell r="O114" t="str">
            <v>Y</v>
          </cell>
          <cell r="P114" t="str">
            <v>N</v>
          </cell>
          <cell r="Q114" t="str">
            <v>Acuity</v>
          </cell>
          <cell r="S114">
            <v>0.33</v>
          </cell>
        </row>
        <row r="115">
          <cell r="D115">
            <v>908001407</v>
          </cell>
          <cell r="E115" t="str">
            <v>JASMINE ESGUERRA</v>
          </cell>
          <cell r="F115" t="str">
            <v>D (Ch)</v>
          </cell>
          <cell r="G115">
            <v>16539</v>
          </cell>
          <cell r="H115" t="str">
            <v>Choice</v>
          </cell>
          <cell r="I115">
            <v>0.89583333333333337</v>
          </cell>
          <cell r="J115">
            <v>0.30208333333333331</v>
          </cell>
          <cell r="K115">
            <v>9.4166666666666696</v>
          </cell>
          <cell r="L115">
            <v>298.33</v>
          </cell>
          <cell r="O115" t="str">
            <v>Y</v>
          </cell>
          <cell r="P115" t="str">
            <v>N</v>
          </cell>
          <cell r="Q115" t="str">
            <v>Short Term Sick</v>
          </cell>
          <cell r="S115">
            <v>0.25</v>
          </cell>
        </row>
        <row r="116">
          <cell r="D116">
            <v>908001383</v>
          </cell>
          <cell r="E116" t="str">
            <v>JOANNE BUSS</v>
          </cell>
          <cell r="F116" t="str">
            <v>D (MD)</v>
          </cell>
          <cell r="G116">
            <v>330418</v>
          </cell>
          <cell r="H116" t="str">
            <v>Mayday</v>
          </cell>
          <cell r="I116">
            <v>0.3125</v>
          </cell>
          <cell r="J116">
            <v>0.64583333333333337</v>
          </cell>
          <cell r="K116">
            <v>7.5</v>
          </cell>
          <cell r="L116">
            <v>242.17</v>
          </cell>
          <cell r="O116" t="str">
            <v>Y</v>
          </cell>
          <cell r="P116" t="str">
            <v>N</v>
          </cell>
          <cell r="Q116" t="str">
            <v>On-Call</v>
          </cell>
          <cell r="S116">
            <v>0.2</v>
          </cell>
        </row>
        <row r="117">
          <cell r="D117">
            <v>808000240</v>
          </cell>
          <cell r="E117" t="str">
            <v>LEONA CONTRERAS</v>
          </cell>
          <cell r="F117" t="str">
            <v>D (MD)</v>
          </cell>
          <cell r="G117">
            <v>326558</v>
          </cell>
          <cell r="H117" t="str">
            <v>Mayday</v>
          </cell>
          <cell r="I117">
            <v>0.3125</v>
          </cell>
          <cell r="J117">
            <v>0.64583333333333337</v>
          </cell>
          <cell r="K117">
            <v>7.6666666666666696</v>
          </cell>
          <cell r="L117">
            <v>247.56</v>
          </cell>
          <cell r="O117" t="str">
            <v>Y</v>
          </cell>
          <cell r="P117" t="str">
            <v>N</v>
          </cell>
          <cell r="Q117" t="str">
            <v>Extra Capacity</v>
          </cell>
          <cell r="S117">
            <v>0.2</v>
          </cell>
        </row>
        <row r="118">
          <cell r="D118">
            <v>808000235</v>
          </cell>
          <cell r="E118" t="str">
            <v>MELISSA SMITH</v>
          </cell>
          <cell r="F118" t="str">
            <v>D/5 (PS)</v>
          </cell>
          <cell r="G118" t="str">
            <v>009/1642/080911</v>
          </cell>
          <cell r="H118" t="str">
            <v>Pinnacle Staffing</v>
          </cell>
          <cell r="I118">
            <v>0.3125</v>
          </cell>
          <cell r="J118">
            <v>0.64583333333333337</v>
          </cell>
          <cell r="K118">
            <v>7.6666666666666696</v>
          </cell>
          <cell r="L118">
            <v>130.26</v>
          </cell>
          <cell r="O118" t="str">
            <v>Y</v>
          </cell>
          <cell r="P118" t="str">
            <v>N</v>
          </cell>
          <cell r="Q118" t="str">
            <v>Extra Capacity</v>
          </cell>
          <cell r="S118">
            <v>0.2</v>
          </cell>
        </row>
        <row r="119">
          <cell r="D119">
            <v>908000281</v>
          </cell>
          <cell r="E119" t="str">
            <v>NATHI ZULU</v>
          </cell>
          <cell r="F119" t="str">
            <v>D (MD)</v>
          </cell>
          <cell r="G119">
            <v>326572</v>
          </cell>
          <cell r="H119" t="str">
            <v>Mayday</v>
          </cell>
          <cell r="I119">
            <v>0.83333333333333337</v>
          </cell>
          <cell r="J119">
            <v>0.33333333333333331</v>
          </cell>
          <cell r="K119">
            <v>11.3333333333333</v>
          </cell>
          <cell r="L119">
            <v>475.74</v>
          </cell>
          <cell r="O119" t="str">
            <v>Y</v>
          </cell>
          <cell r="P119" t="str">
            <v>N</v>
          </cell>
          <cell r="Q119" t="str">
            <v>Extra Capacity</v>
          </cell>
          <cell r="S119">
            <v>0.3</v>
          </cell>
        </row>
        <row r="120">
          <cell r="D120">
            <v>708002385</v>
          </cell>
          <cell r="E120" t="str">
            <v>NILO DANUGO</v>
          </cell>
          <cell r="F120" t="str">
            <v>D (Ch)</v>
          </cell>
          <cell r="G120">
            <v>16546</v>
          </cell>
          <cell r="H120" t="str">
            <v>Choice</v>
          </cell>
          <cell r="I120">
            <v>0.83333333333333337</v>
          </cell>
          <cell r="J120">
            <v>0.33333333333333331</v>
          </cell>
          <cell r="K120">
            <v>11.3333333333333</v>
          </cell>
          <cell r="L120">
            <v>359.05</v>
          </cell>
          <cell r="O120" t="str">
            <v>Y</v>
          </cell>
          <cell r="P120" t="str">
            <v>N</v>
          </cell>
          <cell r="Q120" t="str">
            <v>Extra Capacity</v>
          </cell>
          <cell r="S120">
            <v>0.3</v>
          </cell>
        </row>
        <row r="121">
          <cell r="D121">
            <v>808002402</v>
          </cell>
          <cell r="E121" t="str">
            <v>PAT DUBE</v>
          </cell>
          <cell r="F121" t="str">
            <v>D (MD)</v>
          </cell>
          <cell r="G121">
            <v>326080</v>
          </cell>
          <cell r="H121" t="str">
            <v>Mayday</v>
          </cell>
          <cell r="I121">
            <v>0.625</v>
          </cell>
          <cell r="J121">
            <v>0.875</v>
          </cell>
          <cell r="K121">
            <v>5.6666666666666696</v>
          </cell>
          <cell r="L121">
            <v>182.98</v>
          </cell>
          <cell r="O121" t="str">
            <v>Y</v>
          </cell>
          <cell r="P121" t="str">
            <v>N</v>
          </cell>
          <cell r="Q121" t="str">
            <v>Vacancy</v>
          </cell>
          <cell r="S121">
            <v>0.15</v>
          </cell>
        </row>
        <row r="122">
          <cell r="D122">
            <v>808006428</v>
          </cell>
          <cell r="E122" t="str">
            <v>PAT MTHETHWA</v>
          </cell>
          <cell r="F122" t="str">
            <v>D (Ch)</v>
          </cell>
          <cell r="G122">
            <v>16546</v>
          </cell>
          <cell r="H122" t="str">
            <v>Choice</v>
          </cell>
          <cell r="I122">
            <v>0.3125</v>
          </cell>
          <cell r="J122">
            <v>0.54166666666666663</v>
          </cell>
          <cell r="K122">
            <v>5.5</v>
          </cell>
          <cell r="L122">
            <v>134.03</v>
          </cell>
          <cell r="O122" t="str">
            <v>Y</v>
          </cell>
          <cell r="P122" t="str">
            <v>N</v>
          </cell>
          <cell r="Q122" t="str">
            <v>Vacancy</v>
          </cell>
          <cell r="S122">
            <v>0.15</v>
          </cell>
        </row>
        <row r="123">
          <cell r="D123">
            <v>808001065</v>
          </cell>
          <cell r="E123" t="str">
            <v>PAT MUGABZA</v>
          </cell>
          <cell r="F123" t="str">
            <v>A (Ch)</v>
          </cell>
          <cell r="G123">
            <v>16526</v>
          </cell>
          <cell r="H123" t="str">
            <v>Choice</v>
          </cell>
          <cell r="I123">
            <v>0.3125</v>
          </cell>
          <cell r="J123">
            <v>0.5625</v>
          </cell>
          <cell r="K123">
            <v>5.6666666666666696</v>
          </cell>
          <cell r="L123">
            <v>62.84</v>
          </cell>
          <cell r="O123" t="str">
            <v>Y</v>
          </cell>
          <cell r="P123" t="str">
            <v>N</v>
          </cell>
          <cell r="Q123" t="str">
            <v>Annual Leave</v>
          </cell>
          <cell r="S123">
            <v>0.15</v>
          </cell>
        </row>
        <row r="124">
          <cell r="D124">
            <v>808000249</v>
          </cell>
          <cell r="E124" t="str">
            <v>PATRICIA SITHOLE</v>
          </cell>
          <cell r="F124" t="str">
            <v>D (MD)</v>
          </cell>
          <cell r="H124" t="str">
            <v>Mayday</v>
          </cell>
          <cell r="I124">
            <v>0.3125</v>
          </cell>
          <cell r="J124">
            <v>0.64583333333333337</v>
          </cell>
          <cell r="K124">
            <v>7.6666666666666696</v>
          </cell>
          <cell r="L124">
            <v>247.56</v>
          </cell>
          <cell r="O124" t="str">
            <v>Y</v>
          </cell>
          <cell r="P124" t="str">
            <v>N</v>
          </cell>
          <cell r="Q124" t="str">
            <v>Extra Capacity</v>
          </cell>
          <cell r="S124">
            <v>0.2</v>
          </cell>
        </row>
        <row r="125">
          <cell r="D125">
            <v>708002194</v>
          </cell>
          <cell r="E125" t="str">
            <v>PEGGY MAPOGO</v>
          </cell>
          <cell r="F125" t="str">
            <v>D (Ch)</v>
          </cell>
          <cell r="G125">
            <v>16546</v>
          </cell>
          <cell r="H125" t="str">
            <v>Choice</v>
          </cell>
          <cell r="I125">
            <v>0.3125</v>
          </cell>
          <cell r="J125">
            <v>0.64583333333333337</v>
          </cell>
          <cell r="K125">
            <v>7.6666666666666696</v>
          </cell>
          <cell r="L125">
            <v>186.84</v>
          </cell>
          <cell r="O125" t="str">
            <v>Y</v>
          </cell>
          <cell r="P125" t="str">
            <v>N</v>
          </cell>
          <cell r="Q125" t="str">
            <v>Extra Capacity</v>
          </cell>
          <cell r="S125">
            <v>0.2</v>
          </cell>
        </row>
        <row r="126">
          <cell r="D126">
            <v>708002233</v>
          </cell>
          <cell r="E126" t="str">
            <v>PEGGY MAPOGO</v>
          </cell>
          <cell r="F126" t="str">
            <v>D (Ch)</v>
          </cell>
          <cell r="G126">
            <v>16546</v>
          </cell>
          <cell r="H126" t="str">
            <v>Choice</v>
          </cell>
          <cell r="I126">
            <v>0.64583333333333337</v>
          </cell>
          <cell r="J126">
            <v>0.85416666666666663</v>
          </cell>
          <cell r="K126">
            <v>5</v>
          </cell>
          <cell r="L126">
            <v>121.85</v>
          </cell>
          <cell r="O126" t="str">
            <v>Y</v>
          </cell>
          <cell r="P126" t="str">
            <v>N</v>
          </cell>
          <cell r="Q126" t="str">
            <v>Extra Capacity</v>
          </cell>
          <cell r="S126">
            <v>0.13</v>
          </cell>
        </row>
        <row r="127">
          <cell r="D127">
            <v>908000983</v>
          </cell>
          <cell r="E127" t="str">
            <v>RACHEL OBERDOFF</v>
          </cell>
          <cell r="F127" t="str">
            <v>D (MD)</v>
          </cell>
          <cell r="G127">
            <v>326577</v>
          </cell>
          <cell r="H127" t="str">
            <v>Mayday</v>
          </cell>
          <cell r="I127">
            <v>0.58333333333333337</v>
          </cell>
          <cell r="J127">
            <v>0.84375</v>
          </cell>
          <cell r="K127">
            <v>6</v>
          </cell>
          <cell r="L127">
            <v>193.74</v>
          </cell>
          <cell r="O127" t="str">
            <v>Y</v>
          </cell>
          <cell r="P127" t="str">
            <v>N</v>
          </cell>
          <cell r="Q127" t="str">
            <v>Short Term Sick</v>
          </cell>
          <cell r="S127">
            <v>0.16</v>
          </cell>
        </row>
        <row r="128">
          <cell r="D128">
            <v>908001197</v>
          </cell>
          <cell r="E128" t="str">
            <v>ROHEYATOU NDOW-NJIE</v>
          </cell>
          <cell r="F128" t="str">
            <v>D (Ch)</v>
          </cell>
          <cell r="G128">
            <v>16611</v>
          </cell>
          <cell r="H128" t="str">
            <v>Choice</v>
          </cell>
          <cell r="I128">
            <v>0.875</v>
          </cell>
          <cell r="J128">
            <v>0.3125</v>
          </cell>
          <cell r="K128">
            <v>9.5</v>
          </cell>
          <cell r="L128">
            <v>300.97000000000003</v>
          </cell>
          <cell r="O128" t="str">
            <v>Y</v>
          </cell>
          <cell r="P128" t="str">
            <v>N</v>
          </cell>
          <cell r="Q128" t="str">
            <v>Extra Capacity</v>
          </cell>
          <cell r="S128">
            <v>0.25</v>
          </cell>
        </row>
        <row r="129">
          <cell r="D129">
            <v>908000007</v>
          </cell>
          <cell r="E129" t="str">
            <v>SARAH MAKOTORE</v>
          </cell>
          <cell r="F129" t="str">
            <v>D (Ch)</v>
          </cell>
          <cell r="G129">
            <v>16528</v>
          </cell>
          <cell r="H129" t="str">
            <v>Choice</v>
          </cell>
          <cell r="I129">
            <v>0.33333333333333331</v>
          </cell>
          <cell r="J129">
            <v>0.58333333333333337</v>
          </cell>
          <cell r="K129">
            <v>5.6666666666666696</v>
          </cell>
          <cell r="L129">
            <v>138.1</v>
          </cell>
          <cell r="O129" t="str">
            <v>Y</v>
          </cell>
          <cell r="P129" t="str">
            <v>N</v>
          </cell>
          <cell r="Q129" t="str">
            <v>Specials</v>
          </cell>
          <cell r="S129">
            <v>0.15</v>
          </cell>
        </row>
        <row r="130">
          <cell r="D130">
            <v>708002207</v>
          </cell>
          <cell r="E130" t="str">
            <v>TARA MASSIE</v>
          </cell>
          <cell r="F130" t="str">
            <v>D (MD)</v>
          </cell>
          <cell r="G130">
            <v>326523</v>
          </cell>
          <cell r="H130" t="str">
            <v>Mayday</v>
          </cell>
          <cell r="I130">
            <v>0.3125</v>
          </cell>
          <cell r="J130">
            <v>0.64583333333333337</v>
          </cell>
          <cell r="K130">
            <v>7.6666666666666696</v>
          </cell>
          <cell r="L130">
            <v>247.56</v>
          </cell>
          <cell r="O130" t="str">
            <v>Y</v>
          </cell>
          <cell r="P130" t="str">
            <v>N</v>
          </cell>
          <cell r="Q130" t="str">
            <v>Extra Capacity</v>
          </cell>
          <cell r="S130">
            <v>0.2</v>
          </cell>
        </row>
        <row r="131">
          <cell r="D131">
            <v>908001580</v>
          </cell>
          <cell r="E131" t="str">
            <v>ADEOLA SOGBESAN</v>
          </cell>
          <cell r="F131" t="str">
            <v>D (MD)</v>
          </cell>
          <cell r="G131">
            <v>328360</v>
          </cell>
          <cell r="H131" t="str">
            <v>Mayday</v>
          </cell>
          <cell r="I131">
            <v>0.875</v>
          </cell>
          <cell r="J131">
            <v>0.30208333333333331</v>
          </cell>
          <cell r="K131">
            <v>9.9166666666666696</v>
          </cell>
          <cell r="L131">
            <v>416.27</v>
          </cell>
          <cell r="O131" t="str">
            <v>Y</v>
          </cell>
          <cell r="P131" t="str">
            <v>N</v>
          </cell>
          <cell r="Q131" t="str">
            <v>Short Term Sick</v>
          </cell>
          <cell r="S131">
            <v>0.26</v>
          </cell>
        </row>
        <row r="132">
          <cell r="D132">
            <v>808002445</v>
          </cell>
          <cell r="E132" t="str">
            <v>ANNA BONNERUP</v>
          </cell>
          <cell r="F132" t="str">
            <v>D / 5 General (</v>
          </cell>
          <cell r="G132" t="str">
            <v>604-147706</v>
          </cell>
          <cell r="H132" t="str">
            <v>Blue Arrow</v>
          </cell>
          <cell r="I132">
            <v>0.3125</v>
          </cell>
          <cell r="J132">
            <v>0.54166666666666663</v>
          </cell>
          <cell r="K132">
            <v>5.5</v>
          </cell>
          <cell r="L132">
            <v>92.84</v>
          </cell>
          <cell r="O132" t="str">
            <v>Y</v>
          </cell>
          <cell r="P132" t="str">
            <v>N</v>
          </cell>
          <cell r="Q132" t="str">
            <v>Vacancy</v>
          </cell>
          <cell r="S132">
            <v>0.15</v>
          </cell>
        </row>
        <row r="133">
          <cell r="D133">
            <v>808002448</v>
          </cell>
          <cell r="E133" t="str">
            <v>ANNA BONNERUP</v>
          </cell>
          <cell r="F133" t="str">
            <v>D / 5 General (</v>
          </cell>
          <cell r="G133" t="str">
            <v>604-147706</v>
          </cell>
          <cell r="H133" t="str">
            <v>Blue Arrow</v>
          </cell>
          <cell r="I133">
            <v>0.625</v>
          </cell>
          <cell r="J133">
            <v>0.85416666666666663</v>
          </cell>
          <cell r="K133">
            <v>5.5</v>
          </cell>
          <cell r="L133">
            <v>92.84</v>
          </cell>
          <cell r="O133" t="str">
            <v>Y</v>
          </cell>
          <cell r="P133" t="str">
            <v>N</v>
          </cell>
          <cell r="Q133" t="str">
            <v>Vacancy</v>
          </cell>
          <cell r="S133">
            <v>0.15</v>
          </cell>
        </row>
        <row r="134">
          <cell r="D134">
            <v>808003099</v>
          </cell>
          <cell r="E134" t="str">
            <v>CHARLOTTE TAYLOR</v>
          </cell>
          <cell r="F134" t="str">
            <v>D/5 (PS)</v>
          </cell>
          <cell r="G134" t="str">
            <v>009/1642/080918</v>
          </cell>
          <cell r="H134" t="str">
            <v>Pinnacle Staffing</v>
          </cell>
          <cell r="I134">
            <v>0.82291666666666663</v>
          </cell>
          <cell r="J134">
            <v>0.34375</v>
          </cell>
          <cell r="K134">
            <v>11.5</v>
          </cell>
          <cell r="L134">
            <v>254</v>
          </cell>
          <cell r="O134" t="str">
            <v>Y</v>
          </cell>
          <cell r="P134" t="str">
            <v>N</v>
          </cell>
          <cell r="Q134" t="str">
            <v>Vacancy</v>
          </cell>
          <cell r="S134">
            <v>0.31</v>
          </cell>
        </row>
        <row r="135">
          <cell r="D135">
            <v>808002407</v>
          </cell>
          <cell r="E135" t="str">
            <v>EMMANUEL SALAKO</v>
          </cell>
          <cell r="F135" t="str">
            <v>D (MD)</v>
          </cell>
          <cell r="G135">
            <v>326266</v>
          </cell>
          <cell r="H135" t="str">
            <v>Mayday</v>
          </cell>
          <cell r="I135">
            <v>0.375</v>
          </cell>
          <cell r="J135">
            <v>0.58333333333333337</v>
          </cell>
          <cell r="K135">
            <v>5</v>
          </cell>
          <cell r="L135">
            <v>161.44999999999999</v>
          </cell>
          <cell r="O135" t="str">
            <v>Y</v>
          </cell>
          <cell r="P135" t="str">
            <v>N</v>
          </cell>
          <cell r="Q135" t="str">
            <v>Vacancy</v>
          </cell>
          <cell r="S135">
            <v>0.13</v>
          </cell>
        </row>
        <row r="136">
          <cell r="D136">
            <v>808002412</v>
          </cell>
          <cell r="E136" t="str">
            <v>EMMANUEL SALAKO</v>
          </cell>
          <cell r="F136" t="str">
            <v>D (MD)</v>
          </cell>
          <cell r="G136">
            <v>326266</v>
          </cell>
          <cell r="H136" t="str">
            <v>Mayday</v>
          </cell>
          <cell r="I136">
            <v>0.625</v>
          </cell>
          <cell r="J136">
            <v>0.875</v>
          </cell>
          <cell r="K136">
            <v>5.6666666666666696</v>
          </cell>
          <cell r="L136">
            <v>182.98</v>
          </cell>
          <cell r="O136" t="str">
            <v>Y</v>
          </cell>
          <cell r="P136" t="str">
            <v>N</v>
          </cell>
          <cell r="Q136" t="str">
            <v>Vacancy</v>
          </cell>
          <cell r="S136">
            <v>0.15</v>
          </cell>
        </row>
        <row r="137">
          <cell r="D137">
            <v>708002208</v>
          </cell>
          <cell r="E137" t="str">
            <v>GRACE CHIKWAVA</v>
          </cell>
          <cell r="F137" t="str">
            <v>D (Ch)</v>
          </cell>
          <cell r="G137">
            <v>16546</v>
          </cell>
          <cell r="H137" t="str">
            <v>Choice</v>
          </cell>
          <cell r="I137">
            <v>0.3125</v>
          </cell>
          <cell r="J137">
            <v>0.64583333333333337</v>
          </cell>
          <cell r="K137">
            <v>7.6666666666666696</v>
          </cell>
          <cell r="L137">
            <v>186.84</v>
          </cell>
          <cell r="O137" t="str">
            <v>Y</v>
          </cell>
          <cell r="P137" t="str">
            <v>N</v>
          </cell>
          <cell r="Q137" t="str">
            <v>Extra Capacity</v>
          </cell>
          <cell r="S137">
            <v>0.2</v>
          </cell>
        </row>
        <row r="138">
          <cell r="D138">
            <v>808003108</v>
          </cell>
          <cell r="E138" t="str">
            <v>GRACE CHIKWAVA</v>
          </cell>
          <cell r="F138" t="str">
            <v>D (Ch)</v>
          </cell>
          <cell r="G138">
            <v>16531</v>
          </cell>
          <cell r="H138" t="str">
            <v>Choice</v>
          </cell>
          <cell r="I138">
            <v>0.64583333333333337</v>
          </cell>
          <cell r="J138">
            <v>0.84375</v>
          </cell>
          <cell r="K138">
            <v>4.75</v>
          </cell>
          <cell r="L138">
            <v>115.76</v>
          </cell>
          <cell r="O138" t="str">
            <v>Y</v>
          </cell>
          <cell r="P138" t="str">
            <v>N</v>
          </cell>
          <cell r="Q138" t="str">
            <v>Vacancy</v>
          </cell>
          <cell r="S138">
            <v>0.13</v>
          </cell>
        </row>
        <row r="139">
          <cell r="D139">
            <v>808001958</v>
          </cell>
          <cell r="E139" t="str">
            <v>JASMINE ESGUERRA</v>
          </cell>
          <cell r="F139" t="str">
            <v>D (Ch)</v>
          </cell>
          <cell r="G139">
            <v>16539</v>
          </cell>
          <cell r="H139" t="str">
            <v>Choice</v>
          </cell>
          <cell r="I139">
            <v>0.875</v>
          </cell>
          <cell r="J139">
            <v>0.30208333333333331</v>
          </cell>
          <cell r="K139">
            <v>9.9166666666666696</v>
          </cell>
          <cell r="L139">
            <v>314.17</v>
          </cell>
          <cell r="O139" t="str">
            <v>Y</v>
          </cell>
          <cell r="P139" t="str">
            <v>N</v>
          </cell>
          <cell r="Q139" t="str">
            <v>Vacancy</v>
          </cell>
          <cell r="S139">
            <v>0.26</v>
          </cell>
        </row>
        <row r="140">
          <cell r="D140">
            <v>908000329</v>
          </cell>
          <cell r="E140" t="str">
            <v>JASON WENT</v>
          </cell>
          <cell r="F140" t="str">
            <v>D / 5 General (</v>
          </cell>
          <cell r="G140" t="str">
            <v>604-147707</v>
          </cell>
          <cell r="H140" t="str">
            <v>Blue Arrow</v>
          </cell>
          <cell r="I140">
            <v>0.875</v>
          </cell>
          <cell r="J140">
            <v>0.3125</v>
          </cell>
          <cell r="K140">
            <v>10.1666666666667</v>
          </cell>
          <cell r="L140">
            <v>223.1</v>
          </cell>
          <cell r="O140" t="str">
            <v>Y</v>
          </cell>
          <cell r="P140" t="str">
            <v>N</v>
          </cell>
          <cell r="Q140" t="str">
            <v>Vacancy</v>
          </cell>
          <cell r="S140">
            <v>0.27</v>
          </cell>
        </row>
        <row r="141">
          <cell r="D141">
            <v>908000292</v>
          </cell>
          <cell r="E141" t="str">
            <v>JOANNE BUSS</v>
          </cell>
          <cell r="F141" t="str">
            <v>D (MD)</v>
          </cell>
          <cell r="G141">
            <v>330417</v>
          </cell>
          <cell r="H141" t="str">
            <v>Mayday</v>
          </cell>
          <cell r="I141">
            <v>0.64583333333333337</v>
          </cell>
          <cell r="J141">
            <v>0.85416666666666663</v>
          </cell>
          <cell r="K141">
            <v>5</v>
          </cell>
          <cell r="L141">
            <v>161.44999999999999</v>
          </cell>
          <cell r="O141" t="str">
            <v>Y</v>
          </cell>
          <cell r="P141" t="str">
            <v>N</v>
          </cell>
          <cell r="Q141" t="str">
            <v>Vacancy</v>
          </cell>
          <cell r="S141">
            <v>0.13</v>
          </cell>
        </row>
        <row r="142">
          <cell r="D142">
            <v>808005850</v>
          </cell>
          <cell r="E142" t="str">
            <v>KATIE KEAVENEY</v>
          </cell>
          <cell r="F142" t="str">
            <v>D (MD)</v>
          </cell>
          <cell r="G142">
            <v>326542</v>
          </cell>
          <cell r="H142" t="str">
            <v>Mayday</v>
          </cell>
          <cell r="I142">
            <v>0.58333333333333337</v>
          </cell>
          <cell r="J142">
            <v>0.84375</v>
          </cell>
          <cell r="K142">
            <v>6</v>
          </cell>
          <cell r="L142">
            <v>193.74</v>
          </cell>
          <cell r="O142" t="str">
            <v>Y</v>
          </cell>
          <cell r="P142" t="str">
            <v>N</v>
          </cell>
          <cell r="Q142" t="str">
            <v>Vacancy</v>
          </cell>
          <cell r="S142">
            <v>0.16</v>
          </cell>
        </row>
        <row r="143">
          <cell r="D143">
            <v>808001074</v>
          </cell>
          <cell r="E143" t="str">
            <v>KERRI GALLOWAY</v>
          </cell>
          <cell r="F143" t="str">
            <v>D (MD)</v>
          </cell>
          <cell r="G143">
            <v>326263</v>
          </cell>
          <cell r="H143" t="str">
            <v>Mayday</v>
          </cell>
          <cell r="I143">
            <v>0.5625</v>
          </cell>
          <cell r="J143">
            <v>0.875</v>
          </cell>
          <cell r="K143">
            <v>7.1666666666666696</v>
          </cell>
          <cell r="L143">
            <v>231.41</v>
          </cell>
          <cell r="O143" t="str">
            <v>Y</v>
          </cell>
          <cell r="P143" t="str">
            <v>N</v>
          </cell>
          <cell r="Q143" t="str">
            <v>Annual Leave</v>
          </cell>
          <cell r="S143">
            <v>0.19</v>
          </cell>
        </row>
        <row r="144">
          <cell r="D144">
            <v>808000241</v>
          </cell>
          <cell r="E144" t="str">
            <v>LEONA CONTRERAS</v>
          </cell>
          <cell r="F144" t="str">
            <v>D (MD)</v>
          </cell>
          <cell r="G144">
            <v>326558</v>
          </cell>
          <cell r="H144" t="str">
            <v>Mayday</v>
          </cell>
          <cell r="I144">
            <v>0.3125</v>
          </cell>
          <cell r="J144">
            <v>0.64583333333333337</v>
          </cell>
          <cell r="K144">
            <v>7.6666666666666696</v>
          </cell>
          <cell r="L144">
            <v>247.56</v>
          </cell>
          <cell r="O144" t="str">
            <v>Y</v>
          </cell>
          <cell r="P144" t="str">
            <v>N</v>
          </cell>
          <cell r="Q144" t="str">
            <v>Extra Capacity</v>
          </cell>
          <cell r="S144">
            <v>0.2</v>
          </cell>
        </row>
        <row r="145">
          <cell r="D145">
            <v>908001499</v>
          </cell>
          <cell r="E145" t="str">
            <v>LEONA CONTRERAS</v>
          </cell>
          <cell r="F145" t="str">
            <v>D (MD)</v>
          </cell>
          <cell r="G145">
            <v>326555</v>
          </cell>
          <cell r="H145" t="str">
            <v>Mayday</v>
          </cell>
          <cell r="I145">
            <v>0.64583333333333337</v>
          </cell>
          <cell r="J145">
            <v>0.89583333333333337</v>
          </cell>
          <cell r="K145">
            <v>5.6666666666666696</v>
          </cell>
          <cell r="L145">
            <v>182.98</v>
          </cell>
          <cell r="O145" t="str">
            <v>Y</v>
          </cell>
          <cell r="P145" t="str">
            <v>N</v>
          </cell>
          <cell r="Q145" t="str">
            <v>Extra Capacity</v>
          </cell>
          <cell r="S145">
            <v>0.15</v>
          </cell>
        </row>
        <row r="146">
          <cell r="D146">
            <v>908000285</v>
          </cell>
          <cell r="E146" t="str">
            <v>LETECIA MENIANO</v>
          </cell>
          <cell r="F146" t="str">
            <v>D (MD)</v>
          </cell>
          <cell r="G146">
            <v>326538</v>
          </cell>
          <cell r="H146" t="str">
            <v>Mayday</v>
          </cell>
          <cell r="I146">
            <v>0.83333333333333337</v>
          </cell>
          <cell r="J146">
            <v>0.33333333333333331</v>
          </cell>
          <cell r="K146">
            <v>11.3333333333333</v>
          </cell>
          <cell r="L146">
            <v>475.74</v>
          </cell>
          <cell r="O146" t="str">
            <v>Y</v>
          </cell>
          <cell r="P146" t="str">
            <v>N</v>
          </cell>
          <cell r="Q146" t="str">
            <v>Extra Capacity</v>
          </cell>
          <cell r="S146">
            <v>0.3</v>
          </cell>
        </row>
        <row r="147">
          <cell r="D147">
            <v>908000282</v>
          </cell>
          <cell r="E147" t="str">
            <v>NATHI ZULU</v>
          </cell>
          <cell r="F147" t="str">
            <v>D (MD)</v>
          </cell>
          <cell r="G147">
            <v>326571</v>
          </cell>
          <cell r="H147" t="str">
            <v>Mayday</v>
          </cell>
          <cell r="I147">
            <v>0.83333333333333337</v>
          </cell>
          <cell r="J147">
            <v>0.33333333333333331</v>
          </cell>
          <cell r="K147">
            <v>11.3333333333333</v>
          </cell>
          <cell r="L147">
            <v>475.74</v>
          </cell>
          <cell r="O147" t="str">
            <v>Y</v>
          </cell>
          <cell r="P147" t="str">
            <v>N</v>
          </cell>
          <cell r="Q147" t="str">
            <v>Extra Capacity</v>
          </cell>
          <cell r="S147">
            <v>0.3</v>
          </cell>
        </row>
        <row r="148">
          <cell r="D148">
            <v>708002311</v>
          </cell>
          <cell r="E148" t="str">
            <v>NILO DANUGO</v>
          </cell>
          <cell r="F148" t="str">
            <v>D (Ch)</v>
          </cell>
          <cell r="G148">
            <v>16546</v>
          </cell>
          <cell r="H148" t="str">
            <v>Choice</v>
          </cell>
          <cell r="I148">
            <v>0.83333333333333337</v>
          </cell>
          <cell r="J148">
            <v>0.33333333333333331</v>
          </cell>
          <cell r="K148">
            <v>11.3333333333333</v>
          </cell>
          <cell r="L148">
            <v>359.05</v>
          </cell>
          <cell r="O148" t="str">
            <v>Y</v>
          </cell>
          <cell r="P148" t="str">
            <v>N</v>
          </cell>
          <cell r="Q148" t="str">
            <v>Extra Capacity</v>
          </cell>
          <cell r="S148">
            <v>0.3</v>
          </cell>
        </row>
        <row r="149">
          <cell r="D149">
            <v>808001955</v>
          </cell>
          <cell r="E149" t="str">
            <v>OMAR SENGHORE</v>
          </cell>
          <cell r="F149" t="str">
            <v>D (MD)</v>
          </cell>
          <cell r="G149">
            <v>326539</v>
          </cell>
          <cell r="H149" t="str">
            <v>Mayday</v>
          </cell>
          <cell r="I149">
            <v>0.875</v>
          </cell>
          <cell r="J149">
            <v>0.30208333333333331</v>
          </cell>
          <cell r="K149">
            <v>9.9166666666666696</v>
          </cell>
          <cell r="L149">
            <v>416.27</v>
          </cell>
          <cell r="O149" t="str">
            <v>Y</v>
          </cell>
          <cell r="P149" t="str">
            <v>N</v>
          </cell>
          <cell r="Q149" t="str">
            <v>Vacancy</v>
          </cell>
          <cell r="S149">
            <v>0.26</v>
          </cell>
        </row>
        <row r="150">
          <cell r="D150">
            <v>808000250</v>
          </cell>
          <cell r="E150" t="str">
            <v>PAT DUBE</v>
          </cell>
          <cell r="F150" t="str">
            <v>D (MD)</v>
          </cell>
          <cell r="G150">
            <v>328320</v>
          </cell>
          <cell r="H150" t="str">
            <v>Mayday</v>
          </cell>
          <cell r="I150">
            <v>0.3125</v>
          </cell>
          <cell r="J150">
            <v>0.64583333333333337</v>
          </cell>
          <cell r="K150">
            <v>7.6666666666666696</v>
          </cell>
          <cell r="L150">
            <v>247.56</v>
          </cell>
          <cell r="O150" t="str">
            <v>Y</v>
          </cell>
          <cell r="P150" t="str">
            <v>N</v>
          </cell>
          <cell r="Q150" t="str">
            <v>Extra Capacity</v>
          </cell>
          <cell r="S150">
            <v>0.2</v>
          </cell>
        </row>
        <row r="151">
          <cell r="D151">
            <v>808005849</v>
          </cell>
          <cell r="E151" t="str">
            <v>PAT DUBE</v>
          </cell>
          <cell r="F151" t="str">
            <v>D (MD)</v>
          </cell>
          <cell r="G151">
            <v>330270</v>
          </cell>
          <cell r="H151" t="str">
            <v>Mayday</v>
          </cell>
          <cell r="I151">
            <v>0.65625</v>
          </cell>
          <cell r="J151">
            <v>0.86458333333333337</v>
          </cell>
          <cell r="K151">
            <v>4.25</v>
          </cell>
          <cell r="L151">
            <v>137.22999999999999</v>
          </cell>
          <cell r="O151" t="str">
            <v>Y</v>
          </cell>
          <cell r="P151" t="str">
            <v>N</v>
          </cell>
          <cell r="Q151" t="str">
            <v>Vacancy</v>
          </cell>
          <cell r="S151">
            <v>0.11</v>
          </cell>
        </row>
        <row r="152">
          <cell r="D152">
            <v>708002202</v>
          </cell>
          <cell r="E152" t="str">
            <v>PAT MTHETHWA</v>
          </cell>
          <cell r="F152" t="str">
            <v>D (Ch)</v>
          </cell>
          <cell r="G152">
            <v>16546</v>
          </cell>
          <cell r="H152" t="str">
            <v>Choice</v>
          </cell>
          <cell r="I152">
            <v>0.3125</v>
          </cell>
          <cell r="J152">
            <v>0.64583333333333337</v>
          </cell>
          <cell r="K152">
            <v>7.6666666666666696</v>
          </cell>
          <cell r="L152">
            <v>186.84</v>
          </cell>
          <cell r="O152" t="str">
            <v>Y</v>
          </cell>
          <cell r="P152" t="str">
            <v>N</v>
          </cell>
          <cell r="Q152" t="str">
            <v>Extra Capacity</v>
          </cell>
          <cell r="S152">
            <v>0.2</v>
          </cell>
        </row>
        <row r="153">
          <cell r="D153">
            <v>708002241</v>
          </cell>
          <cell r="E153" t="str">
            <v>PAT MTHETHWA</v>
          </cell>
          <cell r="F153" t="str">
            <v>D (Ch)</v>
          </cell>
          <cell r="G153">
            <v>16546</v>
          </cell>
          <cell r="H153" t="str">
            <v>Choice</v>
          </cell>
          <cell r="I153">
            <v>0.64583333333333337</v>
          </cell>
          <cell r="J153">
            <v>0.85416666666666663</v>
          </cell>
          <cell r="K153">
            <v>5</v>
          </cell>
          <cell r="L153">
            <v>121.85</v>
          </cell>
          <cell r="O153" t="str">
            <v>Y</v>
          </cell>
          <cell r="P153" t="str">
            <v>N</v>
          </cell>
          <cell r="Q153" t="str">
            <v>Extra Capacity</v>
          </cell>
          <cell r="S153">
            <v>0.13</v>
          </cell>
        </row>
        <row r="154">
          <cell r="D154">
            <v>808001072</v>
          </cell>
          <cell r="E154" t="str">
            <v>PAT MUGABZA</v>
          </cell>
          <cell r="F154" t="str">
            <v>A (Ch)</v>
          </cell>
          <cell r="G154">
            <v>16526</v>
          </cell>
          <cell r="H154" t="str">
            <v>Choice</v>
          </cell>
          <cell r="I154">
            <v>0.3125</v>
          </cell>
          <cell r="J154">
            <v>0.5625</v>
          </cell>
          <cell r="K154">
            <v>5.6666666666666696</v>
          </cell>
          <cell r="L154">
            <v>62.84</v>
          </cell>
          <cell r="O154" t="str">
            <v>Y</v>
          </cell>
          <cell r="P154" t="str">
            <v>N</v>
          </cell>
          <cell r="Q154" t="str">
            <v>Vacancy</v>
          </cell>
          <cell r="S154">
            <v>0.15</v>
          </cell>
        </row>
        <row r="155">
          <cell r="D155">
            <v>708002195</v>
          </cell>
          <cell r="E155" t="str">
            <v>PEGGY MAPOGO</v>
          </cell>
          <cell r="F155" t="str">
            <v>D (Ch)</v>
          </cell>
          <cell r="G155">
            <v>16546</v>
          </cell>
          <cell r="H155" t="str">
            <v>Choice</v>
          </cell>
          <cell r="I155">
            <v>0.3125</v>
          </cell>
          <cell r="J155">
            <v>0.64583333333333337</v>
          </cell>
          <cell r="K155">
            <v>7.6666666666666696</v>
          </cell>
          <cell r="L155">
            <v>186.84</v>
          </cell>
          <cell r="O155" t="str">
            <v>Y</v>
          </cell>
          <cell r="P155" t="str">
            <v>N</v>
          </cell>
          <cell r="Q155" t="str">
            <v>Extra Capacity</v>
          </cell>
          <cell r="S155">
            <v>0.2</v>
          </cell>
        </row>
        <row r="156">
          <cell r="D156">
            <v>708002234</v>
          </cell>
          <cell r="E156" t="str">
            <v>PEGGY MAPOGO</v>
          </cell>
          <cell r="F156" t="str">
            <v>D (Ch)</v>
          </cell>
          <cell r="G156">
            <v>16546</v>
          </cell>
          <cell r="H156" t="str">
            <v>Choice</v>
          </cell>
          <cell r="I156">
            <v>0.64583333333333337</v>
          </cell>
          <cell r="J156">
            <v>0.85416666666666663</v>
          </cell>
          <cell r="K156">
            <v>5</v>
          </cell>
          <cell r="L156">
            <v>121.85</v>
          </cell>
          <cell r="O156" t="str">
            <v>Y</v>
          </cell>
          <cell r="P156" t="str">
            <v>N</v>
          </cell>
          <cell r="Q156" t="str">
            <v>Extra Capacity</v>
          </cell>
          <cell r="S156">
            <v>0.13</v>
          </cell>
        </row>
        <row r="157">
          <cell r="D157">
            <v>808001915</v>
          </cell>
          <cell r="E157" t="str">
            <v>PRICILLA SONO</v>
          </cell>
          <cell r="F157" t="str">
            <v>D (MD)</v>
          </cell>
          <cell r="G157">
            <v>326565</v>
          </cell>
          <cell r="H157" t="str">
            <v>Mayday</v>
          </cell>
          <cell r="I157">
            <v>0.3125</v>
          </cell>
          <cell r="J157">
            <v>0.5625</v>
          </cell>
          <cell r="K157">
            <v>5.6666666666666696</v>
          </cell>
          <cell r="L157">
            <v>182.98</v>
          </cell>
          <cell r="O157" t="str">
            <v>Y</v>
          </cell>
          <cell r="P157" t="str">
            <v>N</v>
          </cell>
          <cell r="Q157" t="str">
            <v>Vacancy</v>
          </cell>
          <cell r="S157">
            <v>0.15</v>
          </cell>
        </row>
        <row r="158">
          <cell r="D158">
            <v>708002386</v>
          </cell>
          <cell r="E158" t="str">
            <v>RODA RAMERIZ</v>
          </cell>
          <cell r="F158" t="str">
            <v>D (Ch)</v>
          </cell>
          <cell r="G158">
            <v>16546</v>
          </cell>
          <cell r="H158" t="str">
            <v>Choice</v>
          </cell>
          <cell r="I158">
            <v>0.83333333333333337</v>
          </cell>
          <cell r="J158">
            <v>0.33333333333333331</v>
          </cell>
          <cell r="K158">
            <v>11.3333333333333</v>
          </cell>
          <cell r="L158">
            <v>359.05</v>
          </cell>
          <cell r="O158" t="str">
            <v>Y</v>
          </cell>
          <cell r="P158" t="str">
            <v>N</v>
          </cell>
          <cell r="Q158" t="str">
            <v>Extra Capacity</v>
          </cell>
          <cell r="S158">
            <v>0.3</v>
          </cell>
        </row>
        <row r="159">
          <cell r="D159">
            <v>908001514</v>
          </cell>
          <cell r="E159" t="str">
            <v>ROHEYATOU NDOW-NJIE</v>
          </cell>
          <cell r="F159" t="str">
            <v>D (Ch)</v>
          </cell>
          <cell r="G159">
            <v>16683</v>
          </cell>
          <cell r="H159" t="str">
            <v>Choice</v>
          </cell>
          <cell r="I159">
            <v>0.875</v>
          </cell>
          <cell r="J159">
            <v>0.34375</v>
          </cell>
          <cell r="K159">
            <v>10.9166666666667</v>
          </cell>
          <cell r="L159">
            <v>345.85</v>
          </cell>
          <cell r="O159" t="str">
            <v>Y</v>
          </cell>
          <cell r="P159" t="str">
            <v>N</v>
          </cell>
          <cell r="Q159" t="str">
            <v>Short Term Sick</v>
          </cell>
          <cell r="S159">
            <v>0.28999999999999998</v>
          </cell>
        </row>
        <row r="160">
          <cell r="D160">
            <v>808005461</v>
          </cell>
          <cell r="E160" t="str">
            <v>SINDISO MOYO</v>
          </cell>
          <cell r="F160" t="str">
            <v>D (Amb)</v>
          </cell>
          <cell r="G160">
            <v>739519</v>
          </cell>
          <cell r="H160" t="str">
            <v>Ambition</v>
          </cell>
          <cell r="I160">
            <v>0.58333333333333337</v>
          </cell>
          <cell r="J160">
            <v>0.83333333333333337</v>
          </cell>
          <cell r="K160">
            <v>5.6666666666666696</v>
          </cell>
          <cell r="L160">
            <v>221.57</v>
          </cell>
          <cell r="O160" t="str">
            <v>Y</v>
          </cell>
          <cell r="P160" t="str">
            <v>N</v>
          </cell>
          <cell r="Q160" t="str">
            <v>Short Term Sick</v>
          </cell>
          <cell r="S160">
            <v>0.15</v>
          </cell>
        </row>
        <row r="161">
          <cell r="D161">
            <v>908001513</v>
          </cell>
          <cell r="E161" t="str">
            <v>TONDERA MAKAZA</v>
          </cell>
          <cell r="F161" t="str">
            <v>A (Ch)</v>
          </cell>
          <cell r="H161" t="str">
            <v>Choice</v>
          </cell>
          <cell r="I161">
            <v>0.875</v>
          </cell>
          <cell r="J161">
            <v>0.34375</v>
          </cell>
          <cell r="K161">
            <v>10.9166666666667</v>
          </cell>
          <cell r="L161">
            <v>161.41999999999999</v>
          </cell>
          <cell r="O161" t="str">
            <v>Y</v>
          </cell>
          <cell r="P161" t="str">
            <v>N</v>
          </cell>
          <cell r="Q161" t="str">
            <v>Short Term Sick</v>
          </cell>
          <cell r="S161">
            <v>0.28999999999999998</v>
          </cell>
        </row>
        <row r="162">
          <cell r="D162">
            <v>908001802</v>
          </cell>
          <cell r="E162" t="str">
            <v>TRUST CHIWUNDURA</v>
          </cell>
          <cell r="F162" t="str">
            <v>A (Ch)</v>
          </cell>
          <cell r="G162">
            <v>16545</v>
          </cell>
          <cell r="H162" t="str">
            <v>Choice</v>
          </cell>
          <cell r="I162">
            <v>0.83333333333333337</v>
          </cell>
          <cell r="J162">
            <v>0.33333333333333331</v>
          </cell>
          <cell r="K162">
            <v>11.3333333333333</v>
          </cell>
          <cell r="L162">
            <v>167.58</v>
          </cell>
          <cell r="O162" t="str">
            <v>Y</v>
          </cell>
          <cell r="P162" t="str">
            <v>N</v>
          </cell>
          <cell r="Q162" t="str">
            <v>On-Call</v>
          </cell>
          <cell r="S162">
            <v>0.3</v>
          </cell>
        </row>
        <row r="163">
          <cell r="D163">
            <v>808000293</v>
          </cell>
          <cell r="E163" t="str">
            <v>VIMLA RAMDHOON</v>
          </cell>
          <cell r="F163" t="str">
            <v>2 Gen (All)</v>
          </cell>
          <cell r="G163" t="str">
            <v>G1428449</v>
          </cell>
          <cell r="H163" t="str">
            <v xml:space="preserve">Allied </v>
          </cell>
          <cell r="I163">
            <v>0.83333333333333337</v>
          </cell>
          <cell r="J163">
            <v>0.35416666666666669</v>
          </cell>
          <cell r="K163">
            <v>11.8333333333333</v>
          </cell>
          <cell r="L163">
            <v>151.47</v>
          </cell>
          <cell r="O163" t="str">
            <v>Y</v>
          </cell>
          <cell r="P163" t="str">
            <v>N</v>
          </cell>
          <cell r="Q163" t="str">
            <v>Extra Capacity</v>
          </cell>
          <cell r="S163">
            <v>0.32</v>
          </cell>
        </row>
        <row r="164">
          <cell r="D164">
            <v>808005856</v>
          </cell>
          <cell r="E164" t="str">
            <v>BIDDY CHAFESUKA</v>
          </cell>
          <cell r="F164" t="str">
            <v>D (Ch)</v>
          </cell>
          <cell r="G164">
            <v>16533</v>
          </cell>
          <cell r="H164" t="str">
            <v>Choice</v>
          </cell>
          <cell r="I164">
            <v>0.58333333333333337</v>
          </cell>
          <cell r="J164">
            <v>0.84375</v>
          </cell>
          <cell r="K164">
            <v>6</v>
          </cell>
          <cell r="L164">
            <v>190.09</v>
          </cell>
          <cell r="O164" t="str">
            <v>Y</v>
          </cell>
          <cell r="P164" t="str">
            <v>N</v>
          </cell>
          <cell r="Q164" t="str">
            <v>Vacancy</v>
          </cell>
          <cell r="S164">
            <v>0.16</v>
          </cell>
        </row>
        <row r="165">
          <cell r="D165">
            <v>908002175</v>
          </cell>
          <cell r="E165" t="str">
            <v>BIDDY COFUSUCA</v>
          </cell>
          <cell r="F165" t="str">
            <v>D (Ch)</v>
          </cell>
          <cell r="G165">
            <v>16533</v>
          </cell>
          <cell r="H165" t="str">
            <v>Choice</v>
          </cell>
          <cell r="I165">
            <v>0.32291666666666669</v>
          </cell>
          <cell r="J165">
            <v>0.54166666666666663</v>
          </cell>
          <cell r="K165">
            <v>5.25</v>
          </cell>
          <cell r="L165">
            <v>166.33</v>
          </cell>
          <cell r="O165" t="str">
            <v>Y</v>
          </cell>
          <cell r="P165" t="str">
            <v>N</v>
          </cell>
          <cell r="Q165" t="str">
            <v>On-Call</v>
          </cell>
          <cell r="S165">
            <v>0.14000000000000001</v>
          </cell>
        </row>
        <row r="166">
          <cell r="D166">
            <v>908001804</v>
          </cell>
          <cell r="E166" t="str">
            <v>CYNTHIA DELMO</v>
          </cell>
          <cell r="F166" t="str">
            <v>D (Ch)</v>
          </cell>
          <cell r="G166">
            <v>16529</v>
          </cell>
          <cell r="H166" t="str">
            <v>Choice</v>
          </cell>
          <cell r="I166">
            <v>0.58333333333333337</v>
          </cell>
          <cell r="J166">
            <v>0.84375</v>
          </cell>
          <cell r="K166">
            <v>6</v>
          </cell>
          <cell r="L166">
            <v>190.09</v>
          </cell>
          <cell r="O166" t="str">
            <v>Y</v>
          </cell>
          <cell r="P166" t="str">
            <v>N</v>
          </cell>
          <cell r="Q166" t="str">
            <v>Short Term Sick</v>
          </cell>
          <cell r="S166">
            <v>0.16</v>
          </cell>
        </row>
        <row r="167">
          <cell r="D167">
            <v>908000776</v>
          </cell>
          <cell r="E167" t="str">
            <v>EMMANUEL SALAKO</v>
          </cell>
          <cell r="F167" t="str">
            <v>D (MD)</v>
          </cell>
          <cell r="G167">
            <v>326516</v>
          </cell>
          <cell r="H167" t="str">
            <v>Mayday</v>
          </cell>
          <cell r="I167">
            <v>0.60416666666666663</v>
          </cell>
          <cell r="J167">
            <v>0.8125</v>
          </cell>
          <cell r="K167">
            <v>5</v>
          </cell>
          <cell r="L167">
            <v>209.89</v>
          </cell>
          <cell r="O167" t="str">
            <v>Y</v>
          </cell>
          <cell r="P167" t="str">
            <v>N</v>
          </cell>
          <cell r="Q167" t="str">
            <v>Annual Leave</v>
          </cell>
          <cell r="S167">
            <v>0.13</v>
          </cell>
        </row>
        <row r="168">
          <cell r="D168">
            <v>908001556</v>
          </cell>
          <cell r="E168" t="str">
            <v>EMMANUEL SALAKO</v>
          </cell>
          <cell r="F168" t="str">
            <v>D (MD)</v>
          </cell>
          <cell r="G168">
            <v>326514</v>
          </cell>
          <cell r="H168" t="str">
            <v>Mayday</v>
          </cell>
          <cell r="I168">
            <v>0.30208333333333331</v>
          </cell>
          <cell r="J168">
            <v>0.54166666666666663</v>
          </cell>
          <cell r="K168">
            <v>5.75</v>
          </cell>
          <cell r="L168">
            <v>241.37</v>
          </cell>
          <cell r="O168" t="str">
            <v>Y</v>
          </cell>
          <cell r="P168" t="str">
            <v>N</v>
          </cell>
          <cell r="Q168" t="str">
            <v>Extra Capacity</v>
          </cell>
          <cell r="S168">
            <v>0.15</v>
          </cell>
        </row>
        <row r="169">
          <cell r="D169">
            <v>908001803</v>
          </cell>
          <cell r="E169" t="str">
            <v>GRACE CHIKWAVA</v>
          </cell>
          <cell r="F169" t="str">
            <v>D (Ch)</v>
          </cell>
          <cell r="G169">
            <v>16529</v>
          </cell>
          <cell r="H169" t="str">
            <v>Choice</v>
          </cell>
          <cell r="I169">
            <v>0.58333333333333337</v>
          </cell>
          <cell r="J169">
            <v>0.84375</v>
          </cell>
          <cell r="K169">
            <v>6</v>
          </cell>
          <cell r="L169">
            <v>190.09</v>
          </cell>
          <cell r="O169" t="str">
            <v>Y</v>
          </cell>
          <cell r="P169" t="str">
            <v>N</v>
          </cell>
          <cell r="Q169" t="str">
            <v>Short Term Sick</v>
          </cell>
          <cell r="S169">
            <v>0.16</v>
          </cell>
        </row>
        <row r="170">
          <cell r="D170">
            <v>908002176</v>
          </cell>
          <cell r="E170" t="str">
            <v>GRACE CHIKWAVA</v>
          </cell>
          <cell r="F170" t="str">
            <v>D (Ch)</v>
          </cell>
          <cell r="G170">
            <v>16529</v>
          </cell>
          <cell r="H170" t="str">
            <v>Choice</v>
          </cell>
          <cell r="I170">
            <v>0.32291666666666669</v>
          </cell>
          <cell r="J170">
            <v>0.54166666666666663</v>
          </cell>
          <cell r="K170">
            <v>5.25</v>
          </cell>
          <cell r="L170">
            <v>166.33</v>
          </cell>
          <cell r="O170" t="str">
            <v>Y</v>
          </cell>
          <cell r="P170" t="str">
            <v>N</v>
          </cell>
          <cell r="Q170" t="str">
            <v>On-Call</v>
          </cell>
          <cell r="S170">
            <v>0.14000000000000001</v>
          </cell>
        </row>
        <row r="171">
          <cell r="D171">
            <v>808004742</v>
          </cell>
          <cell r="E171" t="str">
            <v>JAMES MCCLEMENTS</v>
          </cell>
          <cell r="F171" t="str">
            <v>D (MD)</v>
          </cell>
          <cell r="G171">
            <v>326250</v>
          </cell>
          <cell r="H171" t="str">
            <v>Mayday</v>
          </cell>
          <cell r="I171">
            <v>0.54166666666666663</v>
          </cell>
          <cell r="J171">
            <v>0.85416666666666663</v>
          </cell>
          <cell r="K171">
            <v>7.1666666666666696</v>
          </cell>
          <cell r="L171">
            <v>300.83999999999997</v>
          </cell>
          <cell r="O171" t="str">
            <v>Y</v>
          </cell>
          <cell r="P171" t="str">
            <v>N</v>
          </cell>
          <cell r="Q171" t="str">
            <v>Vacancy</v>
          </cell>
          <cell r="S171">
            <v>0.19</v>
          </cell>
        </row>
        <row r="172">
          <cell r="D172">
            <v>808005899</v>
          </cell>
          <cell r="E172" t="str">
            <v>JANE DUNSMURE</v>
          </cell>
          <cell r="F172" t="str">
            <v>D/5 (PS)</v>
          </cell>
          <cell r="H172" t="str">
            <v>Pinnacle Staffing</v>
          </cell>
          <cell r="I172">
            <v>0.88541666666666663</v>
          </cell>
          <cell r="J172">
            <v>0.25</v>
          </cell>
          <cell r="K172">
            <v>7.75</v>
          </cell>
          <cell r="L172">
            <v>171.17</v>
          </cell>
          <cell r="O172" t="str">
            <v>Y</v>
          </cell>
          <cell r="P172" t="str">
            <v>N</v>
          </cell>
          <cell r="Q172" t="str">
            <v>Short Term Sick</v>
          </cell>
          <cell r="S172">
            <v>0.21</v>
          </cell>
        </row>
        <row r="173">
          <cell r="D173">
            <v>908001558</v>
          </cell>
          <cell r="E173" t="str">
            <v>JEAN NGONA</v>
          </cell>
          <cell r="F173" t="str">
            <v>D (MD)</v>
          </cell>
          <cell r="G173">
            <v>327845</v>
          </cell>
          <cell r="H173" t="str">
            <v>Mayday</v>
          </cell>
          <cell r="I173">
            <v>0.30208333333333331</v>
          </cell>
          <cell r="J173">
            <v>0.54166666666666663</v>
          </cell>
          <cell r="K173">
            <v>5.75</v>
          </cell>
          <cell r="L173">
            <v>241.37</v>
          </cell>
          <cell r="O173" t="str">
            <v>Y</v>
          </cell>
          <cell r="P173" t="str">
            <v>N</v>
          </cell>
          <cell r="Q173" t="str">
            <v>Extra Capacity</v>
          </cell>
          <cell r="S173">
            <v>0.15</v>
          </cell>
        </row>
        <row r="174">
          <cell r="D174">
            <v>808004740</v>
          </cell>
          <cell r="E174" t="str">
            <v>JOANNE BUSS</v>
          </cell>
          <cell r="F174" t="str">
            <v>D (MD)</v>
          </cell>
          <cell r="G174">
            <v>330417</v>
          </cell>
          <cell r="H174" t="str">
            <v>Mayday</v>
          </cell>
          <cell r="I174">
            <v>0.54166666666666663</v>
          </cell>
          <cell r="J174">
            <v>0.85416666666666663</v>
          </cell>
          <cell r="K174">
            <v>7.1666666666666696</v>
          </cell>
          <cell r="L174">
            <v>300.83999999999997</v>
          </cell>
          <cell r="O174" t="str">
            <v>Y</v>
          </cell>
          <cell r="P174" t="str">
            <v>N</v>
          </cell>
          <cell r="Q174" t="str">
            <v>Vacancy</v>
          </cell>
          <cell r="S174">
            <v>0.19</v>
          </cell>
        </row>
        <row r="175">
          <cell r="D175">
            <v>908000341</v>
          </cell>
          <cell r="E175" t="str">
            <v>JOANNE BUSS</v>
          </cell>
          <cell r="F175" t="str">
            <v>D (MD)</v>
          </cell>
          <cell r="G175">
            <v>330417</v>
          </cell>
          <cell r="H175" t="str">
            <v>Mayday</v>
          </cell>
          <cell r="I175">
            <v>0.3125</v>
          </cell>
          <cell r="J175">
            <v>0.54166666666666663</v>
          </cell>
          <cell r="K175">
            <v>5.5</v>
          </cell>
          <cell r="L175">
            <v>230.87</v>
          </cell>
          <cell r="O175" t="str">
            <v>Y</v>
          </cell>
          <cell r="P175" t="str">
            <v>N</v>
          </cell>
          <cell r="Q175" t="str">
            <v>Under Established</v>
          </cell>
          <cell r="S175">
            <v>0.15</v>
          </cell>
        </row>
        <row r="176">
          <cell r="D176">
            <v>908001583</v>
          </cell>
          <cell r="E176" t="str">
            <v>MOSES MOYO</v>
          </cell>
          <cell r="F176" t="str">
            <v>D (Ch)</v>
          </cell>
          <cell r="G176">
            <v>16543</v>
          </cell>
          <cell r="H176" t="str">
            <v>Choice</v>
          </cell>
          <cell r="I176">
            <v>0.3125</v>
          </cell>
          <cell r="J176">
            <v>0.60416666666666663</v>
          </cell>
          <cell r="K176">
            <v>12.8333333333333</v>
          </cell>
          <cell r="L176">
            <v>406.57</v>
          </cell>
          <cell r="O176" t="str">
            <v>Y</v>
          </cell>
          <cell r="P176" t="str">
            <v>N</v>
          </cell>
          <cell r="Q176" t="str">
            <v>Short Term Sick</v>
          </cell>
          <cell r="S176">
            <v>0.34</v>
          </cell>
        </row>
        <row r="177">
          <cell r="D177">
            <v>708002387</v>
          </cell>
          <cell r="E177" t="str">
            <v>NILO DANUGO</v>
          </cell>
          <cell r="F177" t="str">
            <v>D (Ch)</v>
          </cell>
          <cell r="G177">
            <v>16546</v>
          </cell>
          <cell r="H177" t="str">
            <v>Choice</v>
          </cell>
          <cell r="I177">
            <v>0.83333333333333337</v>
          </cell>
          <cell r="J177">
            <v>0.33333333333333331</v>
          </cell>
          <cell r="K177">
            <v>11.3333333333333</v>
          </cell>
          <cell r="L177">
            <v>359.05</v>
          </cell>
          <cell r="O177" t="str">
            <v>Y</v>
          </cell>
          <cell r="P177" t="str">
            <v>N</v>
          </cell>
          <cell r="Q177" t="str">
            <v>Extra Capacity</v>
          </cell>
          <cell r="S177">
            <v>0.3</v>
          </cell>
        </row>
        <row r="178">
          <cell r="D178">
            <v>908002076</v>
          </cell>
          <cell r="E178" t="str">
            <v>NORLITA MUNOZ</v>
          </cell>
          <cell r="F178" t="str">
            <v>D (MD)</v>
          </cell>
          <cell r="G178">
            <v>328814</v>
          </cell>
          <cell r="H178" t="str">
            <v>Mayday</v>
          </cell>
          <cell r="I178">
            <v>0.625</v>
          </cell>
          <cell r="J178">
            <v>0.875</v>
          </cell>
          <cell r="K178">
            <v>5.6666666666666696</v>
          </cell>
          <cell r="L178">
            <v>237.87</v>
          </cell>
          <cell r="O178" t="str">
            <v>Y</v>
          </cell>
          <cell r="P178" t="str">
            <v>N</v>
          </cell>
          <cell r="Q178" t="str">
            <v>Nurse Moved</v>
          </cell>
          <cell r="S178">
            <v>0.15</v>
          </cell>
        </row>
        <row r="179">
          <cell r="D179">
            <v>808004741</v>
          </cell>
          <cell r="E179" t="str">
            <v>PAT DUBE</v>
          </cell>
          <cell r="F179" t="str">
            <v>D (MD)</v>
          </cell>
          <cell r="G179">
            <v>328001</v>
          </cell>
          <cell r="H179" t="str">
            <v>Mayday</v>
          </cell>
          <cell r="I179">
            <v>0.54166666666666663</v>
          </cell>
          <cell r="J179">
            <v>0.85416666666666663</v>
          </cell>
          <cell r="K179">
            <v>7.1666666666666696</v>
          </cell>
          <cell r="L179">
            <v>300.83999999999997</v>
          </cell>
          <cell r="O179" t="str">
            <v>Y</v>
          </cell>
          <cell r="P179" t="str">
            <v>N</v>
          </cell>
          <cell r="Q179" t="str">
            <v>Vacancy</v>
          </cell>
          <cell r="S179">
            <v>0.19</v>
          </cell>
        </row>
        <row r="180">
          <cell r="D180">
            <v>708002209</v>
          </cell>
          <cell r="E180" t="str">
            <v>PAT MTHETHWA</v>
          </cell>
          <cell r="F180" t="str">
            <v>D (Ch)</v>
          </cell>
          <cell r="G180">
            <v>16546</v>
          </cell>
          <cell r="H180" t="str">
            <v>Choice</v>
          </cell>
          <cell r="I180">
            <v>0.3125</v>
          </cell>
          <cell r="J180">
            <v>0.64583333333333337</v>
          </cell>
          <cell r="K180">
            <v>7.6666666666666696</v>
          </cell>
          <cell r="L180">
            <v>242.89</v>
          </cell>
          <cell r="O180" t="str">
            <v>Y</v>
          </cell>
          <cell r="P180" t="str">
            <v>N</v>
          </cell>
          <cell r="Q180" t="str">
            <v>Extra Capacity</v>
          </cell>
          <cell r="S180">
            <v>0.2</v>
          </cell>
        </row>
        <row r="181">
          <cell r="D181">
            <v>708002242</v>
          </cell>
          <cell r="E181" t="str">
            <v>PAT MTHETHWA</v>
          </cell>
          <cell r="F181" t="str">
            <v>D (Ch)</v>
          </cell>
          <cell r="G181">
            <v>16546</v>
          </cell>
          <cell r="H181" t="str">
            <v>Choice</v>
          </cell>
          <cell r="I181">
            <v>0.64583333333333337</v>
          </cell>
          <cell r="J181">
            <v>0.85416666666666663</v>
          </cell>
          <cell r="K181">
            <v>5</v>
          </cell>
          <cell r="L181">
            <v>158.41</v>
          </cell>
          <cell r="O181" t="str">
            <v>Y</v>
          </cell>
          <cell r="P181" t="str">
            <v>N</v>
          </cell>
          <cell r="Q181" t="str">
            <v>Extra Capacity</v>
          </cell>
          <cell r="S181">
            <v>0.13</v>
          </cell>
        </row>
        <row r="182">
          <cell r="D182">
            <v>908001500</v>
          </cell>
          <cell r="E182" t="str">
            <v>PEGGY CHIRIKURE</v>
          </cell>
          <cell r="F182" t="str">
            <v>D (Ch)</v>
          </cell>
          <cell r="G182">
            <v>16542</v>
          </cell>
          <cell r="H182" t="str">
            <v>Choice</v>
          </cell>
          <cell r="I182">
            <v>0.625</v>
          </cell>
          <cell r="J182">
            <v>0.89583333333333337</v>
          </cell>
          <cell r="K182">
            <v>6.1666666666666696</v>
          </cell>
          <cell r="L182">
            <v>195.37</v>
          </cell>
          <cell r="O182" t="str">
            <v>Y</v>
          </cell>
          <cell r="P182" t="str">
            <v>N</v>
          </cell>
          <cell r="Q182" t="str">
            <v>Extra Capacity</v>
          </cell>
          <cell r="S182">
            <v>0.16</v>
          </cell>
        </row>
        <row r="183">
          <cell r="D183">
            <v>908001501</v>
          </cell>
          <cell r="E183" t="str">
            <v>PEGGY CHIRIKURE</v>
          </cell>
          <cell r="F183" t="str">
            <v>D (Ch)</v>
          </cell>
          <cell r="G183">
            <v>16542</v>
          </cell>
          <cell r="H183" t="str">
            <v>Choice</v>
          </cell>
          <cell r="I183">
            <v>0.29166666666666669</v>
          </cell>
          <cell r="J183">
            <v>0.625</v>
          </cell>
          <cell r="K183">
            <v>7.5</v>
          </cell>
          <cell r="L183">
            <v>237.61</v>
          </cell>
          <cell r="O183" t="str">
            <v>Y</v>
          </cell>
          <cell r="P183" t="str">
            <v>N</v>
          </cell>
          <cell r="Q183" t="str">
            <v>Extra Capacity</v>
          </cell>
          <cell r="S183">
            <v>0.2</v>
          </cell>
        </row>
        <row r="184">
          <cell r="D184">
            <v>708002203</v>
          </cell>
          <cell r="E184" t="str">
            <v>PEGGY MAPOGO</v>
          </cell>
          <cell r="F184" t="str">
            <v>D (Ch)</v>
          </cell>
          <cell r="G184">
            <v>16546</v>
          </cell>
          <cell r="H184" t="str">
            <v>Choice</v>
          </cell>
          <cell r="I184">
            <v>0.3125</v>
          </cell>
          <cell r="J184">
            <v>0.64583333333333337</v>
          </cell>
          <cell r="K184">
            <v>7.6666666666666696</v>
          </cell>
          <cell r="L184">
            <v>242.89</v>
          </cell>
          <cell r="O184" t="str">
            <v>Y</v>
          </cell>
          <cell r="P184" t="str">
            <v>N</v>
          </cell>
          <cell r="Q184" t="str">
            <v>Extra Capacity</v>
          </cell>
          <cell r="S184">
            <v>0.2</v>
          </cell>
        </row>
        <row r="185">
          <cell r="D185">
            <v>808000242</v>
          </cell>
          <cell r="E185" t="str">
            <v>PURITY EHREUREICH</v>
          </cell>
          <cell r="F185" t="str">
            <v>D (MD)</v>
          </cell>
          <cell r="G185">
            <v>326581</v>
          </cell>
          <cell r="H185" t="str">
            <v>Mayday</v>
          </cell>
          <cell r="I185">
            <v>0.3125</v>
          </cell>
          <cell r="J185">
            <v>0.64583333333333337</v>
          </cell>
          <cell r="K185">
            <v>7.6666666666666696</v>
          </cell>
          <cell r="L185">
            <v>321.82</v>
          </cell>
          <cell r="O185" t="str">
            <v>Y</v>
          </cell>
          <cell r="P185" t="str">
            <v>N</v>
          </cell>
          <cell r="Q185" t="str">
            <v>Extra Capacity</v>
          </cell>
          <cell r="S185">
            <v>0.2</v>
          </cell>
        </row>
        <row r="186">
          <cell r="D186">
            <v>808000266</v>
          </cell>
          <cell r="E186" t="str">
            <v>PURITY EHREUREICH</v>
          </cell>
          <cell r="F186" t="str">
            <v>D (MD)</v>
          </cell>
          <cell r="G186">
            <v>326581</v>
          </cell>
          <cell r="H186" t="str">
            <v>Mayday</v>
          </cell>
          <cell r="I186">
            <v>0.64583333333333337</v>
          </cell>
          <cell r="J186">
            <v>0.85416666666666663</v>
          </cell>
          <cell r="K186">
            <v>5</v>
          </cell>
          <cell r="L186">
            <v>209.89</v>
          </cell>
          <cell r="O186" t="str">
            <v>Y</v>
          </cell>
          <cell r="P186" t="str">
            <v>N</v>
          </cell>
          <cell r="Q186" t="str">
            <v>Extra Capacity</v>
          </cell>
          <cell r="S186">
            <v>0.13</v>
          </cell>
        </row>
        <row r="187">
          <cell r="D187">
            <v>908001820</v>
          </cell>
          <cell r="E187" t="str">
            <v>ROHEYATOU NDOW-NJIE</v>
          </cell>
          <cell r="F187" t="str">
            <v>D (Ch)</v>
          </cell>
          <cell r="G187">
            <v>16684</v>
          </cell>
          <cell r="H187" t="str">
            <v>Choice</v>
          </cell>
          <cell r="I187">
            <v>0.88541666666666663</v>
          </cell>
          <cell r="J187">
            <v>0.3125</v>
          </cell>
          <cell r="K187">
            <v>9.9166666666666696</v>
          </cell>
          <cell r="L187">
            <v>314.17</v>
          </cell>
          <cell r="O187" t="str">
            <v>Y</v>
          </cell>
          <cell r="P187" t="str">
            <v>N</v>
          </cell>
          <cell r="Q187" t="str">
            <v>Vacancy</v>
          </cell>
          <cell r="S187">
            <v>0.26</v>
          </cell>
        </row>
        <row r="188">
          <cell r="D188">
            <v>808005858</v>
          </cell>
          <cell r="E188" t="str">
            <v>SAM KELEM</v>
          </cell>
          <cell r="F188" t="str">
            <v>D (Ch)</v>
          </cell>
          <cell r="G188">
            <v>16529</v>
          </cell>
          <cell r="H188" t="str">
            <v>Choice</v>
          </cell>
          <cell r="I188">
            <v>0.82291666666666663</v>
          </cell>
          <cell r="J188">
            <v>0.34375</v>
          </cell>
          <cell r="K188">
            <v>11.5</v>
          </cell>
          <cell r="L188">
            <v>364.33</v>
          </cell>
          <cell r="O188" t="str">
            <v>Y</v>
          </cell>
          <cell r="P188" t="str">
            <v>N</v>
          </cell>
          <cell r="Q188" t="str">
            <v>Vacancy</v>
          </cell>
          <cell r="S188">
            <v>0.31</v>
          </cell>
        </row>
        <row r="189">
          <cell r="D189">
            <v>808000251</v>
          </cell>
          <cell r="E189" t="str">
            <v>SAMANTHA BICK</v>
          </cell>
          <cell r="F189" t="str">
            <v>D (MD)</v>
          </cell>
          <cell r="H189" t="str">
            <v>Mayday</v>
          </cell>
          <cell r="I189">
            <v>0.3125</v>
          </cell>
          <cell r="J189">
            <v>0.64583333333333337</v>
          </cell>
          <cell r="K189">
            <v>7.6666666666666696</v>
          </cell>
          <cell r="L189">
            <v>321.82</v>
          </cell>
          <cell r="O189" t="str">
            <v>Y</v>
          </cell>
          <cell r="P189" t="str">
            <v>N</v>
          </cell>
          <cell r="Q189" t="str">
            <v>Extra Capacity</v>
          </cell>
          <cell r="S189">
            <v>0.2</v>
          </cell>
        </row>
        <row r="190">
          <cell r="D190">
            <v>708002196</v>
          </cell>
          <cell r="E190" t="str">
            <v>TARA MASSIE</v>
          </cell>
          <cell r="F190" t="str">
            <v>D (MD)</v>
          </cell>
          <cell r="G190">
            <v>326523</v>
          </cell>
          <cell r="H190" t="str">
            <v>Mayday</v>
          </cell>
          <cell r="I190">
            <v>0.3125</v>
          </cell>
          <cell r="J190">
            <v>0.64583333333333337</v>
          </cell>
          <cell r="K190">
            <v>7.6666666666666696</v>
          </cell>
          <cell r="L190">
            <v>321.82</v>
          </cell>
          <cell r="O190" t="str">
            <v>Y</v>
          </cell>
          <cell r="P190" t="str">
            <v>N</v>
          </cell>
          <cell r="Q190" t="str">
            <v>Extra Capacity</v>
          </cell>
          <cell r="S190">
            <v>0.2</v>
          </cell>
        </row>
        <row r="191">
          <cell r="D191">
            <v>708002235</v>
          </cell>
          <cell r="E191" t="str">
            <v>TARA MASSIE</v>
          </cell>
          <cell r="F191" t="str">
            <v>D (MD)</v>
          </cell>
          <cell r="G191">
            <v>326523</v>
          </cell>
          <cell r="H191" t="str">
            <v>Mayday</v>
          </cell>
          <cell r="I191">
            <v>0.64583333333333337</v>
          </cell>
          <cell r="J191">
            <v>0.85416666666666663</v>
          </cell>
          <cell r="K191">
            <v>5</v>
          </cell>
          <cell r="L191">
            <v>209.89</v>
          </cell>
          <cell r="O191" t="str">
            <v>Y</v>
          </cell>
          <cell r="P191" t="str">
            <v>N</v>
          </cell>
          <cell r="Q191" t="str">
            <v>Extra Capacity</v>
          </cell>
          <cell r="S191">
            <v>0.13</v>
          </cell>
        </row>
        <row r="192">
          <cell r="D192">
            <v>908001506</v>
          </cell>
          <cell r="E192" t="str">
            <v>TEMBE NGIDI</v>
          </cell>
          <cell r="F192" t="str">
            <v>D (MD)</v>
          </cell>
          <cell r="G192">
            <v>326568</v>
          </cell>
          <cell r="H192" t="str">
            <v>Mayday</v>
          </cell>
          <cell r="I192">
            <v>0.875</v>
          </cell>
          <cell r="J192">
            <v>0.3125</v>
          </cell>
          <cell r="K192">
            <v>10.1666666666667</v>
          </cell>
          <cell r="L192">
            <v>426.77</v>
          </cell>
          <cell r="O192" t="str">
            <v>Y</v>
          </cell>
          <cell r="P192" t="str">
            <v>N</v>
          </cell>
          <cell r="Q192" t="str">
            <v>Extra Capacity</v>
          </cell>
          <cell r="S192">
            <v>0.27</v>
          </cell>
        </row>
        <row r="193">
          <cell r="D193">
            <v>908002083</v>
          </cell>
          <cell r="E193" t="str">
            <v>THEMBE NHOSE</v>
          </cell>
          <cell r="F193" t="str">
            <v>D (MD)</v>
          </cell>
          <cell r="G193">
            <v>327033</v>
          </cell>
          <cell r="H193" t="str">
            <v>Mayday</v>
          </cell>
          <cell r="I193">
            <v>0.83333333333333337</v>
          </cell>
          <cell r="J193">
            <v>0.33333333333333331</v>
          </cell>
          <cell r="K193">
            <v>11</v>
          </cell>
          <cell r="L193">
            <v>461.75</v>
          </cell>
          <cell r="O193" t="str">
            <v>Y</v>
          </cell>
          <cell r="P193" t="str">
            <v>N</v>
          </cell>
          <cell r="Q193" t="str">
            <v>Acuity</v>
          </cell>
          <cell r="S193">
            <v>0.28999999999999998</v>
          </cell>
        </row>
        <row r="194">
          <cell r="D194">
            <v>808002665</v>
          </cell>
          <cell r="E194" t="str">
            <v>ALMA DEPENA</v>
          </cell>
          <cell r="F194" t="str">
            <v>D (Ch)</v>
          </cell>
          <cell r="G194">
            <v>16538</v>
          </cell>
          <cell r="H194" t="str">
            <v>Choice</v>
          </cell>
          <cell r="I194">
            <v>0.83333333333333337</v>
          </cell>
          <cell r="J194">
            <v>0.33333333333333331</v>
          </cell>
          <cell r="K194">
            <v>11.3333333333333</v>
          </cell>
          <cell r="L194">
            <v>441.91</v>
          </cell>
          <cell r="O194" t="str">
            <v>Y</v>
          </cell>
          <cell r="P194" t="str">
            <v>N</v>
          </cell>
          <cell r="Q194" t="str">
            <v>Under Established</v>
          </cell>
          <cell r="S194">
            <v>0.3</v>
          </cell>
        </row>
        <row r="195">
          <cell r="D195">
            <v>908002100</v>
          </cell>
          <cell r="E195" t="str">
            <v>ATINUKE OKE-OLATUNDE</v>
          </cell>
          <cell r="F195" t="str">
            <v>D (MD)</v>
          </cell>
          <cell r="G195">
            <v>330935</v>
          </cell>
          <cell r="H195" t="str">
            <v>Mayday</v>
          </cell>
          <cell r="I195">
            <v>0.88541666666666663</v>
          </cell>
          <cell r="J195">
            <v>0.3125</v>
          </cell>
          <cell r="K195">
            <v>9.9166666666666696</v>
          </cell>
          <cell r="L195">
            <v>512.33000000000004</v>
          </cell>
          <cell r="O195" t="str">
            <v>Y</v>
          </cell>
          <cell r="P195" t="str">
            <v>N</v>
          </cell>
          <cell r="Q195" t="str">
            <v>Nurse Moved</v>
          </cell>
          <cell r="S195">
            <v>0.26</v>
          </cell>
        </row>
        <row r="196">
          <cell r="D196">
            <v>808005290</v>
          </cell>
          <cell r="E196" t="str">
            <v>BEAUTY NGIDI</v>
          </cell>
          <cell r="F196" t="str">
            <v>D (MD)</v>
          </cell>
          <cell r="G196">
            <v>326268</v>
          </cell>
          <cell r="H196" t="str">
            <v>Mayday</v>
          </cell>
          <cell r="I196">
            <v>0.84375</v>
          </cell>
          <cell r="J196">
            <v>0.32291666666666669</v>
          </cell>
          <cell r="K196">
            <v>11.1666666666667</v>
          </cell>
          <cell r="L196">
            <v>576.91</v>
          </cell>
          <cell r="O196" t="str">
            <v>Y</v>
          </cell>
          <cell r="P196" t="str">
            <v>N</v>
          </cell>
          <cell r="Q196" t="str">
            <v>Short Term Sick</v>
          </cell>
          <cell r="S196">
            <v>0.3</v>
          </cell>
        </row>
        <row r="197">
          <cell r="D197">
            <v>708002204</v>
          </cell>
          <cell r="E197" t="str">
            <v>BERNADETTE SHINYA-NDUNUWANI</v>
          </cell>
          <cell r="F197" t="str">
            <v>D (MD)</v>
          </cell>
          <cell r="G197">
            <v>328300</v>
          </cell>
          <cell r="H197" t="str">
            <v>Mayday</v>
          </cell>
          <cell r="I197">
            <v>0.3125</v>
          </cell>
          <cell r="J197">
            <v>0.64583333333333337</v>
          </cell>
          <cell r="K197">
            <v>7.6666666666666696</v>
          </cell>
          <cell r="L197">
            <v>396.09</v>
          </cell>
          <cell r="O197" t="str">
            <v>Y</v>
          </cell>
          <cell r="P197" t="str">
            <v>N</v>
          </cell>
          <cell r="Q197" t="str">
            <v>Extra Capacity</v>
          </cell>
          <cell r="S197">
            <v>0.2</v>
          </cell>
        </row>
        <row r="198">
          <cell r="D198">
            <v>708002243</v>
          </cell>
          <cell r="E198" t="str">
            <v>BERNADETTE SHINYA-NDUNUWANI</v>
          </cell>
          <cell r="F198" t="str">
            <v>D (MD)</v>
          </cell>
          <cell r="G198">
            <v>328300</v>
          </cell>
          <cell r="H198" t="str">
            <v>Mayday</v>
          </cell>
          <cell r="I198">
            <v>0.64583333333333337</v>
          </cell>
          <cell r="J198">
            <v>0.85416666666666663</v>
          </cell>
          <cell r="K198">
            <v>5</v>
          </cell>
          <cell r="L198">
            <v>258.32</v>
          </cell>
          <cell r="O198" t="str">
            <v>Y</v>
          </cell>
          <cell r="P198" t="str">
            <v>N</v>
          </cell>
          <cell r="Q198" t="str">
            <v>Extra Capacity</v>
          </cell>
          <cell r="S198">
            <v>0.13</v>
          </cell>
        </row>
        <row r="199">
          <cell r="D199">
            <v>908002126</v>
          </cell>
          <cell r="E199" t="str">
            <v>BONNIE TWALA</v>
          </cell>
          <cell r="F199" t="str">
            <v>D (MD)</v>
          </cell>
          <cell r="G199">
            <v>326531</v>
          </cell>
          <cell r="H199" t="str">
            <v>Mayday</v>
          </cell>
          <cell r="I199">
            <v>0.83333333333333337</v>
          </cell>
          <cell r="J199">
            <v>0.33333333333333331</v>
          </cell>
          <cell r="K199">
            <v>11.3333333333333</v>
          </cell>
          <cell r="L199">
            <v>585.53</v>
          </cell>
          <cell r="O199" t="str">
            <v>Y</v>
          </cell>
          <cell r="P199" t="str">
            <v>N</v>
          </cell>
          <cell r="Q199" t="str">
            <v>Nurse Moved</v>
          </cell>
          <cell r="S199">
            <v>0.3</v>
          </cell>
        </row>
        <row r="200">
          <cell r="D200">
            <v>808005859</v>
          </cell>
          <cell r="E200" t="str">
            <v>CYNTHIA DELMO (emma flint ely)</v>
          </cell>
          <cell r="F200" t="str">
            <v>D (Ch)</v>
          </cell>
          <cell r="G200">
            <v>16604</v>
          </cell>
          <cell r="H200" t="str">
            <v>Choice</v>
          </cell>
          <cell r="I200">
            <v>0.32291666666666669</v>
          </cell>
          <cell r="J200">
            <v>0.84375</v>
          </cell>
          <cell r="K200">
            <v>11.8333333333333</v>
          </cell>
          <cell r="L200">
            <v>461.41</v>
          </cell>
          <cell r="O200" t="str">
            <v>Y</v>
          </cell>
          <cell r="P200" t="str">
            <v>N</v>
          </cell>
          <cell r="Q200" t="str">
            <v>Vacancy</v>
          </cell>
          <cell r="S200">
            <v>0.32</v>
          </cell>
        </row>
        <row r="201">
          <cell r="D201">
            <v>708002236</v>
          </cell>
          <cell r="E201" t="str">
            <v>GRACE CHIKWAVA</v>
          </cell>
          <cell r="F201" t="str">
            <v>D (Ch)</v>
          </cell>
          <cell r="G201">
            <v>16616</v>
          </cell>
          <cell r="H201" t="str">
            <v>Choice</v>
          </cell>
          <cell r="I201">
            <v>0.64583333333333337</v>
          </cell>
          <cell r="J201">
            <v>0.85416666666666663</v>
          </cell>
          <cell r="K201">
            <v>5</v>
          </cell>
          <cell r="L201">
            <v>194.96</v>
          </cell>
          <cell r="O201" t="str">
            <v>Y</v>
          </cell>
          <cell r="P201" t="str">
            <v>N</v>
          </cell>
          <cell r="Q201" t="str">
            <v>Extra Capacity</v>
          </cell>
          <cell r="S201">
            <v>0.13</v>
          </cell>
        </row>
        <row r="202">
          <cell r="D202">
            <v>708002397</v>
          </cell>
          <cell r="E202" t="str">
            <v>GRACE CHIKWAVA</v>
          </cell>
          <cell r="F202" t="str">
            <v>D (Ch)</v>
          </cell>
          <cell r="G202">
            <v>16616</v>
          </cell>
          <cell r="H202" t="str">
            <v>Choice</v>
          </cell>
          <cell r="I202">
            <v>0.3125</v>
          </cell>
          <cell r="J202">
            <v>0.64583333333333337</v>
          </cell>
          <cell r="K202">
            <v>7.6666666666666696</v>
          </cell>
          <cell r="L202">
            <v>298.94</v>
          </cell>
          <cell r="O202" t="str">
            <v>Y</v>
          </cell>
          <cell r="P202" t="str">
            <v>N</v>
          </cell>
          <cell r="Q202" t="str">
            <v>Extra Capacity</v>
          </cell>
          <cell r="S202">
            <v>0.2</v>
          </cell>
        </row>
        <row r="203">
          <cell r="D203">
            <v>708002197</v>
          </cell>
          <cell r="E203" t="str">
            <v>JASMINE ESGUERRA</v>
          </cell>
          <cell r="F203" t="str">
            <v>D (Ch)</v>
          </cell>
          <cell r="G203">
            <v>16546</v>
          </cell>
          <cell r="H203" t="str">
            <v>Choice</v>
          </cell>
          <cell r="I203">
            <v>0.3125</v>
          </cell>
          <cell r="J203">
            <v>0.64583333333333337</v>
          </cell>
          <cell r="K203">
            <v>7.6666666666666696</v>
          </cell>
          <cell r="L203">
            <v>298.94</v>
          </cell>
          <cell r="O203" t="str">
            <v>Y</v>
          </cell>
          <cell r="P203" t="str">
            <v>N</v>
          </cell>
          <cell r="Q203" t="str">
            <v>Extra Capacity</v>
          </cell>
          <cell r="S203">
            <v>0.2</v>
          </cell>
        </row>
        <row r="204">
          <cell r="D204">
            <v>908000943</v>
          </cell>
          <cell r="E204" t="str">
            <v>JASON WENT</v>
          </cell>
          <cell r="F204" t="str">
            <v>D / 5 General (</v>
          </cell>
          <cell r="G204" t="str">
            <v>604-147708</v>
          </cell>
          <cell r="H204" t="str">
            <v>Blue Arrow</v>
          </cell>
          <cell r="I204">
            <v>0.88541666666666663</v>
          </cell>
          <cell r="J204">
            <v>0.3125</v>
          </cell>
          <cell r="K204">
            <v>9.9166666666666696</v>
          </cell>
          <cell r="L204">
            <v>267.83</v>
          </cell>
          <cell r="O204" t="str">
            <v>Y</v>
          </cell>
          <cell r="P204" t="str">
            <v>N</v>
          </cell>
          <cell r="Q204" t="str">
            <v>Backfill</v>
          </cell>
          <cell r="S204">
            <v>0.26</v>
          </cell>
        </row>
        <row r="205">
          <cell r="D205">
            <v>908002127</v>
          </cell>
          <cell r="E205" t="str">
            <v>JESSICA BELLAMY</v>
          </cell>
          <cell r="F205" t="str">
            <v>D (MD)</v>
          </cell>
          <cell r="G205">
            <v>327855</v>
          </cell>
          <cell r="H205" t="str">
            <v>Mayday</v>
          </cell>
          <cell r="I205">
            <v>0.88541666666666663</v>
          </cell>
          <cell r="J205">
            <v>0.3125</v>
          </cell>
          <cell r="K205">
            <v>9.9166666666666696</v>
          </cell>
          <cell r="L205">
            <v>512.33000000000004</v>
          </cell>
          <cell r="O205" t="str">
            <v>Y</v>
          </cell>
          <cell r="P205" t="str">
            <v>N</v>
          </cell>
          <cell r="Q205" t="str">
            <v>Nurse Moved</v>
          </cell>
          <cell r="S205">
            <v>0.26</v>
          </cell>
        </row>
        <row r="206">
          <cell r="D206">
            <v>908000289</v>
          </cell>
          <cell r="E206" t="str">
            <v>LETECIA MENIANO</v>
          </cell>
          <cell r="F206" t="str">
            <v>D (MD)</v>
          </cell>
          <cell r="G206">
            <v>326535</v>
          </cell>
          <cell r="H206" t="str">
            <v>Mayday</v>
          </cell>
          <cell r="I206">
            <v>0.83333333333333337</v>
          </cell>
          <cell r="J206">
            <v>0.33333333333333331</v>
          </cell>
          <cell r="K206">
            <v>11.3333333333333</v>
          </cell>
          <cell r="L206">
            <v>585.53</v>
          </cell>
          <cell r="O206" t="str">
            <v>Y</v>
          </cell>
          <cell r="P206" t="str">
            <v>N</v>
          </cell>
          <cell r="Q206" t="str">
            <v>Extra Capacity</v>
          </cell>
          <cell r="S206">
            <v>0.3</v>
          </cell>
        </row>
        <row r="207">
          <cell r="D207">
            <v>808004749</v>
          </cell>
          <cell r="E207" t="str">
            <v>MIRIAM NGWERUME</v>
          </cell>
          <cell r="F207" t="str">
            <v>D (Ch)</v>
          </cell>
          <cell r="G207">
            <v>16540</v>
          </cell>
          <cell r="H207" t="str">
            <v>Choice</v>
          </cell>
          <cell r="I207">
            <v>0.64583333333333337</v>
          </cell>
          <cell r="J207">
            <v>0.85416666666666663</v>
          </cell>
          <cell r="K207">
            <v>5</v>
          </cell>
          <cell r="L207">
            <v>194.96</v>
          </cell>
          <cell r="O207" t="str">
            <v>Y</v>
          </cell>
          <cell r="P207" t="str">
            <v>N</v>
          </cell>
          <cell r="Q207" t="str">
            <v>Vacancy</v>
          </cell>
          <cell r="S207">
            <v>0.13</v>
          </cell>
        </row>
        <row r="208">
          <cell r="D208">
            <v>808004752</v>
          </cell>
          <cell r="E208" t="str">
            <v>MIRIAM NGWERUME</v>
          </cell>
          <cell r="F208" t="str">
            <v>D (Ch)</v>
          </cell>
          <cell r="G208">
            <v>16540</v>
          </cell>
          <cell r="H208" t="str">
            <v>Choice</v>
          </cell>
          <cell r="I208">
            <v>0.3125</v>
          </cell>
          <cell r="J208">
            <v>0.64583333333333337</v>
          </cell>
          <cell r="K208">
            <v>7.5</v>
          </cell>
          <cell r="L208">
            <v>292.44</v>
          </cell>
          <cell r="O208" t="str">
            <v>Y</v>
          </cell>
          <cell r="P208" t="str">
            <v>N</v>
          </cell>
          <cell r="Q208" t="str">
            <v>Vacancy</v>
          </cell>
          <cell r="S208">
            <v>0.2</v>
          </cell>
        </row>
        <row r="209">
          <cell r="D209">
            <v>708002388</v>
          </cell>
          <cell r="E209" t="str">
            <v>NILO DANUGO</v>
          </cell>
          <cell r="F209" t="str">
            <v>D (Ch)</v>
          </cell>
          <cell r="G209">
            <v>16616</v>
          </cell>
          <cell r="H209" t="str">
            <v>Choice</v>
          </cell>
          <cell r="I209">
            <v>0.83333333333333337</v>
          </cell>
          <cell r="J209">
            <v>0.33333333333333331</v>
          </cell>
          <cell r="K209">
            <v>11.3333333333333</v>
          </cell>
          <cell r="L209">
            <v>441.91</v>
          </cell>
          <cell r="O209" t="str">
            <v>Y</v>
          </cell>
          <cell r="P209" t="str">
            <v>N</v>
          </cell>
          <cell r="Q209" t="str">
            <v>Extra Capacity</v>
          </cell>
          <cell r="S209">
            <v>0.3</v>
          </cell>
        </row>
        <row r="210">
          <cell r="D210">
            <v>808004750</v>
          </cell>
          <cell r="E210" t="str">
            <v>NORLITA MUNOZ</v>
          </cell>
          <cell r="F210" t="str">
            <v>D (MD)</v>
          </cell>
          <cell r="G210">
            <v>328815</v>
          </cell>
          <cell r="H210" t="str">
            <v>Mayday</v>
          </cell>
          <cell r="I210">
            <v>0.3125</v>
          </cell>
          <cell r="J210">
            <v>0.64583333333333337</v>
          </cell>
          <cell r="K210">
            <v>7.5</v>
          </cell>
          <cell r="L210">
            <v>387.48</v>
          </cell>
          <cell r="O210" t="str">
            <v>Y</v>
          </cell>
          <cell r="P210" t="str">
            <v>N</v>
          </cell>
          <cell r="Q210" t="str">
            <v>Vacancy</v>
          </cell>
          <cell r="S210">
            <v>0.2</v>
          </cell>
        </row>
        <row r="211">
          <cell r="D211">
            <v>908002123</v>
          </cell>
          <cell r="E211" t="str">
            <v>OUSMAN JAWO</v>
          </cell>
          <cell r="F211" t="str">
            <v>D (MD)</v>
          </cell>
          <cell r="G211">
            <v>327850</v>
          </cell>
          <cell r="H211" t="str">
            <v>Mayday</v>
          </cell>
          <cell r="I211">
            <v>0.84375</v>
          </cell>
          <cell r="J211">
            <v>0.33333333333333331</v>
          </cell>
          <cell r="K211">
            <v>11.4166666666667</v>
          </cell>
          <cell r="L211">
            <v>589.83000000000004</v>
          </cell>
          <cell r="O211" t="str">
            <v>Y</v>
          </cell>
          <cell r="P211" t="str">
            <v>N</v>
          </cell>
          <cell r="Q211" t="str">
            <v>Nurse Moved</v>
          </cell>
          <cell r="S211">
            <v>0.3</v>
          </cell>
        </row>
        <row r="212">
          <cell r="D212">
            <v>808000243</v>
          </cell>
          <cell r="E212" t="str">
            <v>PAT DUBE</v>
          </cell>
          <cell r="F212" t="str">
            <v>D (MD)</v>
          </cell>
          <cell r="G212">
            <v>328313</v>
          </cell>
          <cell r="H212" t="str">
            <v>Mayday</v>
          </cell>
          <cell r="I212">
            <v>0.3125</v>
          </cell>
          <cell r="J212">
            <v>0.64583333333333337</v>
          </cell>
          <cell r="K212">
            <v>7.6666666666666696</v>
          </cell>
          <cell r="L212">
            <v>396.09</v>
          </cell>
          <cell r="O212" t="str">
            <v>Y</v>
          </cell>
          <cell r="P212" t="str">
            <v>N</v>
          </cell>
          <cell r="Q212" t="str">
            <v>Extra Capacity</v>
          </cell>
          <cell r="S212">
            <v>0.2</v>
          </cell>
        </row>
        <row r="213">
          <cell r="D213">
            <v>908002136</v>
          </cell>
          <cell r="E213" t="str">
            <v>PAT MUGABZA</v>
          </cell>
          <cell r="F213" t="str">
            <v>A (Ch)</v>
          </cell>
          <cell r="G213">
            <v>16545</v>
          </cell>
          <cell r="H213" t="str">
            <v>Choice</v>
          </cell>
          <cell r="I213">
            <v>0.83333333333333337</v>
          </cell>
          <cell r="J213">
            <v>0.33333333333333331</v>
          </cell>
          <cell r="K213">
            <v>11.3333333333333</v>
          </cell>
          <cell r="L213">
            <v>209.48</v>
          </cell>
          <cell r="O213" t="str">
            <v>Y</v>
          </cell>
          <cell r="P213" t="str">
            <v>N</v>
          </cell>
          <cell r="Q213" t="str">
            <v>On-Call</v>
          </cell>
          <cell r="S213">
            <v>0.3</v>
          </cell>
        </row>
        <row r="214">
          <cell r="D214">
            <v>908001166</v>
          </cell>
          <cell r="E214" t="str">
            <v>PEGGY CHIRIKURE</v>
          </cell>
          <cell r="F214" t="str">
            <v>D (Ch)</v>
          </cell>
          <cell r="G214">
            <v>16525</v>
          </cell>
          <cell r="H214" t="str">
            <v>Choice</v>
          </cell>
          <cell r="I214">
            <v>0.3125</v>
          </cell>
          <cell r="J214">
            <v>0.54166666666666663</v>
          </cell>
          <cell r="K214">
            <v>5.5</v>
          </cell>
          <cell r="L214">
            <v>214.46</v>
          </cell>
          <cell r="O214" t="str">
            <v>Y</v>
          </cell>
          <cell r="P214" t="str">
            <v>N</v>
          </cell>
          <cell r="Q214" t="str">
            <v>Split shift</v>
          </cell>
          <cell r="S214">
            <v>0.15</v>
          </cell>
        </row>
        <row r="215">
          <cell r="D215">
            <v>808002664</v>
          </cell>
          <cell r="E215" t="str">
            <v>SAM KELEM</v>
          </cell>
          <cell r="F215" t="str">
            <v>D (Ch)</v>
          </cell>
          <cell r="H215" t="str">
            <v>Choice</v>
          </cell>
          <cell r="I215">
            <v>0.83333333333333337</v>
          </cell>
          <cell r="J215">
            <v>0.33333333333333331</v>
          </cell>
          <cell r="K215">
            <v>11.3333333333333</v>
          </cell>
          <cell r="L215">
            <v>441.91</v>
          </cell>
          <cell r="O215" t="str">
            <v>Y</v>
          </cell>
          <cell r="P215" t="str">
            <v>N</v>
          </cell>
          <cell r="Q215" t="str">
            <v>Under Established</v>
          </cell>
          <cell r="S215">
            <v>0.3</v>
          </cell>
        </row>
        <row r="216">
          <cell r="D216">
            <v>808000252</v>
          </cell>
          <cell r="E216" t="str">
            <v>SAMANTHA BICK</v>
          </cell>
          <cell r="F216" t="str">
            <v>D (MD)</v>
          </cell>
          <cell r="G216">
            <v>326582</v>
          </cell>
          <cell r="H216" t="str">
            <v>Mayday</v>
          </cell>
          <cell r="I216">
            <v>0.3125</v>
          </cell>
          <cell r="J216">
            <v>0.64583333333333337</v>
          </cell>
          <cell r="K216">
            <v>7.6666666666666696</v>
          </cell>
          <cell r="L216">
            <v>396.09</v>
          </cell>
          <cell r="O216" t="str">
            <v>Y</v>
          </cell>
          <cell r="P216" t="str">
            <v>N</v>
          </cell>
          <cell r="Q216" t="str">
            <v>Extra Capacity</v>
          </cell>
          <cell r="S216">
            <v>0.2</v>
          </cell>
        </row>
        <row r="217">
          <cell r="D217">
            <v>908001502</v>
          </cell>
          <cell r="E217" t="str">
            <v>SEREELETSO MAITIYO</v>
          </cell>
          <cell r="F217" t="str">
            <v>D (Ch)</v>
          </cell>
          <cell r="G217">
            <v>16542</v>
          </cell>
          <cell r="H217" t="str">
            <v>Choice</v>
          </cell>
          <cell r="I217">
            <v>0.29166666666666669</v>
          </cell>
          <cell r="J217">
            <v>0.625</v>
          </cell>
          <cell r="K217">
            <v>7.5</v>
          </cell>
          <cell r="L217">
            <v>292.44</v>
          </cell>
          <cell r="O217" t="str">
            <v>Y</v>
          </cell>
          <cell r="P217" t="str">
            <v>N</v>
          </cell>
          <cell r="Q217" t="str">
            <v>Extra Capacity</v>
          </cell>
          <cell r="S217">
            <v>0.2</v>
          </cell>
        </row>
        <row r="218">
          <cell r="D218">
            <v>908001504</v>
          </cell>
          <cell r="E218" t="str">
            <v>SEREELETSO MAITIYO</v>
          </cell>
          <cell r="F218" t="str">
            <v>D (Ch)</v>
          </cell>
          <cell r="G218">
            <v>16542</v>
          </cell>
          <cell r="H218" t="str">
            <v>Choice</v>
          </cell>
          <cell r="I218">
            <v>0.625</v>
          </cell>
          <cell r="J218">
            <v>0.89583333333333337</v>
          </cell>
          <cell r="K218">
            <v>6.1666666666666696</v>
          </cell>
          <cell r="L218">
            <v>240.45</v>
          </cell>
          <cell r="O218" t="str">
            <v>Y</v>
          </cell>
          <cell r="P218" t="str">
            <v>N</v>
          </cell>
          <cell r="Q218" t="str">
            <v>Extra Capacity</v>
          </cell>
          <cell r="S218">
            <v>0.16</v>
          </cell>
        </row>
        <row r="219">
          <cell r="D219">
            <v>908002121</v>
          </cell>
          <cell r="E219" t="str">
            <v>TEMBE NGIDI</v>
          </cell>
          <cell r="F219" t="str">
            <v>D (MD)</v>
          </cell>
          <cell r="G219">
            <v>326570</v>
          </cell>
          <cell r="H219" t="str">
            <v>Mayday</v>
          </cell>
          <cell r="I219">
            <v>0.83333333333333337</v>
          </cell>
          <cell r="J219">
            <v>0.33333333333333331</v>
          </cell>
          <cell r="K219">
            <v>11</v>
          </cell>
          <cell r="L219">
            <v>568.29999999999995</v>
          </cell>
          <cell r="O219" t="str">
            <v>Y</v>
          </cell>
          <cell r="P219" t="str">
            <v>N</v>
          </cell>
          <cell r="Q219" t="str">
            <v>Nurse Moved</v>
          </cell>
          <cell r="S219">
            <v>0.28999999999999998</v>
          </cell>
        </row>
        <row r="220">
          <cell r="D220">
            <v>808001981</v>
          </cell>
          <cell r="E220" t="str">
            <v>TERRY MANWAIRE (grace pandakauan</v>
          </cell>
          <cell r="F220" t="str">
            <v>D (Ch)</v>
          </cell>
          <cell r="G220">
            <v>16609</v>
          </cell>
          <cell r="H220" t="str">
            <v>Choice</v>
          </cell>
          <cell r="I220">
            <v>0.875</v>
          </cell>
          <cell r="J220">
            <v>0.30208333333333331</v>
          </cell>
          <cell r="K220">
            <v>9.9166666666666696</v>
          </cell>
          <cell r="L220">
            <v>386.67</v>
          </cell>
          <cell r="O220" t="str">
            <v>Y</v>
          </cell>
          <cell r="P220" t="str">
            <v>N</v>
          </cell>
          <cell r="Q220" t="str">
            <v>Vacancy</v>
          </cell>
          <cell r="S220">
            <v>0.26</v>
          </cell>
        </row>
        <row r="221">
          <cell r="D221">
            <v>808001086</v>
          </cell>
          <cell r="E221" t="str">
            <v>TRUST CHIWUNDURA</v>
          </cell>
          <cell r="F221" t="str">
            <v>A (Ch)</v>
          </cell>
          <cell r="G221">
            <v>16526</v>
          </cell>
          <cell r="H221" t="str">
            <v>Choice</v>
          </cell>
          <cell r="I221">
            <v>0.875</v>
          </cell>
          <cell r="J221">
            <v>0.3125</v>
          </cell>
          <cell r="K221">
            <v>10.1666666666667</v>
          </cell>
          <cell r="L221">
            <v>187.91</v>
          </cell>
          <cell r="O221" t="str">
            <v>Y</v>
          </cell>
          <cell r="P221" t="str">
            <v>N</v>
          </cell>
          <cell r="Q221" t="str">
            <v>Maternity Leave</v>
          </cell>
          <cell r="S221">
            <v>0.27</v>
          </cell>
        </row>
        <row r="222">
          <cell r="D222">
            <v>808002473</v>
          </cell>
          <cell r="E222" t="str">
            <v>ANNA BONNERUP</v>
          </cell>
          <cell r="F222" t="str">
            <v>D / 5 General (</v>
          </cell>
          <cell r="G222" t="str">
            <v>604-148556</v>
          </cell>
          <cell r="H222" t="str">
            <v>Blue Arrow</v>
          </cell>
          <cell r="I222">
            <v>0.625</v>
          </cell>
          <cell r="J222">
            <v>0.85416666666666663</v>
          </cell>
          <cell r="K222">
            <v>5.5</v>
          </cell>
          <cell r="L222">
            <v>92.84</v>
          </cell>
          <cell r="O222" t="str">
            <v>Y</v>
          </cell>
          <cell r="P222" t="str">
            <v>N</v>
          </cell>
          <cell r="Q222" t="str">
            <v>Vacancy</v>
          </cell>
          <cell r="S222">
            <v>0.15</v>
          </cell>
        </row>
        <row r="223">
          <cell r="D223">
            <v>908002183</v>
          </cell>
          <cell r="E223" t="str">
            <v>ATINUKE OKE-OLATUNDE</v>
          </cell>
          <cell r="F223" t="str">
            <v>D (MD)</v>
          </cell>
          <cell r="G223">
            <v>330936</v>
          </cell>
          <cell r="H223" t="str">
            <v>Mayday</v>
          </cell>
          <cell r="I223">
            <v>0.88541666666666663</v>
          </cell>
          <cell r="J223">
            <v>0.3125</v>
          </cell>
          <cell r="K223">
            <v>9.25</v>
          </cell>
          <cell r="L223">
            <v>388.29</v>
          </cell>
          <cell r="O223" t="str">
            <v>Y</v>
          </cell>
          <cell r="P223" t="str">
            <v>N</v>
          </cell>
          <cell r="Q223" t="str">
            <v>Extra Capacity</v>
          </cell>
          <cell r="S223">
            <v>0.25</v>
          </cell>
        </row>
        <row r="224">
          <cell r="D224">
            <v>908002186</v>
          </cell>
          <cell r="E224" t="str">
            <v>BEAUTY NGIDI</v>
          </cell>
          <cell r="F224" t="str">
            <v>D (MD)</v>
          </cell>
          <cell r="G224">
            <v>328535</v>
          </cell>
          <cell r="H224" t="str">
            <v>Mayday</v>
          </cell>
          <cell r="I224">
            <v>0.8125</v>
          </cell>
          <cell r="J224">
            <v>0.33333333333333331</v>
          </cell>
          <cell r="K224">
            <v>11.5</v>
          </cell>
          <cell r="L224">
            <v>482.74</v>
          </cell>
          <cell r="O224" t="str">
            <v>Y</v>
          </cell>
          <cell r="P224" t="str">
            <v>N</v>
          </cell>
          <cell r="Q224" t="str">
            <v>Extra Capacity</v>
          </cell>
          <cell r="S224">
            <v>0.31</v>
          </cell>
        </row>
        <row r="225">
          <cell r="D225">
            <v>908002188</v>
          </cell>
          <cell r="E225" t="str">
            <v>BONNIE TWALA</v>
          </cell>
          <cell r="F225" t="str">
            <v>D (MD)</v>
          </cell>
          <cell r="G225">
            <v>328312</v>
          </cell>
          <cell r="H225" t="str">
            <v>Mayday</v>
          </cell>
          <cell r="I225">
            <v>0.84375</v>
          </cell>
          <cell r="J225">
            <v>0.33333333333333331</v>
          </cell>
          <cell r="K225">
            <v>11.4166666666667</v>
          </cell>
          <cell r="L225">
            <v>479.24</v>
          </cell>
          <cell r="O225" t="str">
            <v>Y</v>
          </cell>
          <cell r="P225" t="str">
            <v>N</v>
          </cell>
          <cell r="Q225" t="str">
            <v>Extra Capacity</v>
          </cell>
          <cell r="S225">
            <v>0.3</v>
          </cell>
        </row>
        <row r="226">
          <cell r="D226">
            <v>808005009</v>
          </cell>
          <cell r="E226" t="str">
            <v>CHRIS STULAR</v>
          </cell>
          <cell r="F226" t="str">
            <v>D General (Orio</v>
          </cell>
          <cell r="G226" t="str">
            <v>Invsd Smt checked</v>
          </cell>
          <cell r="H226" t="str">
            <v>Orion</v>
          </cell>
          <cell r="I226">
            <v>0.33333333333333331</v>
          </cell>
          <cell r="J226">
            <v>0.89583333333333337</v>
          </cell>
          <cell r="K226">
            <v>12.5</v>
          </cell>
          <cell r="L226">
            <v>226.5</v>
          </cell>
          <cell r="O226" t="str">
            <v>Y</v>
          </cell>
          <cell r="P226" t="str">
            <v>N</v>
          </cell>
          <cell r="Q226" t="str">
            <v>Backfill</v>
          </cell>
          <cell r="S226">
            <v>0.33</v>
          </cell>
        </row>
        <row r="227">
          <cell r="D227">
            <v>908002525</v>
          </cell>
          <cell r="E227" t="str">
            <v>DEVIKA SAMAROO</v>
          </cell>
          <cell r="F227" t="str">
            <v>D (Amb)</v>
          </cell>
          <cell r="G227">
            <v>742608</v>
          </cell>
          <cell r="H227" t="str">
            <v>Ambition</v>
          </cell>
          <cell r="I227">
            <v>0.58333333333333337</v>
          </cell>
          <cell r="J227">
            <v>0.85416666666666663</v>
          </cell>
          <cell r="K227">
            <v>4</v>
          </cell>
          <cell r="L227">
            <v>156.4</v>
          </cell>
          <cell r="O227" t="str">
            <v>Y</v>
          </cell>
          <cell r="P227" t="str">
            <v>N</v>
          </cell>
          <cell r="Q227" t="str">
            <v>Vacancy</v>
          </cell>
          <cell r="S227">
            <v>0.11</v>
          </cell>
        </row>
        <row r="228">
          <cell r="D228">
            <v>908002292</v>
          </cell>
          <cell r="E228" t="str">
            <v>DINA BAXTER</v>
          </cell>
          <cell r="F228" t="str">
            <v>D (Amb)</v>
          </cell>
          <cell r="G228">
            <v>741411</v>
          </cell>
          <cell r="H228" t="str">
            <v>Ambition</v>
          </cell>
          <cell r="I228">
            <v>0.83333333333333337</v>
          </cell>
          <cell r="J228">
            <v>0.33333333333333331</v>
          </cell>
          <cell r="K228">
            <v>11.3333333333333</v>
          </cell>
          <cell r="L228">
            <v>576.07000000000005</v>
          </cell>
          <cell r="O228" t="str">
            <v>Y</v>
          </cell>
          <cell r="P228" t="str">
            <v>N</v>
          </cell>
          <cell r="Q228" t="str">
            <v>Extra Capacity</v>
          </cell>
          <cell r="S228">
            <v>0.3</v>
          </cell>
        </row>
        <row r="229">
          <cell r="D229">
            <v>908002095</v>
          </cell>
          <cell r="E229" t="str">
            <v>DOROTHY MUTHWA</v>
          </cell>
          <cell r="F229" t="str">
            <v>A (Ch)</v>
          </cell>
          <cell r="G229">
            <v>16667</v>
          </cell>
          <cell r="H229" t="str">
            <v>Choice</v>
          </cell>
          <cell r="I229">
            <v>0.82291666666666663</v>
          </cell>
          <cell r="J229">
            <v>0.34375</v>
          </cell>
          <cell r="K229">
            <v>11.5</v>
          </cell>
          <cell r="L229">
            <v>170.05</v>
          </cell>
          <cell r="O229" t="str">
            <v>Y</v>
          </cell>
          <cell r="P229" t="str">
            <v>N</v>
          </cell>
          <cell r="Q229" t="str">
            <v>Specials</v>
          </cell>
          <cell r="S229">
            <v>0.31</v>
          </cell>
        </row>
        <row r="230">
          <cell r="D230">
            <v>908001834</v>
          </cell>
          <cell r="E230" t="str">
            <v>EGNESS MONAISA (peggy chirike)</v>
          </cell>
          <cell r="F230" t="str">
            <v>D (Ch)</v>
          </cell>
          <cell r="G230">
            <v>16614</v>
          </cell>
          <cell r="H230" t="str">
            <v>Choice</v>
          </cell>
          <cell r="I230">
            <v>0.8125</v>
          </cell>
          <cell r="J230">
            <v>0.33333333333333331</v>
          </cell>
          <cell r="K230">
            <v>11.8333333333333</v>
          </cell>
          <cell r="L230">
            <v>374.89</v>
          </cell>
          <cell r="O230" t="str">
            <v>Y</v>
          </cell>
          <cell r="P230" t="str">
            <v>N</v>
          </cell>
          <cell r="Q230" t="str">
            <v>Extra Capacity</v>
          </cell>
          <cell r="S230">
            <v>0.32</v>
          </cell>
        </row>
        <row r="231">
          <cell r="D231">
            <v>808004955</v>
          </cell>
          <cell r="E231" t="str">
            <v>GRACE CHIKWAVA</v>
          </cell>
          <cell r="F231" t="str">
            <v>D (Ch)</v>
          </cell>
          <cell r="G231">
            <v>16606</v>
          </cell>
          <cell r="H231" t="str">
            <v>Choice</v>
          </cell>
          <cell r="I231">
            <v>0.3125</v>
          </cell>
          <cell r="J231">
            <v>0.5625</v>
          </cell>
          <cell r="K231">
            <v>5.6666666666666696</v>
          </cell>
          <cell r="L231">
            <v>138.1</v>
          </cell>
          <cell r="O231" t="str">
            <v>Y</v>
          </cell>
          <cell r="P231" t="str">
            <v>N</v>
          </cell>
          <cell r="Q231" t="str">
            <v>Vacancy</v>
          </cell>
          <cell r="S231">
            <v>0.15</v>
          </cell>
        </row>
        <row r="232">
          <cell r="D232">
            <v>808004957</v>
          </cell>
          <cell r="E232" t="str">
            <v>GRACE CHIKWAVA</v>
          </cell>
          <cell r="F232" t="str">
            <v>D (Ch)</v>
          </cell>
          <cell r="G232">
            <v>16606</v>
          </cell>
          <cell r="H232" t="str">
            <v>Choice</v>
          </cell>
          <cell r="I232">
            <v>0.60416666666666663</v>
          </cell>
          <cell r="J232">
            <v>0.8125</v>
          </cell>
          <cell r="K232">
            <v>5</v>
          </cell>
          <cell r="L232">
            <v>121.85</v>
          </cell>
          <cell r="O232" t="str">
            <v>Y</v>
          </cell>
          <cell r="P232" t="str">
            <v>N</v>
          </cell>
          <cell r="Q232" t="str">
            <v>Vacancy</v>
          </cell>
          <cell r="S232">
            <v>0.13</v>
          </cell>
        </row>
        <row r="233">
          <cell r="D233">
            <v>808004759</v>
          </cell>
          <cell r="E233" t="str">
            <v>JAMES MCCLEMENTS</v>
          </cell>
          <cell r="F233" t="str">
            <v>D (MD)</v>
          </cell>
          <cell r="G233">
            <v>328807</v>
          </cell>
          <cell r="H233" t="str">
            <v>Mayday</v>
          </cell>
          <cell r="I233">
            <v>0.64583333333333337</v>
          </cell>
          <cell r="J233">
            <v>0.85416666666666663</v>
          </cell>
          <cell r="K233">
            <v>5</v>
          </cell>
          <cell r="L233">
            <v>161.44999999999999</v>
          </cell>
          <cell r="O233" t="str">
            <v>Y</v>
          </cell>
          <cell r="P233" t="str">
            <v>N</v>
          </cell>
          <cell r="Q233" t="str">
            <v>Vacancy</v>
          </cell>
          <cell r="S233">
            <v>0.13</v>
          </cell>
        </row>
        <row r="234">
          <cell r="D234">
            <v>808003462</v>
          </cell>
          <cell r="E234" t="str">
            <v>JASMINE ESGUERRA</v>
          </cell>
          <cell r="F234" t="str">
            <v>D (Ch)</v>
          </cell>
          <cell r="G234">
            <v>16609</v>
          </cell>
          <cell r="H234" t="str">
            <v>Choice</v>
          </cell>
          <cell r="I234">
            <v>0.875</v>
          </cell>
          <cell r="J234">
            <v>0.30208333333333331</v>
          </cell>
          <cell r="K234">
            <v>9.9166666666666696</v>
          </cell>
          <cell r="L234">
            <v>314.17</v>
          </cell>
          <cell r="O234" t="str">
            <v>Y</v>
          </cell>
          <cell r="P234" t="str">
            <v>N</v>
          </cell>
          <cell r="Q234" t="str">
            <v>Vacancy</v>
          </cell>
          <cell r="S234">
            <v>0.26</v>
          </cell>
        </row>
        <row r="235">
          <cell r="D235">
            <v>908001793</v>
          </cell>
          <cell r="E235" t="str">
            <v>JASON WENT</v>
          </cell>
          <cell r="F235" t="str">
            <v>D / 5 General (</v>
          </cell>
          <cell r="G235" t="str">
            <v>604-148193</v>
          </cell>
          <cell r="H235" t="str">
            <v>Blue Arrow</v>
          </cell>
          <cell r="I235">
            <v>0.88541666666666663</v>
          </cell>
          <cell r="J235">
            <v>0.3125</v>
          </cell>
          <cell r="K235">
            <v>9.9166666666666696</v>
          </cell>
          <cell r="L235">
            <v>217.61</v>
          </cell>
          <cell r="O235" t="str">
            <v>Y</v>
          </cell>
          <cell r="P235" t="str">
            <v>N</v>
          </cell>
          <cell r="Q235" t="str">
            <v>Backfill</v>
          </cell>
          <cell r="S235">
            <v>0.26</v>
          </cell>
        </row>
        <row r="236">
          <cell r="D236">
            <v>808000315</v>
          </cell>
          <cell r="E236" t="str">
            <v>JOAN LEWIS</v>
          </cell>
          <cell r="F236" t="str">
            <v>D (MD)</v>
          </cell>
          <cell r="G236">
            <v>328311</v>
          </cell>
          <cell r="H236" t="str">
            <v>Mayday</v>
          </cell>
          <cell r="I236">
            <v>0.3125</v>
          </cell>
          <cell r="J236">
            <v>0.64583333333333337</v>
          </cell>
          <cell r="K236">
            <v>7.6666666666666696</v>
          </cell>
          <cell r="L236">
            <v>247.56</v>
          </cell>
          <cell r="O236" t="str">
            <v>Y</v>
          </cell>
          <cell r="P236" t="str">
            <v>N</v>
          </cell>
          <cell r="Q236" t="str">
            <v>Extra Capacity</v>
          </cell>
          <cell r="S236">
            <v>0.2</v>
          </cell>
        </row>
        <row r="237">
          <cell r="D237">
            <v>808000324</v>
          </cell>
          <cell r="E237" t="str">
            <v>JOAN LEWIS</v>
          </cell>
          <cell r="F237" t="str">
            <v>D (MD)</v>
          </cell>
          <cell r="G237">
            <v>328311</v>
          </cell>
          <cell r="H237" t="str">
            <v>Mayday</v>
          </cell>
          <cell r="I237">
            <v>0.64583333333333337</v>
          </cell>
          <cell r="J237">
            <v>0.85416666666666663</v>
          </cell>
          <cell r="K237">
            <v>5</v>
          </cell>
          <cell r="L237">
            <v>161.44999999999999</v>
          </cell>
          <cell r="O237" t="str">
            <v>Y</v>
          </cell>
          <cell r="P237" t="str">
            <v>N</v>
          </cell>
          <cell r="Q237" t="str">
            <v>Extra Capacity</v>
          </cell>
          <cell r="S237">
            <v>0.13</v>
          </cell>
        </row>
        <row r="238">
          <cell r="D238">
            <v>908000927</v>
          </cell>
          <cell r="E238" t="str">
            <v>JOANNE DUCKER</v>
          </cell>
          <cell r="F238" t="str">
            <v>D / 5 General (</v>
          </cell>
          <cell r="H238" t="str">
            <v>Medacs</v>
          </cell>
          <cell r="I238">
            <v>0.58333333333333337</v>
          </cell>
          <cell r="J238">
            <v>0.84375</v>
          </cell>
          <cell r="K238">
            <v>6</v>
          </cell>
          <cell r="L238">
            <v>101.28</v>
          </cell>
          <cell r="O238" t="str">
            <v>Y</v>
          </cell>
          <cell r="P238" t="str">
            <v>N</v>
          </cell>
          <cell r="Q238" t="str">
            <v>Vacancy</v>
          </cell>
          <cell r="S238">
            <v>0.16</v>
          </cell>
        </row>
        <row r="239">
          <cell r="D239">
            <v>908001399</v>
          </cell>
          <cell r="E239" t="str">
            <v>KAREN VAUGHAN</v>
          </cell>
          <cell r="F239" t="str">
            <v>D General (Orio</v>
          </cell>
          <cell r="G239" t="str">
            <v>Invsd Smt checked</v>
          </cell>
          <cell r="H239" t="str">
            <v>Orion</v>
          </cell>
          <cell r="I239">
            <v>0.33333333333333331</v>
          </cell>
          <cell r="J239">
            <v>0.75</v>
          </cell>
          <cell r="K239">
            <v>9.5</v>
          </cell>
          <cell r="L239">
            <v>172.14</v>
          </cell>
          <cell r="O239" t="str">
            <v>Y</v>
          </cell>
          <cell r="P239" t="str">
            <v>N</v>
          </cell>
          <cell r="Q239" t="str">
            <v>Vacancy</v>
          </cell>
          <cell r="S239">
            <v>0.25</v>
          </cell>
        </row>
        <row r="240">
          <cell r="D240">
            <v>908001833</v>
          </cell>
          <cell r="E240" t="str">
            <v>KATHY CHIDAVA</v>
          </cell>
          <cell r="F240" t="str">
            <v>D (Ch)</v>
          </cell>
          <cell r="G240">
            <v>16614</v>
          </cell>
          <cell r="H240" t="str">
            <v>Choice</v>
          </cell>
          <cell r="I240">
            <v>0.8125</v>
          </cell>
          <cell r="J240">
            <v>0.33333333333333331</v>
          </cell>
          <cell r="K240">
            <v>11.8333333333333</v>
          </cell>
          <cell r="L240">
            <v>374.89</v>
          </cell>
          <cell r="O240" t="str">
            <v>Y</v>
          </cell>
          <cell r="P240" t="str">
            <v>N</v>
          </cell>
          <cell r="Q240" t="str">
            <v>Extra Capacity</v>
          </cell>
          <cell r="S240">
            <v>0.32</v>
          </cell>
        </row>
        <row r="241">
          <cell r="D241">
            <v>808000368</v>
          </cell>
          <cell r="E241" t="str">
            <v>KATIE KEAVENEY</v>
          </cell>
          <cell r="F241" t="str">
            <v>D (MD)</v>
          </cell>
          <cell r="G241">
            <v>328515</v>
          </cell>
          <cell r="H241" t="str">
            <v>Mayday</v>
          </cell>
          <cell r="I241">
            <v>0.3125</v>
          </cell>
          <cell r="J241">
            <v>0.64583333333333337</v>
          </cell>
          <cell r="K241">
            <v>7.6666666666666696</v>
          </cell>
          <cell r="L241">
            <v>247.56</v>
          </cell>
          <cell r="O241" t="str">
            <v>Y</v>
          </cell>
          <cell r="P241" t="str">
            <v>N</v>
          </cell>
          <cell r="Q241" t="str">
            <v>Extra Capacity</v>
          </cell>
          <cell r="S241">
            <v>0.2</v>
          </cell>
        </row>
        <row r="242">
          <cell r="D242">
            <v>908002184</v>
          </cell>
          <cell r="E242" t="str">
            <v>LETECIA MENIANO</v>
          </cell>
          <cell r="F242" t="str">
            <v>D (MD)</v>
          </cell>
          <cell r="G242">
            <v>328497</v>
          </cell>
          <cell r="H242" t="str">
            <v>Mayday</v>
          </cell>
          <cell r="I242">
            <v>0.88541666666666663</v>
          </cell>
          <cell r="J242">
            <v>0.3125</v>
          </cell>
          <cell r="K242">
            <v>9.25</v>
          </cell>
          <cell r="L242">
            <v>388.29</v>
          </cell>
          <cell r="O242" t="str">
            <v>Y</v>
          </cell>
          <cell r="P242" t="str">
            <v>N</v>
          </cell>
          <cell r="Q242" t="str">
            <v>Extra Capacity</v>
          </cell>
          <cell r="S242">
            <v>0.25</v>
          </cell>
        </row>
        <row r="243">
          <cell r="D243">
            <v>808000367</v>
          </cell>
          <cell r="E243" t="str">
            <v>PAT DUBE</v>
          </cell>
          <cell r="F243" t="str">
            <v>D (MD)</v>
          </cell>
          <cell r="G243">
            <v>328317</v>
          </cell>
          <cell r="H243" t="str">
            <v>Mayday</v>
          </cell>
          <cell r="I243">
            <v>0.3125</v>
          </cell>
          <cell r="J243">
            <v>0.64583333333333337</v>
          </cell>
          <cell r="K243">
            <v>7.6666666666666696</v>
          </cell>
          <cell r="L243">
            <v>247.56</v>
          </cell>
          <cell r="O243" t="str">
            <v>Y</v>
          </cell>
          <cell r="P243" t="str">
            <v>N</v>
          </cell>
          <cell r="Q243" t="str">
            <v>Extra Capacity</v>
          </cell>
          <cell r="S243">
            <v>0.2</v>
          </cell>
        </row>
        <row r="244">
          <cell r="D244">
            <v>808000401</v>
          </cell>
          <cell r="E244" t="str">
            <v>PAT DUBE</v>
          </cell>
          <cell r="F244" t="str">
            <v>D (MD)</v>
          </cell>
          <cell r="G244">
            <v>328317</v>
          </cell>
          <cell r="H244" t="str">
            <v>Mayday</v>
          </cell>
          <cell r="I244">
            <v>0.64583333333333337</v>
          </cell>
          <cell r="J244">
            <v>0.85416666666666663</v>
          </cell>
          <cell r="K244">
            <v>5</v>
          </cell>
          <cell r="L244">
            <v>161.44999999999999</v>
          </cell>
          <cell r="O244" t="str">
            <v>Y</v>
          </cell>
          <cell r="P244" t="str">
            <v>N</v>
          </cell>
          <cell r="Q244" t="str">
            <v>Extra Capacity</v>
          </cell>
          <cell r="S244">
            <v>0.13</v>
          </cell>
        </row>
        <row r="245">
          <cell r="D245">
            <v>808000316</v>
          </cell>
          <cell r="E245" t="str">
            <v>PRICILLA SONO</v>
          </cell>
          <cell r="F245" t="str">
            <v>D (MD)</v>
          </cell>
          <cell r="G245">
            <v>328452</v>
          </cell>
          <cell r="H245" t="str">
            <v>Mayday</v>
          </cell>
          <cell r="I245">
            <v>0.3125</v>
          </cell>
          <cell r="J245">
            <v>0.64583333333333337</v>
          </cell>
          <cell r="K245">
            <v>7.6666666666666696</v>
          </cell>
          <cell r="L245">
            <v>247.56</v>
          </cell>
          <cell r="O245" t="str">
            <v>Y</v>
          </cell>
          <cell r="P245" t="str">
            <v>N</v>
          </cell>
          <cell r="Q245" t="str">
            <v>Extra Capacity</v>
          </cell>
          <cell r="S245">
            <v>0.2</v>
          </cell>
        </row>
        <row r="246">
          <cell r="D246">
            <v>808000331</v>
          </cell>
          <cell r="E246" t="str">
            <v>PRICILLA SONO</v>
          </cell>
          <cell r="F246" t="str">
            <v>D (MD)</v>
          </cell>
          <cell r="G246">
            <v>328452</v>
          </cell>
          <cell r="H246" t="str">
            <v>Mayday</v>
          </cell>
          <cell r="I246">
            <v>0.64583333333333337</v>
          </cell>
          <cell r="J246">
            <v>0.85416666666666663</v>
          </cell>
          <cell r="K246">
            <v>5</v>
          </cell>
          <cell r="L246">
            <v>161.44999999999999</v>
          </cell>
          <cell r="O246" t="str">
            <v>Y</v>
          </cell>
          <cell r="P246" t="str">
            <v>N</v>
          </cell>
          <cell r="Q246" t="str">
            <v>Extra Capacity</v>
          </cell>
          <cell r="S246">
            <v>0.13</v>
          </cell>
        </row>
        <row r="247">
          <cell r="D247">
            <v>808000366</v>
          </cell>
          <cell r="E247" t="str">
            <v>PURITY EHREUREICH</v>
          </cell>
          <cell r="F247" t="str">
            <v>D (MD)</v>
          </cell>
          <cell r="G247">
            <v>328273</v>
          </cell>
          <cell r="H247" t="str">
            <v>Mayday</v>
          </cell>
          <cell r="I247">
            <v>0.3125</v>
          </cell>
          <cell r="J247">
            <v>0.64583333333333337</v>
          </cell>
          <cell r="K247">
            <v>7.6666666666666696</v>
          </cell>
          <cell r="L247">
            <v>247.56</v>
          </cell>
          <cell r="O247" t="str">
            <v>Y</v>
          </cell>
          <cell r="P247" t="str">
            <v>N</v>
          </cell>
          <cell r="Q247" t="str">
            <v>Extra Capacity</v>
          </cell>
          <cell r="S247">
            <v>0.2</v>
          </cell>
        </row>
        <row r="248">
          <cell r="D248">
            <v>808000394</v>
          </cell>
          <cell r="E248" t="str">
            <v>PURITY EHREUREICH</v>
          </cell>
          <cell r="F248" t="str">
            <v>D (MD)</v>
          </cell>
          <cell r="G248">
            <v>328273</v>
          </cell>
          <cell r="H248" t="str">
            <v>Mayday</v>
          </cell>
          <cell r="I248">
            <v>0.64583333333333337</v>
          </cell>
          <cell r="J248">
            <v>0.85416666666666663</v>
          </cell>
          <cell r="K248">
            <v>5</v>
          </cell>
          <cell r="L248">
            <v>161.44999999999999</v>
          </cell>
          <cell r="O248" t="str">
            <v>Y</v>
          </cell>
          <cell r="P248" t="str">
            <v>N</v>
          </cell>
          <cell r="Q248" t="str">
            <v>Extra Capacity</v>
          </cell>
          <cell r="S248">
            <v>0.13</v>
          </cell>
        </row>
        <row r="249">
          <cell r="D249">
            <v>908002508</v>
          </cell>
          <cell r="E249" t="str">
            <v>ROJIMON VARUGHE</v>
          </cell>
          <cell r="F249" t="str">
            <v>D (Amb)</v>
          </cell>
          <cell r="G249">
            <v>741413</v>
          </cell>
          <cell r="H249" t="str">
            <v>Ambition</v>
          </cell>
          <cell r="I249">
            <v>0.83333333333333337</v>
          </cell>
          <cell r="J249">
            <v>0.33333333333333331</v>
          </cell>
          <cell r="K249">
            <v>11.3333333333333</v>
          </cell>
          <cell r="L249">
            <v>576.07000000000005</v>
          </cell>
          <cell r="O249" t="str">
            <v>Y</v>
          </cell>
          <cell r="P249" t="str">
            <v>N</v>
          </cell>
          <cell r="Q249" t="str">
            <v>Transfer</v>
          </cell>
          <cell r="S249">
            <v>0.3</v>
          </cell>
        </row>
        <row r="250">
          <cell r="D250">
            <v>908002093</v>
          </cell>
          <cell r="E250" t="str">
            <v>TEMBE NGIDI</v>
          </cell>
          <cell r="F250" t="str">
            <v>D (MD)</v>
          </cell>
          <cell r="G250">
            <v>328463</v>
          </cell>
          <cell r="H250" t="str">
            <v>Mayday</v>
          </cell>
          <cell r="I250">
            <v>0.875</v>
          </cell>
          <cell r="J250">
            <v>0.3125</v>
          </cell>
          <cell r="K250">
            <v>9.5</v>
          </cell>
          <cell r="L250">
            <v>398.78</v>
          </cell>
          <cell r="O250" t="str">
            <v>Y</v>
          </cell>
          <cell r="P250" t="str">
            <v>N</v>
          </cell>
          <cell r="Q250" t="str">
            <v>Extra Capacity</v>
          </cell>
          <cell r="S250">
            <v>0.25</v>
          </cell>
        </row>
        <row r="251">
          <cell r="D251">
            <v>808003460</v>
          </cell>
          <cell r="E251" t="str">
            <v>THEMBE NHOSE</v>
          </cell>
          <cell r="F251" t="str">
            <v>D (MD)</v>
          </cell>
          <cell r="G251">
            <v>328476</v>
          </cell>
          <cell r="H251" t="str">
            <v>Mayday</v>
          </cell>
          <cell r="I251">
            <v>0.875</v>
          </cell>
          <cell r="J251">
            <v>0.30208333333333331</v>
          </cell>
          <cell r="K251">
            <v>9.9166666666666696</v>
          </cell>
          <cell r="L251">
            <v>416.27</v>
          </cell>
          <cell r="O251" t="str">
            <v>Y</v>
          </cell>
          <cell r="P251" t="str">
            <v>N</v>
          </cell>
          <cell r="Q251" t="str">
            <v>Vacancy</v>
          </cell>
          <cell r="S251">
            <v>0.26</v>
          </cell>
        </row>
        <row r="252">
          <cell r="D252">
            <v>908001398</v>
          </cell>
          <cell r="E252" t="str">
            <v>TOM OSBOURNE</v>
          </cell>
          <cell r="F252" t="str">
            <v>D General (Orio</v>
          </cell>
          <cell r="G252" t="str">
            <v>Invsd Smt checked</v>
          </cell>
          <cell r="H252" t="str">
            <v>Orion</v>
          </cell>
          <cell r="I252">
            <v>0.33333333333333331</v>
          </cell>
          <cell r="J252">
            <v>0.75</v>
          </cell>
          <cell r="K252">
            <v>9.5</v>
          </cell>
          <cell r="L252">
            <v>172.14</v>
          </cell>
          <cell r="O252" t="str">
            <v>Y</v>
          </cell>
          <cell r="P252" t="str">
            <v>N</v>
          </cell>
          <cell r="Q252" t="str">
            <v>Vacancy</v>
          </cell>
          <cell r="S252">
            <v>0.25</v>
          </cell>
        </row>
        <row r="253">
          <cell r="D253">
            <v>808002729</v>
          </cell>
          <cell r="E253" t="str">
            <v>TONDERA MAKAZA</v>
          </cell>
          <cell r="F253" t="str">
            <v>A (Ch)</v>
          </cell>
          <cell r="G253">
            <v>16596</v>
          </cell>
          <cell r="H253" t="str">
            <v>Choice</v>
          </cell>
          <cell r="I253">
            <v>0.875</v>
          </cell>
          <cell r="J253">
            <v>0.3125</v>
          </cell>
          <cell r="K253">
            <v>10.1666666666667</v>
          </cell>
          <cell r="L253">
            <v>150.33000000000001</v>
          </cell>
          <cell r="O253" t="str">
            <v>Y</v>
          </cell>
          <cell r="P253" t="str">
            <v>N</v>
          </cell>
          <cell r="Q253" t="str">
            <v>Vacancy</v>
          </cell>
          <cell r="S253">
            <v>0.27</v>
          </cell>
        </row>
        <row r="254">
          <cell r="D254">
            <v>908002526</v>
          </cell>
          <cell r="E254" t="str">
            <v>VICTOR BOADUM</v>
          </cell>
          <cell r="F254" t="str">
            <v>D (Amb)</v>
          </cell>
          <cell r="G254">
            <v>741482</v>
          </cell>
          <cell r="H254" t="str">
            <v>Ambition</v>
          </cell>
          <cell r="I254">
            <v>0.83333333333333337</v>
          </cell>
          <cell r="J254">
            <v>0.33333333333333331</v>
          </cell>
          <cell r="K254">
            <v>11.5833333333333</v>
          </cell>
          <cell r="L254">
            <v>588.78</v>
          </cell>
          <cell r="M254">
            <v>465.58</v>
          </cell>
          <cell r="O254" t="str">
            <v>Y</v>
          </cell>
          <cell r="P254" t="str">
            <v>N</v>
          </cell>
          <cell r="Q254" t="str">
            <v>Vacancy</v>
          </cell>
          <cell r="S254">
            <v>0.31</v>
          </cell>
        </row>
        <row r="255">
          <cell r="D255">
            <v>908002061</v>
          </cell>
          <cell r="E255" t="str">
            <v>VICTORIA MAESTRANI</v>
          </cell>
          <cell r="F255" t="str">
            <v>D (MD)</v>
          </cell>
          <cell r="G255">
            <v>329039</v>
          </cell>
          <cell r="H255" t="str">
            <v>Mayday</v>
          </cell>
          <cell r="I255">
            <v>0.79166666666666663</v>
          </cell>
          <cell r="J255">
            <v>0.3125</v>
          </cell>
          <cell r="K255">
            <v>10.5</v>
          </cell>
          <cell r="L255">
            <v>440.76</v>
          </cell>
          <cell r="O255" t="str">
            <v>Y</v>
          </cell>
          <cell r="P255" t="str">
            <v>N</v>
          </cell>
          <cell r="Q255" t="str">
            <v>Annual Leave</v>
          </cell>
          <cell r="S255">
            <v>0.28000000000000003</v>
          </cell>
        </row>
        <row r="256">
          <cell r="D256">
            <v>808002478</v>
          </cell>
          <cell r="E256" t="str">
            <v>ANNA BONNERUP</v>
          </cell>
          <cell r="F256" t="str">
            <v>D / 5 General (</v>
          </cell>
          <cell r="G256" t="str">
            <v>604-148556</v>
          </cell>
          <cell r="H256" t="str">
            <v>Blue Arrow</v>
          </cell>
          <cell r="I256">
            <v>0.3125</v>
          </cell>
          <cell r="J256">
            <v>0.54166666666666663</v>
          </cell>
          <cell r="K256">
            <v>5.5</v>
          </cell>
          <cell r="L256">
            <v>92.84</v>
          </cell>
          <cell r="O256" t="str">
            <v>Y</v>
          </cell>
          <cell r="P256" t="str">
            <v>N</v>
          </cell>
          <cell r="Q256" t="str">
            <v>Vacancy</v>
          </cell>
          <cell r="S256">
            <v>0.15</v>
          </cell>
        </row>
        <row r="257">
          <cell r="D257">
            <v>808002480</v>
          </cell>
          <cell r="E257" t="str">
            <v>ANNA BONNERUP</v>
          </cell>
          <cell r="F257" t="str">
            <v>D / 5 General (</v>
          </cell>
          <cell r="G257" t="str">
            <v>604-148556</v>
          </cell>
          <cell r="H257" t="str">
            <v>Blue Arrow</v>
          </cell>
          <cell r="I257">
            <v>0.625</v>
          </cell>
          <cell r="J257">
            <v>0.85416666666666663</v>
          </cell>
          <cell r="K257">
            <v>5.5</v>
          </cell>
          <cell r="L257">
            <v>92.84</v>
          </cell>
          <cell r="O257" t="str">
            <v>Y</v>
          </cell>
          <cell r="P257" t="str">
            <v>N</v>
          </cell>
          <cell r="Q257" t="str">
            <v>Vacancy</v>
          </cell>
          <cell r="S257">
            <v>0.15</v>
          </cell>
        </row>
        <row r="258">
          <cell r="D258">
            <v>908002469</v>
          </cell>
          <cell r="E258" t="str">
            <v>ANTHONY OGOEGBUNAN</v>
          </cell>
          <cell r="F258" t="str">
            <v>D (MD)</v>
          </cell>
          <cell r="G258">
            <v>328475</v>
          </cell>
          <cell r="H258" t="str">
            <v>Mayday</v>
          </cell>
          <cell r="I258">
            <v>0.8125</v>
          </cell>
          <cell r="J258">
            <v>0.33333333333333331</v>
          </cell>
          <cell r="K258">
            <v>11.8333333333333</v>
          </cell>
          <cell r="L258">
            <v>496.73</v>
          </cell>
          <cell r="O258" t="str">
            <v>Y</v>
          </cell>
          <cell r="P258" t="str">
            <v>N</v>
          </cell>
          <cell r="Q258" t="str">
            <v>Extra Capacity</v>
          </cell>
          <cell r="S258">
            <v>0.32</v>
          </cell>
        </row>
        <row r="259">
          <cell r="D259">
            <v>908002370</v>
          </cell>
          <cell r="E259" t="str">
            <v>ATINUKE OKE-OLATUNDE</v>
          </cell>
          <cell r="F259" t="str">
            <v>D (MD)</v>
          </cell>
          <cell r="G259">
            <v>330937</v>
          </cell>
          <cell r="H259" t="str">
            <v>Mayday</v>
          </cell>
          <cell r="I259">
            <v>0.88541666666666663</v>
          </cell>
          <cell r="J259">
            <v>0.3125</v>
          </cell>
          <cell r="K259">
            <v>9.25</v>
          </cell>
          <cell r="L259">
            <v>388.29</v>
          </cell>
          <cell r="O259" t="str">
            <v>Y</v>
          </cell>
          <cell r="P259" t="str">
            <v>N</v>
          </cell>
          <cell r="Q259" t="str">
            <v>Extra Capacity</v>
          </cell>
          <cell r="S259">
            <v>0.25</v>
          </cell>
        </row>
        <row r="260">
          <cell r="D260">
            <v>908002157</v>
          </cell>
          <cell r="E260" t="str">
            <v>BEAUTY NGIDI</v>
          </cell>
          <cell r="F260" t="str">
            <v>D (MD)</v>
          </cell>
          <cell r="G260">
            <v>328533</v>
          </cell>
          <cell r="H260" t="str">
            <v>Mayday</v>
          </cell>
          <cell r="I260">
            <v>0.89583333333333337</v>
          </cell>
          <cell r="J260">
            <v>0.3125</v>
          </cell>
          <cell r="K260">
            <v>9.6666666666666696</v>
          </cell>
          <cell r="L260">
            <v>405.78</v>
          </cell>
          <cell r="O260" t="str">
            <v>Y</v>
          </cell>
          <cell r="P260" t="str">
            <v>N</v>
          </cell>
          <cell r="Q260" t="str">
            <v>Extra Capacity</v>
          </cell>
          <cell r="S260">
            <v>0.26</v>
          </cell>
        </row>
        <row r="261">
          <cell r="D261">
            <v>908002394</v>
          </cell>
          <cell r="E261" t="str">
            <v>CARL HIBBERT</v>
          </cell>
          <cell r="F261" t="str">
            <v>D (Ch)</v>
          </cell>
          <cell r="G261">
            <v>16603</v>
          </cell>
          <cell r="H261" t="str">
            <v>Choice</v>
          </cell>
          <cell r="I261">
            <v>0.83333333333333337</v>
          </cell>
          <cell r="J261">
            <v>0.33333333333333331</v>
          </cell>
          <cell r="K261">
            <v>11.3333333333333</v>
          </cell>
          <cell r="L261">
            <v>359.05</v>
          </cell>
          <cell r="O261" t="str">
            <v>Y</v>
          </cell>
          <cell r="P261" t="str">
            <v>N</v>
          </cell>
          <cell r="Q261" t="str">
            <v>Extra Capacity</v>
          </cell>
          <cell r="S261">
            <v>0.3</v>
          </cell>
        </row>
        <row r="262">
          <cell r="D262">
            <v>808005920</v>
          </cell>
          <cell r="E262" t="str">
            <v>CYNTHIA DELMO</v>
          </cell>
          <cell r="F262" t="str">
            <v>D (Ch)</v>
          </cell>
          <cell r="G262">
            <v>16592</v>
          </cell>
          <cell r="H262" t="str">
            <v>Choice</v>
          </cell>
          <cell r="I262">
            <v>0.88541666666666663</v>
          </cell>
          <cell r="J262">
            <v>0.27083333333333331</v>
          </cell>
          <cell r="K262">
            <v>8.9166666666666696</v>
          </cell>
          <cell r="L262">
            <v>282.49</v>
          </cell>
          <cell r="O262" t="str">
            <v>Y</v>
          </cell>
          <cell r="P262" t="str">
            <v>N</v>
          </cell>
          <cell r="Q262" t="str">
            <v>Short Term Sick</v>
          </cell>
          <cell r="S262">
            <v>0.24</v>
          </cell>
        </row>
        <row r="263">
          <cell r="D263">
            <v>808002730</v>
          </cell>
          <cell r="E263" t="str">
            <v>DIGRACIA  NAPE</v>
          </cell>
          <cell r="F263" t="str">
            <v>D (MD)</v>
          </cell>
          <cell r="G263">
            <v>328823</v>
          </cell>
          <cell r="H263" t="str">
            <v>Mayday</v>
          </cell>
          <cell r="I263">
            <v>0.3125</v>
          </cell>
          <cell r="J263">
            <v>0.5625</v>
          </cell>
          <cell r="K263">
            <v>5.6666666666666696</v>
          </cell>
          <cell r="L263">
            <v>182.98</v>
          </cell>
          <cell r="O263" t="str">
            <v>Y</v>
          </cell>
          <cell r="P263" t="str">
            <v>N</v>
          </cell>
          <cell r="Q263" t="str">
            <v>Vacancy</v>
          </cell>
          <cell r="S263">
            <v>0.15</v>
          </cell>
        </row>
        <row r="264">
          <cell r="D264">
            <v>808002736</v>
          </cell>
          <cell r="E264" t="str">
            <v>DIGRACIA  NAPE</v>
          </cell>
          <cell r="F264" t="str">
            <v>D (MD)</v>
          </cell>
          <cell r="G264">
            <v>328823</v>
          </cell>
          <cell r="H264" t="str">
            <v>Mayday</v>
          </cell>
          <cell r="I264">
            <v>0.5625</v>
          </cell>
          <cell r="J264">
            <v>0.875</v>
          </cell>
          <cell r="K264">
            <v>7.1666666666666696</v>
          </cell>
          <cell r="L264">
            <v>231.41</v>
          </cell>
          <cell r="O264" t="str">
            <v>Y</v>
          </cell>
          <cell r="P264" t="str">
            <v>N</v>
          </cell>
          <cell r="Q264" t="str">
            <v>Vacancy</v>
          </cell>
          <cell r="S264">
            <v>0.19</v>
          </cell>
        </row>
        <row r="265">
          <cell r="D265">
            <v>908002395</v>
          </cell>
          <cell r="E265" t="str">
            <v>EGNESS MONAISA</v>
          </cell>
          <cell r="F265" t="str">
            <v>D (Ch)</v>
          </cell>
          <cell r="H265" t="str">
            <v>Choice</v>
          </cell>
          <cell r="I265">
            <v>0.83333333333333337</v>
          </cell>
          <cell r="J265">
            <v>0.33333333333333331</v>
          </cell>
          <cell r="K265">
            <v>11.3333333333333</v>
          </cell>
          <cell r="L265">
            <v>359.05</v>
          </cell>
          <cell r="O265" t="str">
            <v>Y</v>
          </cell>
          <cell r="P265" t="str">
            <v>N</v>
          </cell>
          <cell r="Q265" t="str">
            <v>Extra Capacity</v>
          </cell>
          <cell r="S265">
            <v>0.3</v>
          </cell>
        </row>
        <row r="266">
          <cell r="D266">
            <v>808003432</v>
          </cell>
          <cell r="E266" t="str">
            <v>ELENITA ARENAS</v>
          </cell>
          <cell r="F266" t="str">
            <v>D (MD)</v>
          </cell>
          <cell r="G266">
            <v>328516</v>
          </cell>
          <cell r="H266" t="str">
            <v>Mayday</v>
          </cell>
          <cell r="I266">
            <v>0.3125</v>
          </cell>
          <cell r="J266">
            <v>0.5625</v>
          </cell>
          <cell r="K266">
            <v>5.6666666666666696</v>
          </cell>
          <cell r="L266">
            <v>182.98</v>
          </cell>
          <cell r="O266" t="str">
            <v>Y</v>
          </cell>
          <cell r="P266" t="str">
            <v>N</v>
          </cell>
          <cell r="Q266" t="str">
            <v>Vacancy</v>
          </cell>
          <cell r="S266">
            <v>0.15</v>
          </cell>
        </row>
        <row r="267">
          <cell r="D267">
            <v>908000162</v>
          </cell>
          <cell r="E267" t="str">
            <v>ELENITA ARENAS</v>
          </cell>
          <cell r="F267" t="str">
            <v>D (MD)</v>
          </cell>
          <cell r="G267">
            <v>328516</v>
          </cell>
          <cell r="H267" t="str">
            <v>Mayday</v>
          </cell>
          <cell r="I267">
            <v>0.625</v>
          </cell>
          <cell r="J267">
            <v>0.875</v>
          </cell>
          <cell r="K267">
            <v>6</v>
          </cell>
          <cell r="L267">
            <v>193.74</v>
          </cell>
          <cell r="O267" t="str">
            <v>Y</v>
          </cell>
          <cell r="P267" t="str">
            <v>N</v>
          </cell>
          <cell r="Q267" t="str">
            <v>Vacancy</v>
          </cell>
          <cell r="S267">
            <v>0.16</v>
          </cell>
        </row>
        <row r="268">
          <cell r="D268">
            <v>908002096</v>
          </cell>
          <cell r="E268" t="str">
            <v>GEORGE MALETE</v>
          </cell>
          <cell r="F268" t="str">
            <v>A (Ch)</v>
          </cell>
          <cell r="G268">
            <v>16868</v>
          </cell>
          <cell r="H268" t="str">
            <v>Choice</v>
          </cell>
          <cell r="I268">
            <v>0.32291666666666669</v>
          </cell>
          <cell r="J268">
            <v>0.54166666666666663</v>
          </cell>
          <cell r="K268">
            <v>5.25</v>
          </cell>
          <cell r="L268">
            <v>58.22</v>
          </cell>
          <cell r="O268" t="str">
            <v>Y</v>
          </cell>
          <cell r="P268" t="str">
            <v>N</v>
          </cell>
          <cell r="Q268" t="str">
            <v>Specials</v>
          </cell>
          <cell r="S268">
            <v>0.14000000000000001</v>
          </cell>
        </row>
        <row r="269">
          <cell r="D269">
            <v>908002097</v>
          </cell>
          <cell r="E269" t="str">
            <v>GEORGE MALETE</v>
          </cell>
          <cell r="F269" t="str">
            <v>A (Ch)</v>
          </cell>
          <cell r="G269">
            <v>16868</v>
          </cell>
          <cell r="H269" t="str">
            <v>Choice</v>
          </cell>
          <cell r="I269">
            <v>0.63541666666666663</v>
          </cell>
          <cell r="J269">
            <v>0.85416666666666663</v>
          </cell>
          <cell r="K269">
            <v>5.25</v>
          </cell>
          <cell r="L269">
            <v>58.22</v>
          </cell>
          <cell r="O269" t="str">
            <v>Y</v>
          </cell>
          <cell r="P269" t="str">
            <v>N</v>
          </cell>
          <cell r="Q269" t="str">
            <v>Specials</v>
          </cell>
          <cell r="S269">
            <v>0.14000000000000001</v>
          </cell>
        </row>
        <row r="270">
          <cell r="D270">
            <v>808004960</v>
          </cell>
          <cell r="E270" t="str">
            <v>GRACE CHIKWAVA</v>
          </cell>
          <cell r="F270" t="str">
            <v>D (Ch)</v>
          </cell>
          <cell r="G270">
            <v>16606</v>
          </cell>
          <cell r="H270" t="str">
            <v>Choice</v>
          </cell>
          <cell r="I270">
            <v>0.3125</v>
          </cell>
          <cell r="J270">
            <v>0.5625</v>
          </cell>
          <cell r="K270">
            <v>5.6666666666666696</v>
          </cell>
          <cell r="L270">
            <v>138.1</v>
          </cell>
          <cell r="O270" t="str">
            <v>Y</v>
          </cell>
          <cell r="P270" t="str">
            <v>N</v>
          </cell>
          <cell r="Q270" t="str">
            <v>Vacancy</v>
          </cell>
          <cell r="S270">
            <v>0.15</v>
          </cell>
        </row>
        <row r="271">
          <cell r="D271">
            <v>808004764</v>
          </cell>
          <cell r="E271" t="str">
            <v>JAMES MCCLEMENTS</v>
          </cell>
          <cell r="F271" t="str">
            <v>D (MD)</v>
          </cell>
          <cell r="G271">
            <v>328807</v>
          </cell>
          <cell r="H271" t="str">
            <v>Mayday</v>
          </cell>
          <cell r="I271">
            <v>0.64583333333333337</v>
          </cell>
          <cell r="J271">
            <v>0.85416666666666663</v>
          </cell>
          <cell r="K271">
            <v>5</v>
          </cell>
          <cell r="L271">
            <v>161.44999999999999</v>
          </cell>
          <cell r="O271" t="str">
            <v>Y</v>
          </cell>
          <cell r="P271" t="str">
            <v>N</v>
          </cell>
          <cell r="Q271" t="str">
            <v>Vacancy</v>
          </cell>
          <cell r="S271">
            <v>0.13</v>
          </cell>
        </row>
        <row r="272">
          <cell r="D272">
            <v>908001756</v>
          </cell>
          <cell r="E272" t="str">
            <v>JAMES MCCLEMENTS</v>
          </cell>
          <cell r="F272" t="str">
            <v>D (MD)</v>
          </cell>
          <cell r="G272">
            <v>328807</v>
          </cell>
          <cell r="H272" t="str">
            <v>Mayday</v>
          </cell>
          <cell r="I272">
            <v>0.3125</v>
          </cell>
          <cell r="J272">
            <v>0.64583333333333337</v>
          </cell>
          <cell r="K272">
            <v>7.5</v>
          </cell>
          <cell r="L272">
            <v>242.17</v>
          </cell>
          <cell r="O272" t="str">
            <v>Y</v>
          </cell>
          <cell r="P272" t="str">
            <v>N</v>
          </cell>
          <cell r="Q272" t="str">
            <v>Vacancy</v>
          </cell>
          <cell r="S272">
            <v>0.2</v>
          </cell>
        </row>
        <row r="273">
          <cell r="D273">
            <v>908001484</v>
          </cell>
          <cell r="E273" t="str">
            <v>JASON WENT</v>
          </cell>
          <cell r="F273" t="str">
            <v>D / 5 General (</v>
          </cell>
          <cell r="G273" t="str">
            <v>604-148272</v>
          </cell>
          <cell r="H273" t="str">
            <v>Blue Arrow</v>
          </cell>
          <cell r="I273">
            <v>0.82291666666666663</v>
          </cell>
          <cell r="J273">
            <v>0.34375</v>
          </cell>
          <cell r="K273">
            <v>11.5</v>
          </cell>
          <cell r="L273">
            <v>252.36</v>
          </cell>
          <cell r="O273" t="str">
            <v>Y</v>
          </cell>
          <cell r="P273" t="str">
            <v>N</v>
          </cell>
          <cell r="Q273" t="str">
            <v>Vacancy</v>
          </cell>
          <cell r="S273">
            <v>0.31</v>
          </cell>
        </row>
        <row r="274">
          <cell r="D274">
            <v>808000309</v>
          </cell>
          <cell r="E274" t="str">
            <v>JOAN LEWIS</v>
          </cell>
          <cell r="F274" t="str">
            <v>D (MD)</v>
          </cell>
          <cell r="G274">
            <v>328311</v>
          </cell>
          <cell r="H274" t="str">
            <v>Mayday</v>
          </cell>
          <cell r="I274">
            <v>0.3125</v>
          </cell>
          <cell r="J274">
            <v>0.64583333333333337</v>
          </cell>
          <cell r="K274">
            <v>7.6666666666666696</v>
          </cell>
          <cell r="L274">
            <v>247.56</v>
          </cell>
          <cell r="O274" t="str">
            <v>Y</v>
          </cell>
          <cell r="P274" t="str">
            <v>N</v>
          </cell>
          <cell r="Q274" t="str">
            <v>Extra Capacity</v>
          </cell>
          <cell r="S274">
            <v>0.2</v>
          </cell>
        </row>
        <row r="275">
          <cell r="D275">
            <v>808000332</v>
          </cell>
          <cell r="E275" t="str">
            <v>JOAN LEWIS</v>
          </cell>
          <cell r="F275" t="str">
            <v>D (MD)</v>
          </cell>
          <cell r="G275">
            <v>328311</v>
          </cell>
          <cell r="H275" t="str">
            <v>Mayday</v>
          </cell>
          <cell r="I275">
            <v>0.64583333333333337</v>
          </cell>
          <cell r="J275">
            <v>0.85416666666666663</v>
          </cell>
          <cell r="K275">
            <v>5</v>
          </cell>
          <cell r="L275">
            <v>161.44999999999999</v>
          </cell>
          <cell r="O275" t="str">
            <v>Y</v>
          </cell>
          <cell r="P275" t="str">
            <v>N</v>
          </cell>
          <cell r="Q275" t="str">
            <v>Extra Capacity</v>
          </cell>
          <cell r="S275">
            <v>0.13</v>
          </cell>
        </row>
        <row r="276">
          <cell r="D276">
            <v>908002468</v>
          </cell>
          <cell r="E276" t="str">
            <v>JOY MABITLE</v>
          </cell>
          <cell r="F276" t="str">
            <v>D (MD)</v>
          </cell>
          <cell r="G276">
            <v>337684</v>
          </cell>
          <cell r="H276" t="str">
            <v>Mayday</v>
          </cell>
          <cell r="I276">
            <v>0.8125</v>
          </cell>
          <cell r="J276">
            <v>0.33333333333333331</v>
          </cell>
          <cell r="K276">
            <v>11.5</v>
          </cell>
          <cell r="L276">
            <v>482.74</v>
          </cell>
          <cell r="O276" t="str">
            <v>Y</v>
          </cell>
          <cell r="P276" t="str">
            <v>N</v>
          </cell>
          <cell r="Q276" t="str">
            <v>Extra Capacity</v>
          </cell>
          <cell r="S276">
            <v>0.31</v>
          </cell>
        </row>
        <row r="277">
          <cell r="D277">
            <v>908001400</v>
          </cell>
          <cell r="E277" t="str">
            <v>KAREN OSBOURNE</v>
          </cell>
          <cell r="F277" t="str">
            <v>D General (Orio</v>
          </cell>
          <cell r="G277" t="str">
            <v>Invsd Smt checked</v>
          </cell>
          <cell r="H277" t="str">
            <v>Orion</v>
          </cell>
          <cell r="I277">
            <v>0.33333333333333331</v>
          </cell>
          <cell r="J277">
            <v>0.75</v>
          </cell>
          <cell r="K277">
            <v>9.5</v>
          </cell>
          <cell r="L277">
            <v>172.14</v>
          </cell>
          <cell r="O277" t="str">
            <v>Y</v>
          </cell>
          <cell r="P277" t="str">
            <v>N</v>
          </cell>
          <cell r="Q277" t="str">
            <v>Vacancy</v>
          </cell>
          <cell r="S277">
            <v>0.25</v>
          </cell>
        </row>
        <row r="278">
          <cell r="D278">
            <v>808000303</v>
          </cell>
          <cell r="E278" t="str">
            <v>KATIE KEAVENEY</v>
          </cell>
          <cell r="F278" t="str">
            <v>D (MD)</v>
          </cell>
          <cell r="G278">
            <v>328512</v>
          </cell>
          <cell r="H278" t="str">
            <v>Mayday</v>
          </cell>
          <cell r="I278">
            <v>0.3125</v>
          </cell>
          <cell r="J278">
            <v>0.64583333333333337</v>
          </cell>
          <cell r="K278">
            <v>7.6666666666666696</v>
          </cell>
          <cell r="L278">
            <v>247.56</v>
          </cell>
          <cell r="O278" t="str">
            <v>Y</v>
          </cell>
          <cell r="P278" t="str">
            <v>N</v>
          </cell>
          <cell r="Q278" t="str">
            <v>Extra Capacity</v>
          </cell>
          <cell r="S278">
            <v>0.2</v>
          </cell>
        </row>
        <row r="279">
          <cell r="D279">
            <v>808000325</v>
          </cell>
          <cell r="E279" t="str">
            <v>KATIE KEAVENEY</v>
          </cell>
          <cell r="F279" t="str">
            <v>D (MD)</v>
          </cell>
          <cell r="G279">
            <v>328512</v>
          </cell>
          <cell r="H279" t="str">
            <v>Mayday</v>
          </cell>
          <cell r="I279">
            <v>0.64583333333333337</v>
          </cell>
          <cell r="J279">
            <v>0.85416666666666663</v>
          </cell>
          <cell r="K279">
            <v>5</v>
          </cell>
          <cell r="L279">
            <v>161.44999999999999</v>
          </cell>
          <cell r="O279" t="str">
            <v>Y</v>
          </cell>
          <cell r="P279" t="str">
            <v>N</v>
          </cell>
          <cell r="Q279" t="str">
            <v>Extra Capacity</v>
          </cell>
          <cell r="S279">
            <v>0.13</v>
          </cell>
        </row>
        <row r="280">
          <cell r="D280">
            <v>908002296</v>
          </cell>
          <cell r="E280" t="str">
            <v>KERRI GALLOWAY</v>
          </cell>
          <cell r="F280" t="str">
            <v>D (MD)</v>
          </cell>
          <cell r="G280">
            <v>328820</v>
          </cell>
          <cell r="H280" t="str">
            <v>Mayday</v>
          </cell>
          <cell r="I280">
            <v>0.54166666666666663</v>
          </cell>
          <cell r="J280">
            <v>0.83333333333333337</v>
          </cell>
          <cell r="K280">
            <v>6.6666666666666696</v>
          </cell>
          <cell r="L280">
            <v>215.27</v>
          </cell>
          <cell r="O280" t="str">
            <v>Y</v>
          </cell>
          <cell r="P280" t="str">
            <v>N</v>
          </cell>
          <cell r="Q280" t="str">
            <v>Extra Capacity</v>
          </cell>
          <cell r="S280">
            <v>0.18</v>
          </cell>
        </row>
        <row r="281">
          <cell r="D281">
            <v>808005921</v>
          </cell>
          <cell r="E281" t="str">
            <v>LETECIA MENIANO</v>
          </cell>
          <cell r="F281" t="str">
            <v>D (MD)</v>
          </cell>
          <cell r="G281">
            <v>328496</v>
          </cell>
          <cell r="H281" t="str">
            <v>Mayday</v>
          </cell>
          <cell r="I281">
            <v>0.88541666666666663</v>
          </cell>
          <cell r="J281">
            <v>0.27083333333333331</v>
          </cell>
          <cell r="K281">
            <v>8.9166666666666696</v>
          </cell>
          <cell r="L281">
            <v>374.29</v>
          </cell>
          <cell r="O281" t="str">
            <v>Y</v>
          </cell>
          <cell r="P281" t="str">
            <v>N</v>
          </cell>
          <cell r="Q281" t="str">
            <v>Short Term Sick</v>
          </cell>
          <cell r="S281">
            <v>0.24</v>
          </cell>
        </row>
        <row r="282">
          <cell r="D282">
            <v>808000369</v>
          </cell>
          <cell r="E282" t="str">
            <v>MELISSA SMITH</v>
          </cell>
          <cell r="F282" t="str">
            <v>D/5 (PS)</v>
          </cell>
          <cell r="H282" t="str">
            <v>Pinnacle Staffing</v>
          </cell>
          <cell r="I282">
            <v>0.3125</v>
          </cell>
          <cell r="J282">
            <v>0.64583333333333337</v>
          </cell>
          <cell r="K282">
            <v>7.6666666666666696</v>
          </cell>
          <cell r="L282">
            <v>130.26</v>
          </cell>
          <cell r="O282" t="str">
            <v>Y</v>
          </cell>
          <cell r="P282" t="str">
            <v>N</v>
          </cell>
          <cell r="Q282" t="str">
            <v>Extra Capacity</v>
          </cell>
          <cell r="S282">
            <v>0.2</v>
          </cell>
        </row>
        <row r="283">
          <cell r="D283">
            <v>808006820</v>
          </cell>
          <cell r="E283" t="str">
            <v>MIRIAM MAGWETTE</v>
          </cell>
          <cell r="F283" t="str">
            <v>D (MD)</v>
          </cell>
          <cell r="G283">
            <v>329013</v>
          </cell>
          <cell r="H283" t="str">
            <v>Mayday</v>
          </cell>
          <cell r="I283">
            <v>0.8125</v>
          </cell>
          <cell r="J283">
            <v>0.33333333333333331</v>
          </cell>
          <cell r="K283">
            <v>11.5</v>
          </cell>
          <cell r="L283">
            <v>482.74</v>
          </cell>
          <cell r="O283" t="str">
            <v>Y</v>
          </cell>
          <cell r="P283" t="str">
            <v>N</v>
          </cell>
          <cell r="Q283" t="str">
            <v>Vacancy</v>
          </cell>
          <cell r="S283">
            <v>0.31</v>
          </cell>
        </row>
        <row r="284">
          <cell r="D284">
            <v>908002195</v>
          </cell>
          <cell r="E284" t="str">
            <v>NATHI ZULU</v>
          </cell>
          <cell r="F284" t="str">
            <v>D (MD)</v>
          </cell>
          <cell r="G284">
            <v>328495</v>
          </cell>
          <cell r="H284" t="str">
            <v>Mayday</v>
          </cell>
          <cell r="I284">
            <v>0.8125</v>
          </cell>
          <cell r="J284">
            <v>0.33333333333333331</v>
          </cell>
          <cell r="K284">
            <v>11.8333333333333</v>
          </cell>
          <cell r="L284">
            <v>496.73</v>
          </cell>
          <cell r="O284" t="str">
            <v>Y</v>
          </cell>
          <cell r="P284" t="str">
            <v>N</v>
          </cell>
          <cell r="Q284" t="str">
            <v>Extra Capacity</v>
          </cell>
          <cell r="S284">
            <v>0.32</v>
          </cell>
        </row>
        <row r="285">
          <cell r="D285">
            <v>908002364</v>
          </cell>
          <cell r="E285" t="str">
            <v>NORLITA MUNOZ</v>
          </cell>
          <cell r="F285" t="str">
            <v>D (MD)</v>
          </cell>
          <cell r="G285">
            <v>328448</v>
          </cell>
          <cell r="H285" t="str">
            <v>Mayday</v>
          </cell>
          <cell r="I285">
            <v>0.88541666666666663</v>
          </cell>
          <cell r="J285">
            <v>0.3125</v>
          </cell>
          <cell r="K285">
            <v>9.25</v>
          </cell>
          <cell r="L285">
            <v>388.29</v>
          </cell>
          <cell r="O285" t="str">
            <v>Y</v>
          </cell>
          <cell r="P285" t="str">
            <v>N</v>
          </cell>
          <cell r="Q285" t="str">
            <v>Extra Capacity</v>
          </cell>
          <cell r="S285">
            <v>0.25</v>
          </cell>
        </row>
        <row r="286">
          <cell r="D286">
            <v>908002295</v>
          </cell>
          <cell r="E286" t="str">
            <v>PARMANUND PERYAGH</v>
          </cell>
          <cell r="F286" t="str">
            <v>D (Amb)</v>
          </cell>
          <cell r="G286">
            <v>741412</v>
          </cell>
          <cell r="H286" t="str">
            <v>Ambition</v>
          </cell>
          <cell r="I286">
            <v>0.3125</v>
          </cell>
          <cell r="J286">
            <v>0.5625</v>
          </cell>
          <cell r="K286">
            <v>5.6666666666666696</v>
          </cell>
          <cell r="L286">
            <v>221.57</v>
          </cell>
          <cell r="O286" t="str">
            <v>Y</v>
          </cell>
          <cell r="P286" t="str">
            <v>N</v>
          </cell>
          <cell r="Q286" t="str">
            <v>Extra Capacity</v>
          </cell>
          <cell r="S286">
            <v>0.15</v>
          </cell>
        </row>
        <row r="287">
          <cell r="D287">
            <v>908002297</v>
          </cell>
          <cell r="E287" t="str">
            <v>PARMANUND PERYAGH</v>
          </cell>
          <cell r="F287" t="str">
            <v>D (Amb)</v>
          </cell>
          <cell r="G287">
            <v>741412</v>
          </cell>
          <cell r="H287" t="str">
            <v>Ambition</v>
          </cell>
          <cell r="I287">
            <v>0.5625</v>
          </cell>
          <cell r="J287">
            <v>0.85416666666666663</v>
          </cell>
          <cell r="K287">
            <v>6.1666666666666696</v>
          </cell>
          <cell r="L287">
            <v>241.12</v>
          </cell>
          <cell r="O287" t="str">
            <v>Y</v>
          </cell>
          <cell r="P287" t="str">
            <v>N</v>
          </cell>
          <cell r="Q287" t="str">
            <v>Extra Capacity</v>
          </cell>
          <cell r="S287">
            <v>0.16</v>
          </cell>
        </row>
        <row r="288">
          <cell r="D288">
            <v>808000375</v>
          </cell>
          <cell r="E288" t="str">
            <v>PAT DUBE</v>
          </cell>
          <cell r="F288" t="str">
            <v>D (MD)</v>
          </cell>
          <cell r="G288">
            <v>328317</v>
          </cell>
          <cell r="H288" t="str">
            <v>Mayday</v>
          </cell>
          <cell r="I288">
            <v>0.3125</v>
          </cell>
          <cell r="J288">
            <v>0.64583333333333337</v>
          </cell>
          <cell r="K288">
            <v>7.6666666666666696</v>
          </cell>
          <cell r="L288">
            <v>247.56</v>
          </cell>
          <cell r="O288" t="str">
            <v>Y</v>
          </cell>
          <cell r="P288" t="str">
            <v>N</v>
          </cell>
          <cell r="Q288" t="str">
            <v>Extra Capacity</v>
          </cell>
          <cell r="S288">
            <v>0.2</v>
          </cell>
        </row>
        <row r="289">
          <cell r="D289">
            <v>808000395</v>
          </cell>
          <cell r="E289" t="str">
            <v>PAT DUBE</v>
          </cell>
          <cell r="F289" t="str">
            <v>D (MD)</v>
          </cell>
          <cell r="G289">
            <v>328317</v>
          </cell>
          <cell r="H289" t="str">
            <v>Mayday</v>
          </cell>
          <cell r="I289">
            <v>0.64583333333333337</v>
          </cell>
          <cell r="J289">
            <v>0.85416666666666663</v>
          </cell>
          <cell r="K289">
            <v>5</v>
          </cell>
          <cell r="L289">
            <v>161.44999999999999</v>
          </cell>
          <cell r="O289" t="str">
            <v>Y</v>
          </cell>
          <cell r="P289" t="str">
            <v>N</v>
          </cell>
          <cell r="Q289" t="str">
            <v>Extra Capacity</v>
          </cell>
          <cell r="S289">
            <v>0.13</v>
          </cell>
        </row>
        <row r="290">
          <cell r="D290">
            <v>808002733</v>
          </cell>
          <cell r="E290" t="str">
            <v>PAT MUGABZA</v>
          </cell>
          <cell r="F290" t="str">
            <v>A (Ch)</v>
          </cell>
          <cell r="H290" t="str">
            <v>Choice</v>
          </cell>
          <cell r="I290">
            <v>0.3125</v>
          </cell>
          <cell r="J290">
            <v>0.5625</v>
          </cell>
          <cell r="K290">
            <v>5.6666666666666696</v>
          </cell>
          <cell r="L290">
            <v>62.84</v>
          </cell>
          <cell r="O290" t="str">
            <v>Y</v>
          </cell>
          <cell r="P290" t="str">
            <v>N</v>
          </cell>
          <cell r="Q290" t="str">
            <v>Annual Leave</v>
          </cell>
          <cell r="S290">
            <v>0.15</v>
          </cell>
        </row>
        <row r="291">
          <cell r="D291">
            <v>808002734</v>
          </cell>
          <cell r="E291" t="str">
            <v>PAT MUGABZA</v>
          </cell>
          <cell r="F291" t="str">
            <v>A (Ch)</v>
          </cell>
          <cell r="H291" t="str">
            <v>Choice</v>
          </cell>
          <cell r="I291">
            <v>0.5625</v>
          </cell>
          <cell r="J291">
            <v>0.875</v>
          </cell>
          <cell r="K291">
            <v>7.1666666666666696</v>
          </cell>
          <cell r="L291">
            <v>79.48</v>
          </cell>
          <cell r="O291" t="str">
            <v>Y</v>
          </cell>
          <cell r="P291" t="str">
            <v>N</v>
          </cell>
          <cell r="Q291" t="str">
            <v>Vacancy</v>
          </cell>
          <cell r="S291">
            <v>0.19</v>
          </cell>
        </row>
        <row r="292">
          <cell r="D292">
            <v>908002060</v>
          </cell>
          <cell r="E292" t="str">
            <v>PEGGY CHIRIKURE</v>
          </cell>
          <cell r="F292" t="str">
            <v>D (Ch)</v>
          </cell>
          <cell r="G292">
            <v>16612</v>
          </cell>
          <cell r="H292" t="str">
            <v>Choice</v>
          </cell>
          <cell r="I292">
            <v>0.625</v>
          </cell>
          <cell r="J292">
            <v>0.875</v>
          </cell>
          <cell r="K292">
            <v>5.6666666666666696</v>
          </cell>
          <cell r="L292">
            <v>138.1</v>
          </cell>
          <cell r="O292" t="str">
            <v>Y</v>
          </cell>
          <cell r="P292" t="str">
            <v>N</v>
          </cell>
          <cell r="Q292" t="str">
            <v>Long Term Sick</v>
          </cell>
          <cell r="S292">
            <v>0.15</v>
          </cell>
        </row>
        <row r="293">
          <cell r="D293">
            <v>908002294</v>
          </cell>
          <cell r="E293" t="str">
            <v>PEGGY CHIRIKURE</v>
          </cell>
          <cell r="F293" t="str">
            <v>D (Ch)</v>
          </cell>
          <cell r="G293">
            <v>16603</v>
          </cell>
          <cell r="H293" t="str">
            <v>Choice</v>
          </cell>
          <cell r="I293">
            <v>0.3125</v>
          </cell>
          <cell r="J293">
            <v>0.5625</v>
          </cell>
          <cell r="K293">
            <v>5.6666666666666696</v>
          </cell>
          <cell r="L293">
            <v>138.1</v>
          </cell>
          <cell r="O293" t="str">
            <v>Y</v>
          </cell>
          <cell r="P293" t="str">
            <v>N</v>
          </cell>
          <cell r="Q293" t="str">
            <v>Extra Capacity</v>
          </cell>
          <cell r="S293">
            <v>0.15</v>
          </cell>
        </row>
        <row r="294">
          <cell r="D294">
            <v>908002094</v>
          </cell>
          <cell r="E294" t="str">
            <v>PEGGY MAPOGO</v>
          </cell>
          <cell r="F294" t="str">
            <v>D (Ch)</v>
          </cell>
          <cell r="G294">
            <v>16611</v>
          </cell>
          <cell r="H294" t="str">
            <v>Choice</v>
          </cell>
          <cell r="I294">
            <v>0.3125</v>
          </cell>
          <cell r="J294">
            <v>0.625</v>
          </cell>
          <cell r="K294">
            <v>7.1666666666666696</v>
          </cell>
          <cell r="L294">
            <v>174.65</v>
          </cell>
          <cell r="O294" t="str">
            <v>Y</v>
          </cell>
          <cell r="P294" t="str">
            <v>N</v>
          </cell>
          <cell r="Q294" t="str">
            <v>Extra Capacity</v>
          </cell>
          <cell r="S294">
            <v>0.19</v>
          </cell>
        </row>
        <row r="295">
          <cell r="D295">
            <v>908002156</v>
          </cell>
          <cell r="E295" t="str">
            <v>PEGGY MAPOGO</v>
          </cell>
          <cell r="F295" t="str">
            <v>D (Ch)</v>
          </cell>
          <cell r="G295">
            <v>16611</v>
          </cell>
          <cell r="H295" t="str">
            <v>Choice</v>
          </cell>
          <cell r="I295">
            <v>0.625</v>
          </cell>
          <cell r="J295">
            <v>0.89583333333333337</v>
          </cell>
          <cell r="K295">
            <v>6.1666666666666696</v>
          </cell>
          <cell r="L295">
            <v>150.28</v>
          </cell>
          <cell r="O295" t="str">
            <v>Y</v>
          </cell>
          <cell r="P295" t="str">
            <v>N</v>
          </cell>
          <cell r="Q295" t="str">
            <v>Extra Capacity</v>
          </cell>
          <cell r="S295">
            <v>0.16</v>
          </cell>
        </row>
        <row r="296">
          <cell r="D296">
            <v>808000381</v>
          </cell>
          <cell r="E296" t="str">
            <v>PRUDENCE MAJOZI</v>
          </cell>
          <cell r="F296" t="str">
            <v>D (MD)</v>
          </cell>
          <cell r="G296">
            <v>328504</v>
          </cell>
          <cell r="H296" t="str">
            <v>Mayday</v>
          </cell>
          <cell r="I296">
            <v>0.3125</v>
          </cell>
          <cell r="J296">
            <v>0.64583333333333337</v>
          </cell>
          <cell r="K296">
            <v>7.6666666666666696</v>
          </cell>
          <cell r="L296">
            <v>247.56</v>
          </cell>
          <cell r="O296" t="str">
            <v>Y</v>
          </cell>
          <cell r="P296" t="str">
            <v>N</v>
          </cell>
          <cell r="Q296" t="str">
            <v>Extra Capacity</v>
          </cell>
          <cell r="S296">
            <v>0.2</v>
          </cell>
        </row>
        <row r="297">
          <cell r="D297">
            <v>808000409</v>
          </cell>
          <cell r="E297" t="str">
            <v>PRUDENCE MAJOZI</v>
          </cell>
          <cell r="F297" t="str">
            <v>D (MD)</v>
          </cell>
          <cell r="G297">
            <v>328504</v>
          </cell>
          <cell r="H297" t="str">
            <v>Mayday</v>
          </cell>
          <cell r="I297">
            <v>0.64583333333333337</v>
          </cell>
          <cell r="J297">
            <v>0.85416666666666663</v>
          </cell>
          <cell r="K297">
            <v>5</v>
          </cell>
          <cell r="L297">
            <v>161.44999999999999</v>
          </cell>
          <cell r="O297" t="str">
            <v>Y</v>
          </cell>
          <cell r="P297" t="str">
            <v>N</v>
          </cell>
          <cell r="Q297" t="str">
            <v>Extra Capacity</v>
          </cell>
          <cell r="S297">
            <v>0.13</v>
          </cell>
        </row>
        <row r="298">
          <cell r="D298">
            <v>908002115</v>
          </cell>
          <cell r="E298" t="str">
            <v>ROHEYATOU NDOW-NJIE</v>
          </cell>
          <cell r="F298" t="str">
            <v>D (Ch)</v>
          </cell>
          <cell r="H298" t="str">
            <v>Choice</v>
          </cell>
          <cell r="I298">
            <v>0.82291666666666663</v>
          </cell>
          <cell r="J298">
            <v>0.33333333333333331</v>
          </cell>
          <cell r="K298">
            <v>11.5833333333333</v>
          </cell>
          <cell r="L298">
            <v>366.97</v>
          </cell>
          <cell r="O298" t="str">
            <v>Y</v>
          </cell>
          <cell r="P298" t="str">
            <v>N</v>
          </cell>
          <cell r="Q298" t="str">
            <v>Extra Capacity</v>
          </cell>
          <cell r="S298">
            <v>0.31</v>
          </cell>
        </row>
        <row r="299">
          <cell r="D299">
            <v>908000933</v>
          </cell>
          <cell r="E299" t="str">
            <v>SUSAN MCENTIRE</v>
          </cell>
          <cell r="F299" t="str">
            <v>D (Amb)</v>
          </cell>
          <cell r="G299">
            <v>741388</v>
          </cell>
          <cell r="H299" t="str">
            <v>Ambition</v>
          </cell>
          <cell r="I299">
            <v>0.58333333333333337</v>
          </cell>
          <cell r="J299">
            <v>0.84375</v>
          </cell>
          <cell r="K299">
            <v>6</v>
          </cell>
          <cell r="L299">
            <v>234.6</v>
          </cell>
          <cell r="O299" t="str">
            <v>Y</v>
          </cell>
          <cell r="P299" t="str">
            <v>N</v>
          </cell>
          <cell r="Q299" t="str">
            <v>Vacancy</v>
          </cell>
          <cell r="S299">
            <v>0.16</v>
          </cell>
        </row>
        <row r="300">
          <cell r="D300">
            <v>908002466</v>
          </cell>
          <cell r="E300" t="str">
            <v>TEMBE NGIDI</v>
          </cell>
          <cell r="F300" t="str">
            <v>D (MD)</v>
          </cell>
          <cell r="G300">
            <v>328464</v>
          </cell>
          <cell r="H300" t="str">
            <v>Mayday</v>
          </cell>
          <cell r="I300">
            <v>0.88541666666666663</v>
          </cell>
          <cell r="J300">
            <v>0.27083333333333331</v>
          </cell>
          <cell r="K300">
            <v>8.9166666666666696</v>
          </cell>
          <cell r="L300">
            <v>374.29</v>
          </cell>
          <cell r="O300" t="str">
            <v>Y</v>
          </cell>
          <cell r="P300" t="str">
            <v>N</v>
          </cell>
          <cell r="Q300" t="str">
            <v>Extra Capacity</v>
          </cell>
          <cell r="S300">
            <v>0.24</v>
          </cell>
        </row>
        <row r="301">
          <cell r="D301">
            <v>908002194</v>
          </cell>
          <cell r="E301" t="str">
            <v>THEMBE NHOSE</v>
          </cell>
          <cell r="F301" t="str">
            <v>D (MD)</v>
          </cell>
          <cell r="G301">
            <v>328461</v>
          </cell>
          <cell r="H301" t="str">
            <v>Mayday</v>
          </cell>
          <cell r="I301">
            <v>0.8125</v>
          </cell>
          <cell r="J301">
            <v>0.33333333333333331</v>
          </cell>
          <cell r="K301">
            <v>11.8333333333333</v>
          </cell>
          <cell r="L301">
            <v>496.73</v>
          </cell>
          <cell r="O301" t="str">
            <v>Y</v>
          </cell>
          <cell r="P301" t="str">
            <v>N</v>
          </cell>
          <cell r="Q301" t="str">
            <v>Extra Capacity</v>
          </cell>
          <cell r="S301">
            <v>0.32</v>
          </cell>
        </row>
        <row r="302">
          <cell r="D302">
            <v>908001401</v>
          </cell>
          <cell r="E302" t="str">
            <v>TOM OSBOURNE</v>
          </cell>
          <cell r="F302" t="str">
            <v>D General (Orio</v>
          </cell>
          <cell r="G302" t="str">
            <v>Invsd Smt checked</v>
          </cell>
          <cell r="H302" t="str">
            <v>Orion</v>
          </cell>
          <cell r="I302">
            <v>0.33333333333333331</v>
          </cell>
          <cell r="J302">
            <v>0.75</v>
          </cell>
          <cell r="K302">
            <v>9.5</v>
          </cell>
          <cell r="L302">
            <v>172.14</v>
          </cell>
          <cell r="O302" t="str">
            <v>Y</v>
          </cell>
          <cell r="P302" t="str">
            <v>N</v>
          </cell>
          <cell r="Q302" t="str">
            <v>Vacancy</v>
          </cell>
          <cell r="S302">
            <v>0.25</v>
          </cell>
        </row>
        <row r="303">
          <cell r="D303">
            <v>908002410</v>
          </cell>
          <cell r="E303" t="str">
            <v>TRUST CHIWUNDURA (h wenyeve)</v>
          </cell>
          <cell r="F303" t="str">
            <v>A (Ch)</v>
          </cell>
          <cell r="G303">
            <v>16604</v>
          </cell>
          <cell r="H303" t="str">
            <v>Choice</v>
          </cell>
          <cell r="I303">
            <v>0.83333333333333337</v>
          </cell>
          <cell r="J303">
            <v>0.33333333333333331</v>
          </cell>
          <cell r="K303">
            <v>11.3333333333333</v>
          </cell>
          <cell r="L303">
            <v>167.58</v>
          </cell>
          <cell r="O303" t="str">
            <v>Y</v>
          </cell>
          <cell r="P303" t="str">
            <v>N</v>
          </cell>
          <cell r="Q303" t="str">
            <v>Specials</v>
          </cell>
          <cell r="S303">
            <v>0.3</v>
          </cell>
        </row>
        <row r="304">
          <cell r="D304">
            <v>808006351</v>
          </cell>
          <cell r="E304" t="str">
            <v>VICTORIA ANIKINA</v>
          </cell>
          <cell r="F304" t="str">
            <v>D (Amb)</v>
          </cell>
          <cell r="G304">
            <v>741387</v>
          </cell>
          <cell r="H304" t="str">
            <v>Ambition</v>
          </cell>
          <cell r="I304">
            <v>0.625</v>
          </cell>
          <cell r="J304">
            <v>0.875</v>
          </cell>
          <cell r="K304">
            <v>5.75</v>
          </cell>
          <cell r="L304">
            <v>224.83</v>
          </cell>
          <cell r="O304" t="str">
            <v>Y</v>
          </cell>
          <cell r="P304" t="str">
            <v>N</v>
          </cell>
          <cell r="Q304" t="str">
            <v>Long Term Sick</v>
          </cell>
          <cell r="S304">
            <v>0.15</v>
          </cell>
        </row>
        <row r="305">
          <cell r="D305">
            <v>808002489</v>
          </cell>
          <cell r="E305" t="str">
            <v>ANNA BONNERUP</v>
          </cell>
          <cell r="F305" t="str">
            <v>D / 5 General (</v>
          </cell>
          <cell r="G305" t="str">
            <v>604-148556</v>
          </cell>
          <cell r="H305" t="str">
            <v>Blue Arrow</v>
          </cell>
          <cell r="I305">
            <v>0.625</v>
          </cell>
          <cell r="J305">
            <v>0.85416666666666663</v>
          </cell>
          <cell r="K305">
            <v>5.5</v>
          </cell>
          <cell r="L305">
            <v>92.84</v>
          </cell>
          <cell r="O305" t="str">
            <v>Y</v>
          </cell>
          <cell r="P305" t="str">
            <v>N</v>
          </cell>
          <cell r="Q305" t="str">
            <v>Vacancy</v>
          </cell>
          <cell r="S305">
            <v>0.15</v>
          </cell>
        </row>
        <row r="306">
          <cell r="D306">
            <v>908002160</v>
          </cell>
          <cell r="E306" t="str">
            <v>BEAUTY NGIDI</v>
          </cell>
          <cell r="F306" t="str">
            <v>D (MD)</v>
          </cell>
          <cell r="G306">
            <v>328533</v>
          </cell>
          <cell r="H306" t="str">
            <v>Mayday</v>
          </cell>
          <cell r="I306">
            <v>0.89583333333333337</v>
          </cell>
          <cell r="J306">
            <v>0.3125</v>
          </cell>
          <cell r="K306">
            <v>9.6666666666666696</v>
          </cell>
          <cell r="L306">
            <v>405.78</v>
          </cell>
          <cell r="O306" t="str">
            <v>Y</v>
          </cell>
          <cell r="P306" t="str">
            <v>N</v>
          </cell>
          <cell r="Q306" t="str">
            <v>Extra Capacity</v>
          </cell>
          <cell r="S306">
            <v>0.26</v>
          </cell>
        </row>
        <row r="307">
          <cell r="D307">
            <v>808000310</v>
          </cell>
          <cell r="E307" t="str">
            <v>BRIGHTNESS NDEBELE</v>
          </cell>
          <cell r="F307" t="str">
            <v>D (MD)</v>
          </cell>
          <cell r="G307">
            <v>328324</v>
          </cell>
          <cell r="H307" t="str">
            <v>Mayday</v>
          </cell>
          <cell r="I307">
            <v>0.3125</v>
          </cell>
          <cell r="J307">
            <v>0.64583333333333337</v>
          </cell>
          <cell r="K307">
            <v>7.6666666666666696</v>
          </cell>
          <cell r="L307">
            <v>247.56</v>
          </cell>
          <cell r="O307" t="str">
            <v>Y</v>
          </cell>
          <cell r="P307" t="str">
            <v>N</v>
          </cell>
          <cell r="Q307" t="str">
            <v>Extra Capacity</v>
          </cell>
          <cell r="S307">
            <v>0.2</v>
          </cell>
        </row>
        <row r="308">
          <cell r="D308">
            <v>808000333</v>
          </cell>
          <cell r="E308" t="str">
            <v>BRIGHTNESS NDEBELE</v>
          </cell>
          <cell r="F308" t="str">
            <v>D (MD)</v>
          </cell>
          <cell r="G308">
            <v>328324</v>
          </cell>
          <cell r="H308" t="str">
            <v>Mayday</v>
          </cell>
          <cell r="I308">
            <v>0.64583333333333337</v>
          </cell>
          <cell r="J308">
            <v>0.85416666666666663</v>
          </cell>
          <cell r="K308">
            <v>5</v>
          </cell>
          <cell r="L308">
            <v>161.44999999999999</v>
          </cell>
          <cell r="O308" t="str">
            <v>Y</v>
          </cell>
          <cell r="P308" t="str">
            <v>N</v>
          </cell>
          <cell r="Q308" t="str">
            <v>Extra Capacity</v>
          </cell>
          <cell r="S308">
            <v>0.13</v>
          </cell>
        </row>
        <row r="309">
          <cell r="D309">
            <v>908002748</v>
          </cell>
          <cell r="E309" t="str">
            <v>CARL HIBBERT</v>
          </cell>
          <cell r="F309" t="str">
            <v>D (Ch)</v>
          </cell>
          <cell r="G309">
            <v>16593</v>
          </cell>
          <cell r="H309" t="str">
            <v>Choice</v>
          </cell>
          <cell r="I309">
            <v>0.79166666666666663</v>
          </cell>
          <cell r="J309">
            <v>0.33333333333333331</v>
          </cell>
          <cell r="K309">
            <v>12.3333333333333</v>
          </cell>
          <cell r="L309">
            <v>390.73</v>
          </cell>
          <cell r="O309" t="str">
            <v>Y</v>
          </cell>
          <cell r="P309" t="str">
            <v>N</v>
          </cell>
          <cell r="Q309" t="str">
            <v>Vacancy</v>
          </cell>
          <cell r="S309">
            <v>0.33</v>
          </cell>
        </row>
        <row r="310">
          <cell r="D310">
            <v>908002371</v>
          </cell>
          <cell r="E310" t="str">
            <v>CATH CHIDAVAYENZI</v>
          </cell>
          <cell r="F310" t="str">
            <v>D (Ch)</v>
          </cell>
          <cell r="G310">
            <v>16592</v>
          </cell>
          <cell r="H310" t="str">
            <v>Choice</v>
          </cell>
          <cell r="I310">
            <v>0.88541666666666663</v>
          </cell>
          <cell r="J310">
            <v>0.3125</v>
          </cell>
          <cell r="K310">
            <v>9.25</v>
          </cell>
          <cell r="L310">
            <v>293.05</v>
          </cell>
          <cell r="O310" t="str">
            <v>Y</v>
          </cell>
          <cell r="P310" t="str">
            <v>N</v>
          </cell>
          <cell r="Q310" t="str">
            <v>Extra Capacity</v>
          </cell>
          <cell r="S310">
            <v>0.25</v>
          </cell>
        </row>
        <row r="311">
          <cell r="D311">
            <v>808005017</v>
          </cell>
          <cell r="E311" t="str">
            <v>CHRIS STULAR</v>
          </cell>
          <cell r="F311" t="str">
            <v>D General (Orio</v>
          </cell>
          <cell r="G311" t="str">
            <v>Invsd Smt checked</v>
          </cell>
          <cell r="H311" t="str">
            <v>Orion</v>
          </cell>
          <cell r="I311">
            <v>0.33333333333333331</v>
          </cell>
          <cell r="J311">
            <v>0.75</v>
          </cell>
          <cell r="K311">
            <v>9.5</v>
          </cell>
          <cell r="L311">
            <v>172.14</v>
          </cell>
          <cell r="O311" t="str">
            <v>Y</v>
          </cell>
          <cell r="P311" t="str">
            <v>N</v>
          </cell>
          <cell r="Q311" t="str">
            <v>Backfill</v>
          </cell>
          <cell r="S311">
            <v>0.25</v>
          </cell>
        </row>
        <row r="312">
          <cell r="D312">
            <v>908002411</v>
          </cell>
          <cell r="E312" t="str">
            <v>DOROTHY MUTHWA</v>
          </cell>
          <cell r="F312" t="str">
            <v>A (Ch)</v>
          </cell>
          <cell r="G312">
            <v>16670</v>
          </cell>
          <cell r="H312" t="str">
            <v>Choice</v>
          </cell>
          <cell r="I312">
            <v>0.33333333333333331</v>
          </cell>
          <cell r="J312">
            <v>0.58333333333333337</v>
          </cell>
          <cell r="K312">
            <v>5.6666666666666696</v>
          </cell>
          <cell r="L312">
            <v>62.84</v>
          </cell>
          <cell r="O312" t="str">
            <v>Y</v>
          </cell>
          <cell r="P312" t="str">
            <v>N</v>
          </cell>
          <cell r="Q312" t="str">
            <v>Specials</v>
          </cell>
          <cell r="S312">
            <v>0.15</v>
          </cell>
        </row>
        <row r="313">
          <cell r="D313">
            <v>908002366</v>
          </cell>
          <cell r="E313" t="str">
            <v>EGNESS MONAISA</v>
          </cell>
          <cell r="F313" t="str">
            <v>D (Ch)</v>
          </cell>
          <cell r="G313">
            <v>16732</v>
          </cell>
          <cell r="H313" t="str">
            <v>Choice</v>
          </cell>
          <cell r="I313">
            <v>0.88541666666666663</v>
          </cell>
          <cell r="J313">
            <v>0.3125</v>
          </cell>
          <cell r="K313">
            <v>9.25</v>
          </cell>
          <cell r="L313">
            <v>293.05</v>
          </cell>
          <cell r="O313" t="str">
            <v>Y</v>
          </cell>
          <cell r="P313" t="str">
            <v>N</v>
          </cell>
          <cell r="Q313" t="str">
            <v>Extra Capacity</v>
          </cell>
          <cell r="S313">
            <v>0.25</v>
          </cell>
        </row>
        <row r="314">
          <cell r="D314">
            <v>808004969</v>
          </cell>
          <cell r="E314" t="str">
            <v>EMMA FLIT-ELY</v>
          </cell>
          <cell r="F314" t="str">
            <v>D (Ch)</v>
          </cell>
          <cell r="G314">
            <v>16606</v>
          </cell>
          <cell r="H314" t="str">
            <v>Choice</v>
          </cell>
          <cell r="I314">
            <v>0.60416666666666663</v>
          </cell>
          <cell r="J314">
            <v>0.8125</v>
          </cell>
          <cell r="K314">
            <v>5</v>
          </cell>
          <cell r="L314">
            <v>121.85</v>
          </cell>
          <cell r="O314" t="str">
            <v>Y</v>
          </cell>
          <cell r="P314" t="str">
            <v>N</v>
          </cell>
          <cell r="Q314" t="str">
            <v>Vacancy</v>
          </cell>
          <cell r="S314">
            <v>0.13</v>
          </cell>
        </row>
        <row r="315">
          <cell r="D315">
            <v>908002666</v>
          </cell>
          <cell r="E315" t="str">
            <v>GEORGE GARCIA</v>
          </cell>
          <cell r="F315" t="str">
            <v>2 Gen (All)</v>
          </cell>
          <cell r="G315" t="str">
            <v>G1434641</v>
          </cell>
          <cell r="H315" t="str">
            <v xml:space="preserve">Allied </v>
          </cell>
          <cell r="I315">
            <v>0.83333333333333337</v>
          </cell>
          <cell r="J315">
            <v>0.33333333333333331</v>
          </cell>
          <cell r="K315">
            <v>11.3333333333333</v>
          </cell>
          <cell r="L315">
            <v>145.07</v>
          </cell>
          <cell r="O315" t="str">
            <v>Y</v>
          </cell>
          <cell r="P315" t="str">
            <v>N</v>
          </cell>
          <cell r="Q315" t="str">
            <v>Specials</v>
          </cell>
          <cell r="S315">
            <v>0.3</v>
          </cell>
        </row>
        <row r="316">
          <cell r="D316">
            <v>808004966</v>
          </cell>
          <cell r="E316" t="str">
            <v>GRACE CHIKWAVA</v>
          </cell>
          <cell r="F316" t="str">
            <v>D (Ch)</v>
          </cell>
          <cell r="G316">
            <v>16606</v>
          </cell>
          <cell r="H316" t="str">
            <v>Choice</v>
          </cell>
          <cell r="I316">
            <v>0.3125</v>
          </cell>
          <cell r="J316">
            <v>0.5625</v>
          </cell>
          <cell r="K316">
            <v>5.6666666666666696</v>
          </cell>
          <cell r="L316">
            <v>138.1</v>
          </cell>
          <cell r="O316" t="str">
            <v>Y</v>
          </cell>
          <cell r="P316" t="str">
            <v>N</v>
          </cell>
          <cell r="Q316" t="str">
            <v>Vacancy</v>
          </cell>
          <cell r="S316">
            <v>0.15</v>
          </cell>
        </row>
        <row r="317">
          <cell r="D317">
            <v>908000942</v>
          </cell>
          <cell r="E317" t="str">
            <v>GRACE CHIKWAVA</v>
          </cell>
          <cell r="F317" t="str">
            <v>D (Ch)</v>
          </cell>
          <cell r="G317">
            <v>16604</v>
          </cell>
          <cell r="H317" t="str">
            <v>Choice</v>
          </cell>
          <cell r="I317">
            <v>0.58333333333333337</v>
          </cell>
          <cell r="J317">
            <v>0.84375</v>
          </cell>
          <cell r="K317">
            <v>6</v>
          </cell>
          <cell r="L317">
            <v>146.22</v>
          </cell>
          <cell r="O317" t="str">
            <v>Y</v>
          </cell>
          <cell r="P317" t="str">
            <v>N</v>
          </cell>
          <cell r="Q317" t="str">
            <v>Vacancy</v>
          </cell>
          <cell r="S317">
            <v>0.16</v>
          </cell>
        </row>
        <row r="318">
          <cell r="D318">
            <v>908001795</v>
          </cell>
          <cell r="E318" t="str">
            <v>JASON WENT</v>
          </cell>
          <cell r="F318" t="str">
            <v>D / 5 General (</v>
          </cell>
          <cell r="G318" t="str">
            <v>604-148337</v>
          </cell>
          <cell r="H318" t="str">
            <v>Blue Arrow</v>
          </cell>
          <cell r="I318">
            <v>0.88541666666666663</v>
          </cell>
          <cell r="J318">
            <v>0.3125</v>
          </cell>
          <cell r="K318">
            <v>9.9166666666666696</v>
          </cell>
          <cell r="L318">
            <v>217.61</v>
          </cell>
          <cell r="O318" t="str">
            <v>Y</v>
          </cell>
          <cell r="P318" t="str">
            <v>N</v>
          </cell>
          <cell r="Q318" t="str">
            <v>Backfill</v>
          </cell>
          <cell r="S318">
            <v>0.26</v>
          </cell>
        </row>
        <row r="319">
          <cell r="D319">
            <v>808000304</v>
          </cell>
          <cell r="E319" t="str">
            <v>JEAN NGONA</v>
          </cell>
          <cell r="F319" t="str">
            <v>D (MD)</v>
          </cell>
          <cell r="G319">
            <v>330258</v>
          </cell>
          <cell r="H319" t="str">
            <v>Mayday</v>
          </cell>
          <cell r="I319">
            <v>0.3125</v>
          </cell>
          <cell r="J319">
            <v>0.64583333333333337</v>
          </cell>
          <cell r="K319">
            <v>7.6666666666666696</v>
          </cell>
          <cell r="L319">
            <v>247.56</v>
          </cell>
          <cell r="O319" t="str">
            <v>Y</v>
          </cell>
          <cell r="P319" t="str">
            <v>N</v>
          </cell>
          <cell r="Q319" t="str">
            <v>Extra Capacity</v>
          </cell>
          <cell r="S319">
            <v>0.2</v>
          </cell>
        </row>
        <row r="320">
          <cell r="D320">
            <v>808000326</v>
          </cell>
          <cell r="E320" t="str">
            <v>JEAN NGONA</v>
          </cell>
          <cell r="F320" t="str">
            <v>D (MD)</v>
          </cell>
          <cell r="G320">
            <v>330258</v>
          </cell>
          <cell r="H320" t="str">
            <v>Mayday</v>
          </cell>
          <cell r="I320">
            <v>0.64583333333333337</v>
          </cell>
          <cell r="J320">
            <v>0.85416666666666663</v>
          </cell>
          <cell r="K320">
            <v>5</v>
          </cell>
          <cell r="L320">
            <v>161.44999999999999</v>
          </cell>
          <cell r="O320" t="str">
            <v>Y</v>
          </cell>
          <cell r="P320" t="str">
            <v>N</v>
          </cell>
          <cell r="Q320" t="str">
            <v>Extra Capacity</v>
          </cell>
          <cell r="S320">
            <v>0.13</v>
          </cell>
        </row>
        <row r="321">
          <cell r="D321">
            <v>808000382</v>
          </cell>
          <cell r="E321" t="str">
            <v>JOAN LEWIS</v>
          </cell>
          <cell r="F321" t="str">
            <v>D (MD)</v>
          </cell>
          <cell r="G321">
            <v>328308</v>
          </cell>
          <cell r="H321" t="str">
            <v>Mayday</v>
          </cell>
          <cell r="I321">
            <v>0.3125</v>
          </cell>
          <cell r="J321">
            <v>0.64583333333333337</v>
          </cell>
          <cell r="K321">
            <v>7.6666666666666696</v>
          </cell>
          <cell r="L321">
            <v>247.56</v>
          </cell>
          <cell r="O321" t="str">
            <v>Y</v>
          </cell>
          <cell r="P321" t="str">
            <v>N</v>
          </cell>
          <cell r="Q321" t="str">
            <v>Extra Capacity</v>
          </cell>
          <cell r="S321">
            <v>0.2</v>
          </cell>
        </row>
        <row r="322">
          <cell r="D322">
            <v>808000410</v>
          </cell>
          <cell r="E322" t="str">
            <v>JOAN LEWIS</v>
          </cell>
          <cell r="F322" t="str">
            <v>D (MD)</v>
          </cell>
          <cell r="G322">
            <v>328308</v>
          </cell>
          <cell r="H322" t="str">
            <v>Mayday</v>
          </cell>
          <cell r="I322">
            <v>0.64583333333333337</v>
          </cell>
          <cell r="J322">
            <v>0.85416666666666663</v>
          </cell>
          <cell r="K322">
            <v>5</v>
          </cell>
          <cell r="L322">
            <v>161.44999999999999</v>
          </cell>
          <cell r="O322" t="str">
            <v>Y</v>
          </cell>
          <cell r="P322" t="str">
            <v>N</v>
          </cell>
          <cell r="Q322" t="str">
            <v>Extra Capacity</v>
          </cell>
          <cell r="S322">
            <v>0.13</v>
          </cell>
        </row>
        <row r="323">
          <cell r="D323">
            <v>808003470</v>
          </cell>
          <cell r="E323" t="str">
            <v>JOY MABITLE</v>
          </cell>
          <cell r="F323" t="str">
            <v>D (MD)</v>
          </cell>
          <cell r="G323">
            <v>337682</v>
          </cell>
          <cell r="H323" t="str">
            <v>Mayday</v>
          </cell>
          <cell r="I323">
            <v>0.875</v>
          </cell>
          <cell r="J323">
            <v>0.30208333333333331</v>
          </cell>
          <cell r="K323">
            <v>9.9166666666666696</v>
          </cell>
          <cell r="L323">
            <v>416.27</v>
          </cell>
          <cell r="O323" t="str">
            <v>Y</v>
          </cell>
          <cell r="P323" t="str">
            <v>N</v>
          </cell>
          <cell r="Q323" t="str">
            <v>Vacancy</v>
          </cell>
          <cell r="S323">
            <v>0.26</v>
          </cell>
        </row>
        <row r="324">
          <cell r="D324">
            <v>908002500</v>
          </cell>
          <cell r="E324" t="str">
            <v>KAREN STRUDWICK</v>
          </cell>
          <cell r="F324" t="str">
            <v>D (Ch)</v>
          </cell>
          <cell r="G324">
            <v>16606</v>
          </cell>
          <cell r="H324" t="str">
            <v>Choice</v>
          </cell>
          <cell r="I324">
            <v>0.79166666666666663</v>
          </cell>
          <cell r="J324">
            <v>0.3125</v>
          </cell>
          <cell r="K324">
            <v>10.5</v>
          </cell>
          <cell r="L324">
            <v>332.65</v>
          </cell>
          <cell r="O324" t="str">
            <v>Y</v>
          </cell>
          <cell r="P324" t="str">
            <v>N</v>
          </cell>
          <cell r="Q324" t="str">
            <v>Vacancy</v>
          </cell>
          <cell r="S324">
            <v>0.28000000000000003</v>
          </cell>
        </row>
        <row r="325">
          <cell r="D325">
            <v>908001403</v>
          </cell>
          <cell r="E325" t="str">
            <v>KAREN VAUGHAN</v>
          </cell>
          <cell r="F325" t="str">
            <v>D General (Orio</v>
          </cell>
          <cell r="G325" t="str">
            <v>Invsd Smt checked</v>
          </cell>
          <cell r="H325" t="str">
            <v>Orion</v>
          </cell>
          <cell r="I325">
            <v>0.54166666666666663</v>
          </cell>
          <cell r="J325">
            <v>0.75</v>
          </cell>
          <cell r="K325">
            <v>5</v>
          </cell>
          <cell r="L325">
            <v>90.6</v>
          </cell>
          <cell r="O325" t="str">
            <v>Y</v>
          </cell>
          <cell r="P325" t="str">
            <v>N</v>
          </cell>
          <cell r="Q325" t="str">
            <v>Vacancy</v>
          </cell>
          <cell r="S325">
            <v>0.13</v>
          </cell>
        </row>
        <row r="326">
          <cell r="D326">
            <v>908002199</v>
          </cell>
          <cell r="E326" t="str">
            <v>KERRI GALLOWAY</v>
          </cell>
          <cell r="F326" t="str">
            <v>D (MD)</v>
          </cell>
          <cell r="G326">
            <v>328525</v>
          </cell>
          <cell r="H326" t="str">
            <v>Mayday</v>
          </cell>
          <cell r="I326">
            <v>0.5625</v>
          </cell>
          <cell r="J326">
            <v>0.83333333333333337</v>
          </cell>
          <cell r="K326">
            <v>6.1666666666666696</v>
          </cell>
          <cell r="L326">
            <v>199.12</v>
          </cell>
          <cell r="O326" t="str">
            <v>Y</v>
          </cell>
          <cell r="P326" t="str">
            <v>N</v>
          </cell>
          <cell r="Q326" t="str">
            <v>Extra Capacity</v>
          </cell>
          <cell r="S326">
            <v>0.16</v>
          </cell>
        </row>
        <row r="327">
          <cell r="D327">
            <v>908002201</v>
          </cell>
          <cell r="E327" t="str">
            <v>LETECIA MENIANO</v>
          </cell>
          <cell r="F327" t="str">
            <v>D (Ch)</v>
          </cell>
          <cell r="G327">
            <v>16592</v>
          </cell>
          <cell r="H327" t="str">
            <v>Choice</v>
          </cell>
          <cell r="I327">
            <v>0.8125</v>
          </cell>
          <cell r="J327">
            <v>0.33333333333333331</v>
          </cell>
          <cell r="K327">
            <v>11.8333333333333</v>
          </cell>
          <cell r="L327">
            <v>374.89</v>
          </cell>
          <cell r="O327" t="str">
            <v>Y</v>
          </cell>
          <cell r="P327" t="str">
            <v>N</v>
          </cell>
          <cell r="Q327" t="str">
            <v>Extra Capacity</v>
          </cell>
          <cell r="S327">
            <v>0.32</v>
          </cell>
        </row>
        <row r="328">
          <cell r="D328">
            <v>808000370</v>
          </cell>
          <cell r="E328" t="str">
            <v>MELISSA SMITH</v>
          </cell>
          <cell r="F328" t="str">
            <v>D/5 (PS)</v>
          </cell>
          <cell r="H328" t="str">
            <v>Pinnacle Staffing</v>
          </cell>
          <cell r="I328">
            <v>0.3125</v>
          </cell>
          <cell r="J328">
            <v>0.64583333333333337</v>
          </cell>
          <cell r="K328">
            <v>7.6666666666666696</v>
          </cell>
          <cell r="L328">
            <v>130.26</v>
          </cell>
          <cell r="O328" t="str">
            <v>Y</v>
          </cell>
          <cell r="P328" t="str">
            <v>N</v>
          </cell>
          <cell r="Q328" t="str">
            <v>Extra Capacity</v>
          </cell>
          <cell r="S328">
            <v>0.2</v>
          </cell>
        </row>
        <row r="329">
          <cell r="D329">
            <v>908002202</v>
          </cell>
          <cell r="E329" t="str">
            <v>NATHI ZULU</v>
          </cell>
          <cell r="F329" t="str">
            <v>D (MD)</v>
          </cell>
          <cell r="G329">
            <v>328493</v>
          </cell>
          <cell r="H329" t="str">
            <v>Mayday</v>
          </cell>
          <cell r="I329">
            <v>0.8125</v>
          </cell>
          <cell r="J329">
            <v>0.33333333333333331</v>
          </cell>
          <cell r="K329">
            <v>11.8333333333333</v>
          </cell>
          <cell r="L329">
            <v>496.73</v>
          </cell>
          <cell r="O329" t="str">
            <v>Y</v>
          </cell>
          <cell r="P329" t="str">
            <v>N</v>
          </cell>
          <cell r="Q329" t="str">
            <v>Extra Capacity</v>
          </cell>
          <cell r="S329">
            <v>0.32</v>
          </cell>
        </row>
        <row r="330">
          <cell r="D330">
            <v>808003387</v>
          </cell>
          <cell r="E330" t="str">
            <v>NOLIZWI MGANDELA</v>
          </cell>
          <cell r="F330" t="str">
            <v>D (MD)</v>
          </cell>
          <cell r="H330" t="str">
            <v>Mayday</v>
          </cell>
          <cell r="I330">
            <v>0.88541666666666663</v>
          </cell>
          <cell r="J330">
            <v>0.3125</v>
          </cell>
          <cell r="K330">
            <v>9.25</v>
          </cell>
          <cell r="L330">
            <v>388.29</v>
          </cell>
          <cell r="O330" t="str">
            <v>Y</v>
          </cell>
          <cell r="P330" t="str">
            <v>N</v>
          </cell>
          <cell r="Q330" t="str">
            <v>Vacancy</v>
          </cell>
          <cell r="S330">
            <v>0.25</v>
          </cell>
        </row>
        <row r="331">
          <cell r="D331">
            <v>908002893</v>
          </cell>
          <cell r="E331" t="str">
            <v>NORLITA MUNOZ</v>
          </cell>
          <cell r="F331" t="str">
            <v>D (MD)</v>
          </cell>
          <cell r="G331">
            <v>328451</v>
          </cell>
          <cell r="H331" t="str">
            <v>Mayday</v>
          </cell>
          <cell r="I331">
            <v>0.8125</v>
          </cell>
          <cell r="J331">
            <v>0.33333333333333331</v>
          </cell>
          <cell r="K331">
            <v>11.8333333333333</v>
          </cell>
          <cell r="L331">
            <v>496.73</v>
          </cell>
          <cell r="O331" t="str">
            <v>Y</v>
          </cell>
          <cell r="P331" t="str">
            <v>N</v>
          </cell>
          <cell r="Q331" t="str">
            <v>Extra Capacity</v>
          </cell>
          <cell r="S331">
            <v>0.32</v>
          </cell>
        </row>
        <row r="332">
          <cell r="D332">
            <v>808000376</v>
          </cell>
          <cell r="E332" t="str">
            <v>PAT DUBE</v>
          </cell>
          <cell r="F332" t="str">
            <v>D (MD)</v>
          </cell>
          <cell r="G332">
            <v>328317</v>
          </cell>
          <cell r="H332" t="str">
            <v>Mayday</v>
          </cell>
          <cell r="I332">
            <v>0.3125</v>
          </cell>
          <cell r="J332">
            <v>0.64583333333333337</v>
          </cell>
          <cell r="K332">
            <v>7.6666666666666696</v>
          </cell>
          <cell r="L332">
            <v>247.56</v>
          </cell>
          <cell r="O332" t="str">
            <v>Y</v>
          </cell>
          <cell r="P332" t="str">
            <v>N</v>
          </cell>
          <cell r="Q332" t="str">
            <v>Extra Capacity</v>
          </cell>
          <cell r="S332">
            <v>0.2</v>
          </cell>
        </row>
        <row r="333">
          <cell r="D333">
            <v>908002390</v>
          </cell>
          <cell r="E333" t="str">
            <v>PAT MTHETHWA</v>
          </cell>
          <cell r="F333" t="str">
            <v>D (Ch)</v>
          </cell>
          <cell r="G333">
            <v>16668</v>
          </cell>
          <cell r="H333" t="str">
            <v>Choice</v>
          </cell>
          <cell r="I333">
            <v>0.3125</v>
          </cell>
          <cell r="J333">
            <v>0.54166666666666663</v>
          </cell>
          <cell r="K333">
            <v>5.5</v>
          </cell>
          <cell r="L333">
            <v>134.03</v>
          </cell>
          <cell r="O333" t="str">
            <v>Y</v>
          </cell>
          <cell r="P333" t="str">
            <v>N</v>
          </cell>
          <cell r="Q333" t="str">
            <v>Extra Capacity</v>
          </cell>
          <cell r="S333">
            <v>0.15</v>
          </cell>
        </row>
        <row r="334">
          <cell r="D334">
            <v>908002392</v>
          </cell>
          <cell r="E334" t="str">
            <v>PAT MTHETHWA</v>
          </cell>
          <cell r="F334" t="str">
            <v>D (Ch)</v>
          </cell>
          <cell r="G334">
            <v>16668</v>
          </cell>
          <cell r="H334" t="str">
            <v>Choice</v>
          </cell>
          <cell r="I334">
            <v>0.54166666666666663</v>
          </cell>
          <cell r="J334">
            <v>0.83333333333333337</v>
          </cell>
          <cell r="K334">
            <v>6.6666666666666696</v>
          </cell>
          <cell r="L334">
            <v>162.47</v>
          </cell>
          <cell r="O334" t="str">
            <v>Y</v>
          </cell>
          <cell r="P334" t="str">
            <v>N</v>
          </cell>
          <cell r="Q334" t="str">
            <v>Extra Capacity</v>
          </cell>
          <cell r="S334">
            <v>0.18</v>
          </cell>
        </row>
        <row r="335">
          <cell r="D335">
            <v>908002391</v>
          </cell>
          <cell r="E335" t="str">
            <v>PEGGY CHIRIKURE</v>
          </cell>
          <cell r="F335" t="str">
            <v>D (Ch)</v>
          </cell>
          <cell r="G335">
            <v>16603</v>
          </cell>
          <cell r="H335" t="str">
            <v>Choice</v>
          </cell>
          <cell r="I335">
            <v>0.3125</v>
          </cell>
          <cell r="J335">
            <v>0.54166666666666663</v>
          </cell>
          <cell r="K335">
            <v>5.5</v>
          </cell>
          <cell r="L335">
            <v>134.03</v>
          </cell>
          <cell r="O335" t="str">
            <v>Y</v>
          </cell>
          <cell r="P335" t="str">
            <v>N</v>
          </cell>
          <cell r="Q335" t="str">
            <v>Extra Capacity</v>
          </cell>
          <cell r="S335">
            <v>0.15</v>
          </cell>
        </row>
        <row r="336">
          <cell r="D336">
            <v>908002393</v>
          </cell>
          <cell r="E336" t="str">
            <v>PEGGY CHIRIKURE</v>
          </cell>
          <cell r="F336" t="str">
            <v>D (Ch)</v>
          </cell>
          <cell r="G336">
            <v>16603</v>
          </cell>
          <cell r="H336" t="str">
            <v>Choice</v>
          </cell>
          <cell r="I336">
            <v>0.54166666666666663</v>
          </cell>
          <cell r="J336">
            <v>0.83333333333333337</v>
          </cell>
          <cell r="K336">
            <v>6.6666666666666696</v>
          </cell>
          <cell r="L336">
            <v>162.47</v>
          </cell>
          <cell r="O336" t="str">
            <v>Y</v>
          </cell>
          <cell r="P336" t="str">
            <v>N</v>
          </cell>
          <cell r="Q336" t="str">
            <v>Extra Capacity</v>
          </cell>
          <cell r="S336">
            <v>0.18</v>
          </cell>
        </row>
        <row r="337">
          <cell r="D337">
            <v>908002158</v>
          </cell>
          <cell r="E337" t="str">
            <v>PEGGY MAPOGO</v>
          </cell>
          <cell r="F337" t="str">
            <v>D (Ch)</v>
          </cell>
          <cell r="G337">
            <v>16611</v>
          </cell>
          <cell r="H337" t="str">
            <v>Choice</v>
          </cell>
          <cell r="I337">
            <v>0.3125</v>
          </cell>
          <cell r="J337">
            <v>0.625</v>
          </cell>
          <cell r="K337">
            <v>7.1666666666666696</v>
          </cell>
          <cell r="L337">
            <v>174.65</v>
          </cell>
          <cell r="O337" t="str">
            <v>Y</v>
          </cell>
          <cell r="P337" t="str">
            <v>N</v>
          </cell>
          <cell r="Q337" t="str">
            <v>Extra Capacity</v>
          </cell>
          <cell r="S337">
            <v>0.19</v>
          </cell>
        </row>
        <row r="338">
          <cell r="D338">
            <v>908002159</v>
          </cell>
          <cell r="E338" t="str">
            <v>PEGGY MAPOGO</v>
          </cell>
          <cell r="F338" t="str">
            <v>D (Ch)</v>
          </cell>
          <cell r="G338">
            <v>16611</v>
          </cell>
          <cell r="H338" t="str">
            <v>Choice</v>
          </cell>
          <cell r="I338">
            <v>0.625</v>
          </cell>
          <cell r="J338">
            <v>0.89583333333333337</v>
          </cell>
          <cell r="K338">
            <v>6.1666666666666696</v>
          </cell>
          <cell r="L338">
            <v>150.28</v>
          </cell>
          <cell r="O338" t="str">
            <v>Y</v>
          </cell>
          <cell r="P338" t="str">
            <v>N</v>
          </cell>
          <cell r="Q338" t="str">
            <v>Extra Capacity</v>
          </cell>
          <cell r="S338">
            <v>0.16</v>
          </cell>
        </row>
        <row r="339">
          <cell r="D339">
            <v>808004878</v>
          </cell>
          <cell r="E339" t="str">
            <v>ROHEYATOU NDOW-NJIE</v>
          </cell>
          <cell r="F339" t="str">
            <v>D (Ch)</v>
          </cell>
          <cell r="G339">
            <v>17024</v>
          </cell>
          <cell r="H339" t="str">
            <v>Choice</v>
          </cell>
          <cell r="I339">
            <v>0.83333333333333337</v>
          </cell>
          <cell r="J339">
            <v>0.33333333333333331</v>
          </cell>
          <cell r="K339">
            <v>11.3333333333333</v>
          </cell>
          <cell r="L339">
            <v>359.05</v>
          </cell>
          <cell r="O339" t="str">
            <v>Y</v>
          </cell>
          <cell r="P339" t="str">
            <v>N</v>
          </cell>
          <cell r="Q339" t="str">
            <v>Under Established</v>
          </cell>
          <cell r="S339">
            <v>0.3</v>
          </cell>
        </row>
        <row r="340">
          <cell r="D340">
            <v>808004769</v>
          </cell>
          <cell r="E340" t="str">
            <v>SAM SOOGUMBUR</v>
          </cell>
          <cell r="F340" t="str">
            <v>D (MD)</v>
          </cell>
          <cell r="G340">
            <v>328992</v>
          </cell>
          <cell r="H340" t="str">
            <v>Mayday</v>
          </cell>
          <cell r="I340">
            <v>0.64583333333333337</v>
          </cell>
          <cell r="J340">
            <v>0.85416666666666663</v>
          </cell>
          <cell r="K340">
            <v>5</v>
          </cell>
          <cell r="L340">
            <v>161.44999999999999</v>
          </cell>
          <cell r="O340" t="str">
            <v>Y</v>
          </cell>
          <cell r="P340" t="str">
            <v>N</v>
          </cell>
          <cell r="Q340" t="str">
            <v>Vacancy</v>
          </cell>
          <cell r="S340">
            <v>0.13</v>
          </cell>
        </row>
        <row r="341">
          <cell r="D341">
            <v>908002197</v>
          </cell>
          <cell r="E341" t="str">
            <v>SAM SOOGUMBUR</v>
          </cell>
          <cell r="F341" t="str">
            <v>D (MD)</v>
          </cell>
          <cell r="G341">
            <v>328996</v>
          </cell>
          <cell r="H341" t="str">
            <v>Mayday</v>
          </cell>
          <cell r="I341">
            <v>0.3125</v>
          </cell>
          <cell r="J341">
            <v>0.58333333333333337</v>
          </cell>
          <cell r="K341">
            <v>6.1666666666666696</v>
          </cell>
          <cell r="L341">
            <v>199.12</v>
          </cell>
          <cell r="O341" t="str">
            <v>Y</v>
          </cell>
          <cell r="P341" t="str">
            <v>N</v>
          </cell>
          <cell r="Q341" t="str">
            <v>Extra Capacity</v>
          </cell>
          <cell r="S341">
            <v>0.16</v>
          </cell>
        </row>
        <row r="342">
          <cell r="D342">
            <v>908002683</v>
          </cell>
          <cell r="E342" t="str">
            <v>SEREELETSO MAITIYO</v>
          </cell>
          <cell r="F342" t="str">
            <v>D (Ch)</v>
          </cell>
          <cell r="G342">
            <v>16604</v>
          </cell>
          <cell r="H342" t="str">
            <v>Choice</v>
          </cell>
          <cell r="I342">
            <v>0.58333333333333337</v>
          </cell>
          <cell r="J342">
            <v>0.84375</v>
          </cell>
          <cell r="K342">
            <v>6</v>
          </cell>
          <cell r="L342">
            <v>146.22</v>
          </cell>
          <cell r="O342" t="str">
            <v>Y</v>
          </cell>
          <cell r="P342" t="str">
            <v>N</v>
          </cell>
          <cell r="Q342" t="str">
            <v>Short Term Sick</v>
          </cell>
          <cell r="S342">
            <v>0.16</v>
          </cell>
        </row>
        <row r="343">
          <cell r="D343">
            <v>908001402</v>
          </cell>
          <cell r="E343" t="str">
            <v>TOM OSBOURNE</v>
          </cell>
          <cell r="F343" t="str">
            <v>D General (Orio</v>
          </cell>
          <cell r="G343" t="str">
            <v>Invsd Smt checked</v>
          </cell>
          <cell r="H343" t="str">
            <v>Orion</v>
          </cell>
          <cell r="I343">
            <v>0.54166666666666663</v>
          </cell>
          <cell r="J343">
            <v>0.75</v>
          </cell>
          <cell r="K343">
            <v>5</v>
          </cell>
          <cell r="L343">
            <v>90.6</v>
          </cell>
          <cell r="O343" t="str">
            <v>Y</v>
          </cell>
          <cell r="P343" t="str">
            <v>N</v>
          </cell>
          <cell r="Q343" t="str">
            <v>Vacancy</v>
          </cell>
          <cell r="S343">
            <v>0.13</v>
          </cell>
        </row>
        <row r="344">
          <cell r="D344">
            <v>808002491</v>
          </cell>
          <cell r="E344" t="str">
            <v>ANNA BONNERUP</v>
          </cell>
          <cell r="F344" t="str">
            <v>D / 5 General (</v>
          </cell>
          <cell r="G344" t="str">
            <v>604-148556</v>
          </cell>
          <cell r="H344" t="str">
            <v>Blue Arrow</v>
          </cell>
          <cell r="I344">
            <v>0.3125</v>
          </cell>
          <cell r="J344">
            <v>0.54166666666666663</v>
          </cell>
          <cell r="K344">
            <v>5.5</v>
          </cell>
          <cell r="L344">
            <v>92.84</v>
          </cell>
          <cell r="O344" t="str">
            <v>Y</v>
          </cell>
          <cell r="P344" t="str">
            <v>N</v>
          </cell>
          <cell r="Q344" t="str">
            <v>Vacancy</v>
          </cell>
          <cell r="S344">
            <v>0.15</v>
          </cell>
        </row>
        <row r="345">
          <cell r="D345">
            <v>908003035</v>
          </cell>
          <cell r="E345" t="str">
            <v>ANNA BONNERUP</v>
          </cell>
          <cell r="F345" t="str">
            <v>D / 5 General (</v>
          </cell>
          <cell r="G345" t="str">
            <v>604-148556</v>
          </cell>
          <cell r="H345" t="str">
            <v>Blue Arrow</v>
          </cell>
          <cell r="I345">
            <v>0.625</v>
          </cell>
          <cell r="J345">
            <v>0.85416666666666663</v>
          </cell>
          <cell r="K345">
            <v>5.5</v>
          </cell>
          <cell r="L345">
            <v>92.84</v>
          </cell>
          <cell r="O345" t="str">
            <v>Y</v>
          </cell>
          <cell r="P345" t="str">
            <v>N</v>
          </cell>
          <cell r="Q345" t="str">
            <v>Vacancy</v>
          </cell>
          <cell r="S345">
            <v>0.15</v>
          </cell>
        </row>
        <row r="346">
          <cell r="D346">
            <v>808005313</v>
          </cell>
          <cell r="E346" t="str">
            <v>AYO ONIKU</v>
          </cell>
          <cell r="F346" t="str">
            <v>A (MD)</v>
          </cell>
          <cell r="G346">
            <v>327999</v>
          </cell>
          <cell r="H346" t="str">
            <v>Mayday</v>
          </cell>
          <cell r="I346">
            <v>0.84375</v>
          </cell>
          <cell r="J346">
            <v>0.32291666666666669</v>
          </cell>
          <cell r="K346">
            <v>11.1666666666667</v>
          </cell>
          <cell r="L346">
            <v>173.31</v>
          </cell>
          <cell r="O346" t="str">
            <v>Y</v>
          </cell>
          <cell r="P346" t="str">
            <v>N</v>
          </cell>
          <cell r="Q346" t="str">
            <v>Short Term Sick</v>
          </cell>
          <cell r="S346">
            <v>0.3</v>
          </cell>
        </row>
        <row r="347">
          <cell r="D347">
            <v>908002163</v>
          </cell>
          <cell r="E347" t="str">
            <v>BEAUTY NGIDI</v>
          </cell>
          <cell r="F347" t="str">
            <v>D (MD)</v>
          </cell>
          <cell r="G347">
            <v>328533</v>
          </cell>
          <cell r="H347" t="str">
            <v>Mayday</v>
          </cell>
          <cell r="I347">
            <v>0.89583333333333337</v>
          </cell>
          <cell r="J347">
            <v>0.3125</v>
          </cell>
          <cell r="K347">
            <v>9.6666666666666696</v>
          </cell>
          <cell r="L347">
            <v>405.78</v>
          </cell>
          <cell r="O347" t="str">
            <v>Y</v>
          </cell>
          <cell r="P347" t="str">
            <v>N</v>
          </cell>
          <cell r="Q347" t="str">
            <v>Extra Capacity</v>
          </cell>
          <cell r="S347">
            <v>0.26</v>
          </cell>
        </row>
        <row r="348">
          <cell r="D348">
            <v>808000299</v>
          </cell>
          <cell r="E348" t="str">
            <v>BERNADETTE SHINYA-NDUNUWANI</v>
          </cell>
          <cell r="F348" t="str">
            <v>D (MD)</v>
          </cell>
          <cell r="G348">
            <v>329127</v>
          </cell>
          <cell r="H348" t="str">
            <v>Mayday</v>
          </cell>
          <cell r="I348">
            <v>0.3125</v>
          </cell>
          <cell r="J348">
            <v>0.64583333333333337</v>
          </cell>
          <cell r="K348">
            <v>7.6666666666666696</v>
          </cell>
          <cell r="L348">
            <v>247.56</v>
          </cell>
          <cell r="O348" t="str">
            <v>Y</v>
          </cell>
          <cell r="P348" t="str">
            <v>N</v>
          </cell>
          <cell r="Q348" t="str">
            <v>Extra Capacity</v>
          </cell>
          <cell r="S348">
            <v>0.2</v>
          </cell>
        </row>
        <row r="349">
          <cell r="D349">
            <v>808000327</v>
          </cell>
          <cell r="E349" t="str">
            <v>BERNADETTE SHINYA-NDUNUWANI</v>
          </cell>
          <cell r="F349" t="str">
            <v>D (MD)</v>
          </cell>
          <cell r="G349">
            <v>329127</v>
          </cell>
          <cell r="H349" t="str">
            <v>Mayday</v>
          </cell>
          <cell r="I349">
            <v>0.64583333333333337</v>
          </cell>
          <cell r="J349">
            <v>0.85416666666666663</v>
          </cell>
          <cell r="K349">
            <v>5</v>
          </cell>
          <cell r="L349">
            <v>161.44999999999999</v>
          </cell>
          <cell r="O349" t="str">
            <v>Y</v>
          </cell>
          <cell r="P349" t="str">
            <v>N</v>
          </cell>
          <cell r="Q349" t="str">
            <v>Extra Capacity</v>
          </cell>
          <cell r="S349">
            <v>0.13</v>
          </cell>
        </row>
        <row r="350">
          <cell r="D350">
            <v>808000383</v>
          </cell>
          <cell r="E350" t="str">
            <v>BRIGHTNESS NDEBELE</v>
          </cell>
          <cell r="F350" t="str">
            <v>D (MD)</v>
          </cell>
          <cell r="G350">
            <v>328322</v>
          </cell>
          <cell r="H350" t="str">
            <v>Mayday</v>
          </cell>
          <cell r="I350">
            <v>0.3125</v>
          </cell>
          <cell r="J350">
            <v>0.64583333333333337</v>
          </cell>
          <cell r="K350">
            <v>7.6666666666666696</v>
          </cell>
          <cell r="L350">
            <v>247.56</v>
          </cell>
          <cell r="O350" t="str">
            <v>Y</v>
          </cell>
          <cell r="P350" t="str">
            <v>N</v>
          </cell>
          <cell r="Q350" t="str">
            <v>Extra Capacity</v>
          </cell>
          <cell r="S350">
            <v>0.2</v>
          </cell>
        </row>
        <row r="351">
          <cell r="D351">
            <v>808000411</v>
          </cell>
          <cell r="E351" t="str">
            <v>BRIGHTNESS NDEBELE</v>
          </cell>
          <cell r="F351" t="str">
            <v>D (MD)</v>
          </cell>
          <cell r="G351">
            <v>328322</v>
          </cell>
          <cell r="H351" t="str">
            <v>Mayday</v>
          </cell>
          <cell r="I351">
            <v>0.64583333333333337</v>
          </cell>
          <cell r="J351">
            <v>0.85416666666666663</v>
          </cell>
          <cell r="K351">
            <v>5</v>
          </cell>
          <cell r="L351">
            <v>161.44999999999999</v>
          </cell>
          <cell r="O351" t="str">
            <v>Y</v>
          </cell>
          <cell r="P351" t="str">
            <v>N</v>
          </cell>
          <cell r="Q351" t="str">
            <v>Extra Capacity</v>
          </cell>
          <cell r="S351">
            <v>0.13</v>
          </cell>
        </row>
        <row r="352">
          <cell r="D352">
            <v>808002746</v>
          </cell>
          <cell r="E352" t="str">
            <v>CARL HIBBERT</v>
          </cell>
          <cell r="F352" t="str">
            <v>D (Ch)</v>
          </cell>
          <cell r="G352">
            <v>16596</v>
          </cell>
          <cell r="H352" t="str">
            <v>Choice</v>
          </cell>
          <cell r="I352">
            <v>0.875</v>
          </cell>
          <cell r="J352">
            <v>0.3125</v>
          </cell>
          <cell r="K352">
            <v>10.1666666666667</v>
          </cell>
          <cell r="L352">
            <v>322.08999999999997</v>
          </cell>
          <cell r="O352" t="str">
            <v>Y</v>
          </cell>
          <cell r="P352" t="str">
            <v>N</v>
          </cell>
          <cell r="Q352" t="str">
            <v>Annual Leave</v>
          </cell>
          <cell r="S352">
            <v>0.27</v>
          </cell>
        </row>
        <row r="353">
          <cell r="D353">
            <v>908000951</v>
          </cell>
          <cell r="E353" t="str">
            <v xml:space="preserve">CHARMANE UCIANO </v>
          </cell>
          <cell r="F353" t="str">
            <v>D (Ch)</v>
          </cell>
          <cell r="G353">
            <v>16604</v>
          </cell>
          <cell r="H353" t="str">
            <v>Choice</v>
          </cell>
          <cell r="I353">
            <v>0.82291666666666663</v>
          </cell>
          <cell r="J353">
            <v>0.34375</v>
          </cell>
          <cell r="K353">
            <v>11.5</v>
          </cell>
          <cell r="L353">
            <v>364.33</v>
          </cell>
          <cell r="O353" t="str">
            <v>Y</v>
          </cell>
          <cell r="P353" t="str">
            <v>N</v>
          </cell>
          <cell r="Q353" t="str">
            <v>Maternity Leave</v>
          </cell>
          <cell r="S353">
            <v>0.31</v>
          </cell>
        </row>
        <row r="354">
          <cell r="D354">
            <v>808005018</v>
          </cell>
          <cell r="E354" t="str">
            <v>CHRIS STULAR</v>
          </cell>
          <cell r="F354" t="str">
            <v>D General (Orio</v>
          </cell>
          <cell r="G354" t="str">
            <v>Invsd Smt checked</v>
          </cell>
          <cell r="H354" t="str">
            <v>Orion</v>
          </cell>
          <cell r="I354">
            <v>0.33333333333333331</v>
          </cell>
          <cell r="J354">
            <v>0.75</v>
          </cell>
          <cell r="K354">
            <v>9.5</v>
          </cell>
          <cell r="L354">
            <v>172.14</v>
          </cell>
          <cell r="O354" t="str">
            <v>Y</v>
          </cell>
          <cell r="P354" t="str">
            <v>N</v>
          </cell>
          <cell r="Q354" t="str">
            <v>Backfill</v>
          </cell>
          <cell r="S354">
            <v>0.25</v>
          </cell>
        </row>
        <row r="355">
          <cell r="D355">
            <v>908002670</v>
          </cell>
          <cell r="E355" t="str">
            <v>DOROTHY MUTHWA pat mugadza</v>
          </cell>
          <cell r="F355" t="str">
            <v>A (Ch)</v>
          </cell>
          <cell r="G355">
            <v>16602</v>
          </cell>
          <cell r="H355" t="str">
            <v>Choice</v>
          </cell>
          <cell r="I355">
            <v>0.33333333333333331</v>
          </cell>
          <cell r="J355">
            <v>0.58333333333333337</v>
          </cell>
          <cell r="K355">
            <v>5.6666666666666696</v>
          </cell>
          <cell r="L355">
            <v>62.84</v>
          </cell>
          <cell r="O355" t="str">
            <v>Y</v>
          </cell>
          <cell r="P355" t="str">
            <v>N</v>
          </cell>
          <cell r="Q355" t="str">
            <v>Specials</v>
          </cell>
          <cell r="S355">
            <v>0.15</v>
          </cell>
        </row>
        <row r="356">
          <cell r="D356">
            <v>908002672</v>
          </cell>
          <cell r="E356" t="str">
            <v>DOROTHY MUTHWA pat mugadza</v>
          </cell>
          <cell r="F356" t="str">
            <v>A (Ch)</v>
          </cell>
          <cell r="G356">
            <v>16602</v>
          </cell>
          <cell r="H356" t="str">
            <v>Choice</v>
          </cell>
          <cell r="I356">
            <v>0.58333333333333337</v>
          </cell>
          <cell r="J356">
            <v>0.83333333333333337</v>
          </cell>
          <cell r="K356">
            <v>5.6666666666666696</v>
          </cell>
          <cell r="L356">
            <v>62.84</v>
          </cell>
          <cell r="O356" t="str">
            <v>Y</v>
          </cell>
          <cell r="P356" t="str">
            <v>N</v>
          </cell>
          <cell r="Q356" t="str">
            <v>Specials</v>
          </cell>
          <cell r="S356">
            <v>0.15</v>
          </cell>
        </row>
        <row r="357">
          <cell r="D357">
            <v>908002368</v>
          </cell>
          <cell r="E357" t="str">
            <v>EGNESS MONAISA (r ramirez)</v>
          </cell>
          <cell r="F357" t="str">
            <v>D (Ch)</v>
          </cell>
          <cell r="G357">
            <v>16592</v>
          </cell>
          <cell r="H357" t="str">
            <v>Choice</v>
          </cell>
          <cell r="I357">
            <v>0.88541666666666663</v>
          </cell>
          <cell r="J357">
            <v>0.3125</v>
          </cell>
          <cell r="K357">
            <v>9.25</v>
          </cell>
          <cell r="L357">
            <v>293.05</v>
          </cell>
          <cell r="O357" t="str">
            <v>Y</v>
          </cell>
          <cell r="P357" t="str">
            <v>N</v>
          </cell>
          <cell r="Q357" t="str">
            <v>Extra Capacity</v>
          </cell>
          <cell r="S357">
            <v>0.25</v>
          </cell>
        </row>
        <row r="358">
          <cell r="D358">
            <v>908003071</v>
          </cell>
          <cell r="E358" t="str">
            <v>GEORGE GARCIA</v>
          </cell>
          <cell r="F358" t="str">
            <v>2 Gen (All)</v>
          </cell>
          <cell r="G358" t="str">
            <v>G1434641</v>
          </cell>
          <cell r="H358" t="str">
            <v xml:space="preserve">Allied </v>
          </cell>
          <cell r="I358">
            <v>0.83333333333333337</v>
          </cell>
          <cell r="J358">
            <v>0.33333333333333331</v>
          </cell>
          <cell r="K358">
            <v>11.3333333333333</v>
          </cell>
          <cell r="L358">
            <v>145.07</v>
          </cell>
          <cell r="O358" t="str">
            <v>Y</v>
          </cell>
          <cell r="P358" t="str">
            <v>N</v>
          </cell>
          <cell r="Q358" t="str">
            <v>Specials</v>
          </cell>
          <cell r="S358">
            <v>0.3</v>
          </cell>
        </row>
        <row r="359">
          <cell r="D359">
            <v>808002742</v>
          </cell>
          <cell r="E359" t="str">
            <v>GERTRUDE CHIGWADA</v>
          </cell>
          <cell r="F359" t="str">
            <v>D (MD)</v>
          </cell>
          <cell r="G359">
            <v>328818</v>
          </cell>
          <cell r="H359" t="str">
            <v>Mayday</v>
          </cell>
          <cell r="I359">
            <v>0.3125</v>
          </cell>
          <cell r="J359">
            <v>0.5625</v>
          </cell>
          <cell r="K359">
            <v>5.6666666666666696</v>
          </cell>
          <cell r="L359">
            <v>182.98</v>
          </cell>
          <cell r="O359" t="str">
            <v>Y</v>
          </cell>
          <cell r="P359" t="str">
            <v>N</v>
          </cell>
          <cell r="Q359" t="str">
            <v>Vacancy</v>
          </cell>
          <cell r="S359">
            <v>0.15</v>
          </cell>
        </row>
        <row r="360">
          <cell r="D360">
            <v>808002744</v>
          </cell>
          <cell r="E360" t="str">
            <v>GERTRUDE CHIGWADA</v>
          </cell>
          <cell r="F360" t="str">
            <v>D (MD)</v>
          </cell>
          <cell r="G360">
            <v>328818</v>
          </cell>
          <cell r="H360" t="str">
            <v>Mayday</v>
          </cell>
          <cell r="I360">
            <v>0.5625</v>
          </cell>
          <cell r="J360">
            <v>0.875</v>
          </cell>
          <cell r="K360">
            <v>7.6666666666666696</v>
          </cell>
          <cell r="L360">
            <v>247.56</v>
          </cell>
          <cell r="O360" t="str">
            <v>Y</v>
          </cell>
          <cell r="P360" t="str">
            <v>N</v>
          </cell>
          <cell r="Q360" t="str">
            <v>Vacancy</v>
          </cell>
          <cell r="S360">
            <v>0.2</v>
          </cell>
        </row>
        <row r="361">
          <cell r="D361">
            <v>908002716</v>
          </cell>
          <cell r="E361" t="str">
            <v>GRACE PANDARAOAM</v>
          </cell>
          <cell r="F361" t="str">
            <v>D (Ch)</v>
          </cell>
          <cell r="H361" t="str">
            <v>Choice</v>
          </cell>
          <cell r="I361">
            <v>0.875</v>
          </cell>
          <cell r="J361">
            <v>0.3125</v>
          </cell>
          <cell r="K361">
            <v>10.1666666666667</v>
          </cell>
          <cell r="L361">
            <v>322.08999999999997</v>
          </cell>
          <cell r="O361" t="str">
            <v>Y</v>
          </cell>
          <cell r="P361" t="str">
            <v>N</v>
          </cell>
          <cell r="Q361" t="str">
            <v>Short Term Sick</v>
          </cell>
          <cell r="S361">
            <v>0.27</v>
          </cell>
        </row>
        <row r="362">
          <cell r="D362">
            <v>908003363</v>
          </cell>
          <cell r="E362" t="str">
            <v>HILDA WENYERE</v>
          </cell>
          <cell r="F362" t="str">
            <v>A (Ch)</v>
          </cell>
          <cell r="G362">
            <v>16599</v>
          </cell>
          <cell r="H362" t="str">
            <v>Choice</v>
          </cell>
          <cell r="I362">
            <v>0.84375</v>
          </cell>
          <cell r="J362">
            <v>0.32291666666666669</v>
          </cell>
          <cell r="K362">
            <v>11.1666666666667</v>
          </cell>
          <cell r="L362">
            <v>165.12</v>
          </cell>
          <cell r="O362" t="str">
            <v>Y</v>
          </cell>
          <cell r="P362" t="str">
            <v>N</v>
          </cell>
          <cell r="Q362" t="str">
            <v>On-Call</v>
          </cell>
          <cell r="S362">
            <v>0.3</v>
          </cell>
        </row>
        <row r="363">
          <cell r="D363">
            <v>808004883</v>
          </cell>
          <cell r="E363" t="str">
            <v>JASMINE ESGUERRA</v>
          </cell>
          <cell r="F363" t="str">
            <v>D (Ch)</v>
          </cell>
          <cell r="G363">
            <v>16608</v>
          </cell>
          <cell r="H363" t="str">
            <v>Choice</v>
          </cell>
          <cell r="I363">
            <v>0.83333333333333337</v>
          </cell>
          <cell r="J363">
            <v>0.33333333333333331</v>
          </cell>
          <cell r="K363">
            <v>11.3333333333333</v>
          </cell>
          <cell r="L363">
            <v>359.05</v>
          </cell>
          <cell r="O363" t="str">
            <v>Y</v>
          </cell>
          <cell r="P363" t="str">
            <v>N</v>
          </cell>
          <cell r="Q363" t="str">
            <v>Under Established</v>
          </cell>
          <cell r="S363">
            <v>0.3</v>
          </cell>
        </row>
        <row r="364">
          <cell r="D364">
            <v>808000305</v>
          </cell>
          <cell r="E364" t="str">
            <v>JEAN NGONA</v>
          </cell>
          <cell r="F364" t="str">
            <v>D (MD)</v>
          </cell>
          <cell r="G364">
            <v>330258</v>
          </cell>
          <cell r="H364" t="str">
            <v>Mayday</v>
          </cell>
          <cell r="I364">
            <v>0.3125</v>
          </cell>
          <cell r="J364">
            <v>0.64583333333333337</v>
          </cell>
          <cell r="K364">
            <v>7.6666666666666696</v>
          </cell>
          <cell r="L364">
            <v>247.56</v>
          </cell>
          <cell r="O364" t="str">
            <v>Y</v>
          </cell>
          <cell r="P364" t="str">
            <v>N</v>
          </cell>
          <cell r="Q364" t="str">
            <v>Extra Capacity</v>
          </cell>
          <cell r="S364">
            <v>0.2</v>
          </cell>
        </row>
        <row r="365">
          <cell r="D365">
            <v>908002207</v>
          </cell>
          <cell r="E365" t="str">
            <v>JOY MABITLE</v>
          </cell>
          <cell r="F365" t="str">
            <v>D (MD)</v>
          </cell>
          <cell r="G365">
            <v>337685</v>
          </cell>
          <cell r="H365" t="str">
            <v>Mayday</v>
          </cell>
          <cell r="I365">
            <v>0.8125</v>
          </cell>
          <cell r="J365">
            <v>0.33333333333333331</v>
          </cell>
          <cell r="K365">
            <v>11.8333333333333</v>
          </cell>
          <cell r="L365">
            <v>496.73</v>
          </cell>
          <cell r="O365" t="str">
            <v>Y</v>
          </cell>
          <cell r="P365" t="str">
            <v>N</v>
          </cell>
          <cell r="Q365" t="str">
            <v>Extra Capacity</v>
          </cell>
          <cell r="S365">
            <v>0.32</v>
          </cell>
        </row>
        <row r="366">
          <cell r="D366">
            <v>908002372</v>
          </cell>
          <cell r="E366" t="str">
            <v>KATHY CHIDAVA</v>
          </cell>
          <cell r="F366" t="str">
            <v>D (Ch)</v>
          </cell>
          <cell r="G366">
            <v>16592</v>
          </cell>
          <cell r="H366" t="str">
            <v>Choice</v>
          </cell>
          <cell r="I366">
            <v>0.88541666666666663</v>
          </cell>
          <cell r="J366">
            <v>0.3125</v>
          </cell>
          <cell r="K366">
            <v>9.25</v>
          </cell>
          <cell r="L366">
            <v>293.05</v>
          </cell>
          <cell r="O366" t="str">
            <v>Y</v>
          </cell>
          <cell r="P366" t="str">
            <v>N</v>
          </cell>
          <cell r="Q366" t="str">
            <v>Extra Capacity</v>
          </cell>
          <cell r="S366">
            <v>0.25</v>
          </cell>
        </row>
        <row r="367">
          <cell r="D367">
            <v>808000311</v>
          </cell>
          <cell r="E367" t="str">
            <v>KERRI GALLOWAY</v>
          </cell>
          <cell r="F367" t="str">
            <v>D (MD)</v>
          </cell>
          <cell r="G367">
            <v>328523</v>
          </cell>
          <cell r="H367" t="str">
            <v>Mayday</v>
          </cell>
          <cell r="I367">
            <v>0.3125</v>
          </cell>
          <cell r="J367">
            <v>0.64583333333333337</v>
          </cell>
          <cell r="K367">
            <v>7.6666666666666696</v>
          </cell>
          <cell r="L367">
            <v>247.56</v>
          </cell>
          <cell r="O367" t="str">
            <v>Y</v>
          </cell>
          <cell r="P367" t="str">
            <v>N</v>
          </cell>
          <cell r="Q367" t="str">
            <v>Extra Capacity</v>
          </cell>
          <cell r="S367">
            <v>0.2</v>
          </cell>
        </row>
        <row r="368">
          <cell r="D368">
            <v>808000371</v>
          </cell>
          <cell r="E368" t="str">
            <v>MELISSA SMITH</v>
          </cell>
          <cell r="F368" t="str">
            <v>D/5 (PS)</v>
          </cell>
          <cell r="H368" t="str">
            <v>Pinnacle Staffing</v>
          </cell>
          <cell r="I368">
            <v>0.3125</v>
          </cell>
          <cell r="J368">
            <v>0.64583333333333337</v>
          </cell>
          <cell r="K368">
            <v>7.6666666666666696</v>
          </cell>
          <cell r="L368">
            <v>130.26</v>
          </cell>
          <cell r="O368" t="str">
            <v>Y</v>
          </cell>
          <cell r="P368" t="str">
            <v>N</v>
          </cell>
          <cell r="Q368" t="str">
            <v>Extra Capacity</v>
          </cell>
          <cell r="S368">
            <v>0.2</v>
          </cell>
        </row>
        <row r="369">
          <cell r="D369">
            <v>908002208</v>
          </cell>
          <cell r="E369" t="str">
            <v>NATHI ZULU</v>
          </cell>
          <cell r="F369" t="str">
            <v>D (MD)</v>
          </cell>
          <cell r="H369" t="str">
            <v>Mayday</v>
          </cell>
          <cell r="I369">
            <v>0.8125</v>
          </cell>
          <cell r="J369">
            <v>0.33333333333333331</v>
          </cell>
          <cell r="K369">
            <v>11.8333333333333</v>
          </cell>
          <cell r="L369">
            <v>496.73</v>
          </cell>
          <cell r="O369" t="str">
            <v>Y</v>
          </cell>
          <cell r="P369" t="str">
            <v>N</v>
          </cell>
          <cell r="Q369" t="str">
            <v>Extra Capacity</v>
          </cell>
          <cell r="S369">
            <v>0.32</v>
          </cell>
        </row>
        <row r="370">
          <cell r="D370">
            <v>908000291</v>
          </cell>
          <cell r="E370" t="str">
            <v>OMAR SENGHORE</v>
          </cell>
          <cell r="F370" t="str">
            <v>D (MD)</v>
          </cell>
          <cell r="G370">
            <v>329290</v>
          </cell>
          <cell r="H370" t="str">
            <v>Mayday</v>
          </cell>
          <cell r="I370">
            <v>0.84375</v>
          </cell>
          <cell r="J370">
            <v>0.3125</v>
          </cell>
          <cell r="K370">
            <v>10.25</v>
          </cell>
          <cell r="L370">
            <v>430.26</v>
          </cell>
          <cell r="O370" t="str">
            <v>Y</v>
          </cell>
          <cell r="P370" t="str">
            <v>N</v>
          </cell>
          <cell r="Q370" t="str">
            <v>Vacancy</v>
          </cell>
          <cell r="S370">
            <v>0.27</v>
          </cell>
        </row>
        <row r="371">
          <cell r="D371">
            <v>908003083</v>
          </cell>
          <cell r="E371" t="str">
            <v>OUSMAN JAWO</v>
          </cell>
          <cell r="F371" t="str">
            <v>D (MD)</v>
          </cell>
          <cell r="H371" t="str">
            <v>Mayday</v>
          </cell>
          <cell r="I371">
            <v>0.8125</v>
          </cell>
          <cell r="J371">
            <v>0.33333333333333331</v>
          </cell>
          <cell r="K371">
            <v>11.5</v>
          </cell>
          <cell r="L371">
            <v>482.74</v>
          </cell>
          <cell r="O371" t="str">
            <v>Y</v>
          </cell>
          <cell r="P371" t="str">
            <v>N</v>
          </cell>
          <cell r="Q371" t="str">
            <v>Vacancy</v>
          </cell>
          <cell r="S371">
            <v>0.31</v>
          </cell>
        </row>
        <row r="372">
          <cell r="D372">
            <v>808000397</v>
          </cell>
          <cell r="E372" t="str">
            <v>PAT DUBE</v>
          </cell>
          <cell r="F372" t="str">
            <v>D (MD)</v>
          </cell>
          <cell r="G372">
            <v>328317</v>
          </cell>
          <cell r="H372" t="str">
            <v>Mayday</v>
          </cell>
          <cell r="I372">
            <v>0.52083333333333337</v>
          </cell>
          <cell r="J372">
            <v>0.85416666666666663</v>
          </cell>
          <cell r="K372">
            <v>7.6666666666666696</v>
          </cell>
          <cell r="L372">
            <v>247.56</v>
          </cell>
          <cell r="O372" t="str">
            <v>Y</v>
          </cell>
          <cell r="P372" t="str">
            <v>N</v>
          </cell>
          <cell r="Q372" t="str">
            <v>Extra Capacity</v>
          </cell>
          <cell r="S372">
            <v>0.2</v>
          </cell>
        </row>
        <row r="373">
          <cell r="D373">
            <v>808002492</v>
          </cell>
          <cell r="E373" t="str">
            <v>PAT MTHETHWA</v>
          </cell>
          <cell r="F373" t="str">
            <v>D (Ch)</v>
          </cell>
          <cell r="G373">
            <v>16685</v>
          </cell>
          <cell r="H373" t="str">
            <v>Choice</v>
          </cell>
          <cell r="I373">
            <v>0.3125</v>
          </cell>
          <cell r="J373">
            <v>0.54166666666666663</v>
          </cell>
          <cell r="K373">
            <v>5.5</v>
          </cell>
          <cell r="L373">
            <v>134.03</v>
          </cell>
          <cell r="O373" t="str">
            <v>Y</v>
          </cell>
          <cell r="P373" t="str">
            <v>N</v>
          </cell>
          <cell r="Q373" t="str">
            <v>Vacancy</v>
          </cell>
          <cell r="S373">
            <v>0.15</v>
          </cell>
        </row>
        <row r="374">
          <cell r="D374">
            <v>808002496</v>
          </cell>
          <cell r="E374" t="str">
            <v>PAT MTHETHWA</v>
          </cell>
          <cell r="F374" t="str">
            <v>D (Ch)</v>
          </cell>
          <cell r="G374">
            <v>16685</v>
          </cell>
          <cell r="H374" t="str">
            <v>Choice</v>
          </cell>
          <cell r="I374">
            <v>0.625</v>
          </cell>
          <cell r="J374">
            <v>0.85416666666666663</v>
          </cell>
          <cell r="K374">
            <v>5.5</v>
          </cell>
          <cell r="L374">
            <v>134.03</v>
          </cell>
          <cell r="O374" t="str">
            <v>Y</v>
          </cell>
          <cell r="P374" t="str">
            <v>N</v>
          </cell>
          <cell r="Q374" t="str">
            <v>Vacancy</v>
          </cell>
          <cell r="S374">
            <v>0.15</v>
          </cell>
        </row>
        <row r="375">
          <cell r="D375">
            <v>808004974</v>
          </cell>
          <cell r="E375" t="str">
            <v>PEGGY CHIRIKURE</v>
          </cell>
          <cell r="F375" t="str">
            <v>D (Ch)</v>
          </cell>
          <cell r="G375">
            <v>16606</v>
          </cell>
          <cell r="H375" t="str">
            <v>Choice</v>
          </cell>
          <cell r="I375">
            <v>0.3125</v>
          </cell>
          <cell r="J375">
            <v>0.5625</v>
          </cell>
          <cell r="K375">
            <v>5.6666666666666696</v>
          </cell>
          <cell r="L375">
            <v>138.1</v>
          </cell>
          <cell r="O375" t="str">
            <v>Y</v>
          </cell>
          <cell r="P375" t="str">
            <v>N</v>
          </cell>
          <cell r="Q375" t="str">
            <v>Vacancy</v>
          </cell>
          <cell r="S375">
            <v>0.15</v>
          </cell>
        </row>
        <row r="376">
          <cell r="D376">
            <v>808004975</v>
          </cell>
          <cell r="E376" t="str">
            <v>PEGGY CHIRIKURE</v>
          </cell>
          <cell r="F376" t="str">
            <v>D (Ch)</v>
          </cell>
          <cell r="G376">
            <v>16606</v>
          </cell>
          <cell r="H376" t="str">
            <v>Choice</v>
          </cell>
          <cell r="I376">
            <v>0.60416666666666663</v>
          </cell>
          <cell r="J376">
            <v>0.8125</v>
          </cell>
          <cell r="K376">
            <v>5</v>
          </cell>
          <cell r="L376">
            <v>121.85</v>
          </cell>
          <cell r="O376" t="str">
            <v>Y</v>
          </cell>
          <cell r="P376" t="str">
            <v>N</v>
          </cell>
          <cell r="Q376" t="str">
            <v>Vacancy</v>
          </cell>
          <cell r="S376">
            <v>0.13</v>
          </cell>
        </row>
        <row r="377">
          <cell r="D377">
            <v>908002161</v>
          </cell>
          <cell r="E377" t="str">
            <v>PEGGY MAPOGO</v>
          </cell>
          <cell r="F377" t="str">
            <v>D (Ch)</v>
          </cell>
          <cell r="G377">
            <v>16611</v>
          </cell>
          <cell r="H377" t="str">
            <v>Choice</v>
          </cell>
          <cell r="I377">
            <v>0.3125</v>
          </cell>
          <cell r="J377">
            <v>0.625</v>
          </cell>
          <cell r="K377">
            <v>7.1666666666666696</v>
          </cell>
          <cell r="L377">
            <v>174.65</v>
          </cell>
          <cell r="O377" t="str">
            <v>Y</v>
          </cell>
          <cell r="P377" t="str">
            <v>N</v>
          </cell>
          <cell r="Q377" t="str">
            <v>Extra Capacity</v>
          </cell>
          <cell r="S377">
            <v>0.19</v>
          </cell>
        </row>
        <row r="378">
          <cell r="D378">
            <v>908002162</v>
          </cell>
          <cell r="E378" t="str">
            <v>PEGGY MAPOGO</v>
          </cell>
          <cell r="F378" t="str">
            <v>D (Ch)</v>
          </cell>
          <cell r="G378">
            <v>16611</v>
          </cell>
          <cell r="H378" t="str">
            <v>Choice</v>
          </cell>
          <cell r="I378">
            <v>0.625</v>
          </cell>
          <cell r="J378">
            <v>0.89583333333333337</v>
          </cell>
          <cell r="K378">
            <v>6.1666666666666696</v>
          </cell>
          <cell r="L378">
            <v>150.28</v>
          </cell>
          <cell r="O378" t="str">
            <v>Y</v>
          </cell>
          <cell r="P378" t="str">
            <v>N</v>
          </cell>
          <cell r="Q378" t="str">
            <v>Extra Capacity</v>
          </cell>
          <cell r="S378">
            <v>0.16</v>
          </cell>
        </row>
        <row r="379">
          <cell r="D379">
            <v>908002203</v>
          </cell>
          <cell r="E379" t="str">
            <v>SAM SOOGUMBUR</v>
          </cell>
          <cell r="F379" t="str">
            <v>D (MD)</v>
          </cell>
          <cell r="G379">
            <v>329028</v>
          </cell>
          <cell r="H379" t="str">
            <v>Mayday</v>
          </cell>
          <cell r="I379">
            <v>0.3125</v>
          </cell>
          <cell r="J379">
            <v>0.58333333333333337</v>
          </cell>
          <cell r="K379">
            <v>6.1666666666666696</v>
          </cell>
          <cell r="L379">
            <v>199.12</v>
          </cell>
          <cell r="O379" t="str">
            <v>Y</v>
          </cell>
          <cell r="P379" t="str">
            <v>N</v>
          </cell>
          <cell r="Q379" t="str">
            <v>Extra Capacity</v>
          </cell>
          <cell r="S379">
            <v>0.16</v>
          </cell>
        </row>
        <row r="380">
          <cell r="D380">
            <v>908002205</v>
          </cell>
          <cell r="E380" t="str">
            <v>SAM SOOGUMBUR</v>
          </cell>
          <cell r="F380" t="str">
            <v>D (MD)</v>
          </cell>
          <cell r="G380">
            <v>329028</v>
          </cell>
          <cell r="H380" t="str">
            <v>Mayday</v>
          </cell>
          <cell r="I380">
            <v>0.58333333333333337</v>
          </cell>
          <cell r="J380">
            <v>0.85416666666666663</v>
          </cell>
          <cell r="K380">
            <v>5.6666666666666696</v>
          </cell>
          <cell r="L380">
            <v>182.98</v>
          </cell>
          <cell r="O380" t="str">
            <v>Y</v>
          </cell>
          <cell r="P380" t="str">
            <v>N</v>
          </cell>
          <cell r="Q380" t="str">
            <v>Extra Capacity</v>
          </cell>
          <cell r="S380">
            <v>0.15</v>
          </cell>
        </row>
        <row r="381">
          <cell r="D381">
            <v>908002323</v>
          </cell>
          <cell r="E381" t="str">
            <v>SUSAN MCENTIRE</v>
          </cell>
          <cell r="F381" t="str">
            <v>D (Amb)</v>
          </cell>
          <cell r="G381">
            <v>741385</v>
          </cell>
          <cell r="H381" t="str">
            <v>Ambition</v>
          </cell>
          <cell r="I381">
            <v>0.625</v>
          </cell>
          <cell r="J381">
            <v>0.875</v>
          </cell>
          <cell r="K381">
            <v>5.75</v>
          </cell>
          <cell r="L381">
            <v>224.83</v>
          </cell>
          <cell r="O381" t="str">
            <v>Y</v>
          </cell>
          <cell r="P381" t="str">
            <v>N</v>
          </cell>
          <cell r="Q381" t="str">
            <v>Short Term Sick</v>
          </cell>
          <cell r="S381">
            <v>0.15</v>
          </cell>
        </row>
        <row r="382">
          <cell r="D382">
            <v>808006648</v>
          </cell>
          <cell r="E382" t="str">
            <v>TAEL MHANGO</v>
          </cell>
          <cell r="F382" t="str">
            <v>D (Ch)</v>
          </cell>
          <cell r="G382">
            <v>16613</v>
          </cell>
          <cell r="H382" t="str">
            <v>Choice</v>
          </cell>
          <cell r="I382">
            <v>0.82291666666666663</v>
          </cell>
          <cell r="J382">
            <v>0.34375</v>
          </cell>
          <cell r="K382">
            <v>11.5</v>
          </cell>
          <cell r="L382">
            <v>364.33</v>
          </cell>
          <cell r="O382" t="str">
            <v>Y</v>
          </cell>
          <cell r="P382" t="str">
            <v>N</v>
          </cell>
          <cell r="Q382" t="str">
            <v>Vacancy</v>
          </cell>
          <cell r="S382">
            <v>0.31</v>
          </cell>
        </row>
        <row r="383">
          <cell r="D383">
            <v>908001404</v>
          </cell>
          <cell r="E383" t="str">
            <v>TOM OSBOURNE</v>
          </cell>
          <cell r="F383" t="str">
            <v>D General (Orio</v>
          </cell>
          <cell r="G383" t="str">
            <v>Invsd Smt checked</v>
          </cell>
          <cell r="H383" t="str">
            <v>Orion</v>
          </cell>
          <cell r="I383">
            <v>0.33333333333333331</v>
          </cell>
          <cell r="J383">
            <v>0.54166666666666663</v>
          </cell>
          <cell r="K383">
            <v>5</v>
          </cell>
          <cell r="L383">
            <v>90.6</v>
          </cell>
          <cell r="O383" t="str">
            <v>Y</v>
          </cell>
          <cell r="P383" t="str">
            <v>N</v>
          </cell>
          <cell r="Q383" t="str">
            <v>Vacancy</v>
          </cell>
          <cell r="S383">
            <v>0.13</v>
          </cell>
        </row>
        <row r="384">
          <cell r="D384">
            <v>808002747</v>
          </cell>
          <cell r="E384" t="str">
            <v>TRUST CHIWUNDURA</v>
          </cell>
          <cell r="F384" t="str">
            <v>A (Ch)</v>
          </cell>
          <cell r="G384">
            <v>16596</v>
          </cell>
          <cell r="H384" t="str">
            <v>Choice</v>
          </cell>
          <cell r="I384">
            <v>0.875</v>
          </cell>
          <cell r="J384">
            <v>0.3125</v>
          </cell>
          <cell r="K384">
            <v>10.1666666666667</v>
          </cell>
          <cell r="L384">
            <v>150.33000000000001</v>
          </cell>
          <cell r="O384" t="str">
            <v>Y</v>
          </cell>
          <cell r="P384" t="str">
            <v>N</v>
          </cell>
          <cell r="Q384" t="str">
            <v>Annual Leave</v>
          </cell>
          <cell r="S384">
            <v>0.27</v>
          </cell>
        </row>
        <row r="385">
          <cell r="D385">
            <v>808002500</v>
          </cell>
          <cell r="E385" t="str">
            <v>ANNA BONNERUP</v>
          </cell>
          <cell r="F385" t="str">
            <v>D / 5 General (</v>
          </cell>
          <cell r="G385" t="str">
            <v>604-148556</v>
          </cell>
          <cell r="H385" t="str">
            <v>Blue Arrow</v>
          </cell>
          <cell r="I385">
            <v>0.3125</v>
          </cell>
          <cell r="J385">
            <v>0.54166666666666663</v>
          </cell>
          <cell r="K385">
            <v>5.5</v>
          </cell>
          <cell r="L385">
            <v>92.84</v>
          </cell>
          <cell r="O385" t="str">
            <v>Y</v>
          </cell>
          <cell r="P385" t="str">
            <v>N</v>
          </cell>
          <cell r="Q385" t="str">
            <v>Vacancy</v>
          </cell>
          <cell r="S385">
            <v>0.15</v>
          </cell>
        </row>
        <row r="386">
          <cell r="D386">
            <v>808002504</v>
          </cell>
          <cell r="E386" t="str">
            <v>ANNA BONNERUP</v>
          </cell>
          <cell r="F386" t="str">
            <v>D / 5 General (</v>
          </cell>
          <cell r="G386" t="str">
            <v>604-148556</v>
          </cell>
          <cell r="H386" t="str">
            <v>Blue Arrow</v>
          </cell>
          <cell r="I386">
            <v>0.625</v>
          </cell>
          <cell r="J386">
            <v>0.85416666666666663</v>
          </cell>
          <cell r="K386">
            <v>5.5</v>
          </cell>
          <cell r="L386">
            <v>92.84</v>
          </cell>
          <cell r="O386" t="str">
            <v>Y</v>
          </cell>
          <cell r="P386" t="str">
            <v>N</v>
          </cell>
          <cell r="Q386" t="str">
            <v>Vacancy</v>
          </cell>
          <cell r="S386">
            <v>0.15</v>
          </cell>
        </row>
        <row r="387">
          <cell r="D387">
            <v>908003206</v>
          </cell>
          <cell r="E387" t="str">
            <v>AYO ONIKU</v>
          </cell>
          <cell r="F387" t="str">
            <v>2 Gen (All)</v>
          </cell>
          <cell r="G387" t="str">
            <v>G1434640</v>
          </cell>
          <cell r="H387" t="str">
            <v xml:space="preserve">Allied </v>
          </cell>
          <cell r="I387">
            <v>0.83333333333333337</v>
          </cell>
          <cell r="J387">
            <v>0.33333333333333331</v>
          </cell>
          <cell r="K387">
            <v>11.3333333333333</v>
          </cell>
          <cell r="L387">
            <v>145.07</v>
          </cell>
          <cell r="O387" t="str">
            <v>Y</v>
          </cell>
          <cell r="P387" t="str">
            <v>N</v>
          </cell>
          <cell r="Q387" t="str">
            <v>Specials</v>
          </cell>
          <cell r="S387">
            <v>0.3</v>
          </cell>
        </row>
        <row r="388">
          <cell r="D388">
            <v>808000306</v>
          </cell>
          <cell r="E388" t="str">
            <v>BERNADETTE SHINYA-NDUNUWANI</v>
          </cell>
          <cell r="F388" t="str">
            <v>D (MD)</v>
          </cell>
          <cell r="G388">
            <v>329127</v>
          </cell>
          <cell r="H388" t="str">
            <v>Mayday</v>
          </cell>
          <cell r="I388">
            <v>0.3125</v>
          </cell>
          <cell r="J388">
            <v>0.64583333333333337</v>
          </cell>
          <cell r="K388">
            <v>7.6666666666666696</v>
          </cell>
          <cell r="L388">
            <v>247.56</v>
          </cell>
          <cell r="O388" t="str">
            <v>Y</v>
          </cell>
          <cell r="P388" t="str">
            <v>N</v>
          </cell>
          <cell r="Q388" t="str">
            <v>Extra Capacity</v>
          </cell>
          <cell r="S388">
            <v>0.2</v>
          </cell>
        </row>
        <row r="389">
          <cell r="D389">
            <v>808000335</v>
          </cell>
          <cell r="E389" t="str">
            <v>BERNADETTE SHINYA-NDUNUWANI</v>
          </cell>
          <cell r="F389" t="str">
            <v>D (MD)</v>
          </cell>
          <cell r="G389">
            <v>329127</v>
          </cell>
          <cell r="H389" t="str">
            <v>Mayday</v>
          </cell>
          <cell r="I389">
            <v>0.64583333333333337</v>
          </cell>
          <cell r="J389">
            <v>0.85416666666666663</v>
          </cell>
          <cell r="K389">
            <v>5</v>
          </cell>
          <cell r="L389">
            <v>161.44999999999999</v>
          </cell>
          <cell r="O389" t="str">
            <v>Y</v>
          </cell>
          <cell r="P389" t="str">
            <v>N</v>
          </cell>
          <cell r="Q389" t="str">
            <v>Extra Capacity</v>
          </cell>
          <cell r="S389">
            <v>0.13</v>
          </cell>
        </row>
        <row r="390">
          <cell r="D390">
            <v>808004787</v>
          </cell>
          <cell r="E390" t="str">
            <v>BERTHA CHITABO</v>
          </cell>
          <cell r="F390" t="str">
            <v>D (Ch)</v>
          </cell>
          <cell r="G390">
            <v>16592</v>
          </cell>
          <cell r="H390" t="str">
            <v>Choice</v>
          </cell>
          <cell r="I390">
            <v>0.84375</v>
          </cell>
          <cell r="J390">
            <v>0.3125</v>
          </cell>
          <cell r="K390">
            <v>10.25</v>
          </cell>
          <cell r="L390">
            <v>324.73</v>
          </cell>
          <cell r="O390" t="str">
            <v>Y</v>
          </cell>
          <cell r="P390" t="str">
            <v>N</v>
          </cell>
          <cell r="Q390" t="str">
            <v>Vacancy</v>
          </cell>
          <cell r="S390">
            <v>0.27</v>
          </cell>
        </row>
        <row r="391">
          <cell r="D391">
            <v>808002757</v>
          </cell>
          <cell r="E391" t="str">
            <v>DIGRACIA  NAPE</v>
          </cell>
          <cell r="F391" t="str">
            <v>D (MD)</v>
          </cell>
          <cell r="G391">
            <v>328822</v>
          </cell>
          <cell r="H391" t="str">
            <v>Mayday</v>
          </cell>
          <cell r="I391">
            <v>0.5625</v>
          </cell>
          <cell r="J391">
            <v>0.875</v>
          </cell>
          <cell r="K391">
            <v>7.1666666666666696</v>
          </cell>
          <cell r="L391">
            <v>231.41</v>
          </cell>
          <cell r="O391" t="str">
            <v>Y</v>
          </cell>
          <cell r="P391" t="str">
            <v>N</v>
          </cell>
          <cell r="Q391" t="str">
            <v>Vacancy</v>
          </cell>
          <cell r="S391">
            <v>0.19</v>
          </cell>
        </row>
        <row r="392">
          <cell r="D392">
            <v>908003072</v>
          </cell>
          <cell r="E392" t="str">
            <v>DOROTHY MUTHWA</v>
          </cell>
          <cell r="F392" t="str">
            <v>A (Ch)</v>
          </cell>
          <cell r="H392" t="str">
            <v>Choice</v>
          </cell>
          <cell r="I392">
            <v>0.33333333333333331</v>
          </cell>
          <cell r="J392">
            <v>0.58333333333333337</v>
          </cell>
          <cell r="K392">
            <v>5.6666666666666696</v>
          </cell>
          <cell r="L392">
            <v>62.84</v>
          </cell>
          <cell r="O392" t="str">
            <v>Y</v>
          </cell>
          <cell r="P392" t="str">
            <v>N</v>
          </cell>
          <cell r="Q392" t="str">
            <v>Specials</v>
          </cell>
          <cell r="S392">
            <v>0.15</v>
          </cell>
        </row>
        <row r="393">
          <cell r="D393">
            <v>908003073</v>
          </cell>
          <cell r="E393" t="str">
            <v>DOROTHY MUTHWA</v>
          </cell>
          <cell r="F393" t="str">
            <v>A (Ch)</v>
          </cell>
          <cell r="H393" t="str">
            <v>Choice</v>
          </cell>
          <cell r="I393">
            <v>0.58333333333333337</v>
          </cell>
          <cell r="J393">
            <v>0.83333333333333337</v>
          </cell>
          <cell r="K393">
            <v>5.6666666666666696</v>
          </cell>
          <cell r="L393">
            <v>62.84</v>
          </cell>
          <cell r="O393" t="str">
            <v>Y</v>
          </cell>
          <cell r="P393" t="str">
            <v>N</v>
          </cell>
          <cell r="Q393" t="str">
            <v>Specials</v>
          </cell>
          <cell r="S393">
            <v>0.15</v>
          </cell>
        </row>
        <row r="394">
          <cell r="D394">
            <v>908002223</v>
          </cell>
          <cell r="E394" t="str">
            <v>FATIMA UMARU</v>
          </cell>
          <cell r="F394" t="str">
            <v>D (MD)</v>
          </cell>
          <cell r="G394">
            <v>328501</v>
          </cell>
          <cell r="H394" t="str">
            <v>Mayday</v>
          </cell>
          <cell r="I394">
            <v>0.875</v>
          </cell>
          <cell r="J394">
            <v>0.30208333333333331</v>
          </cell>
          <cell r="K394">
            <v>9.9166666666666696</v>
          </cell>
          <cell r="L394">
            <v>416.27</v>
          </cell>
          <cell r="O394" t="str">
            <v>Y</v>
          </cell>
          <cell r="P394" t="str">
            <v>N</v>
          </cell>
          <cell r="Q394" t="str">
            <v>Vacancy</v>
          </cell>
          <cell r="S394">
            <v>0.26</v>
          </cell>
        </row>
        <row r="395">
          <cell r="D395">
            <v>908003061</v>
          </cell>
          <cell r="E395" t="str">
            <v>GEORGE GARCIA</v>
          </cell>
          <cell r="F395" t="str">
            <v>2 Gen (All)</v>
          </cell>
          <cell r="G395" t="str">
            <v>G1434639</v>
          </cell>
          <cell r="H395" t="str">
            <v xml:space="preserve">Allied </v>
          </cell>
          <cell r="I395">
            <v>0.83333333333333337</v>
          </cell>
          <cell r="J395">
            <v>0.33333333333333331</v>
          </cell>
          <cell r="K395">
            <v>11.3333333333333</v>
          </cell>
          <cell r="L395">
            <v>145.07</v>
          </cell>
          <cell r="O395" t="str">
            <v>Y</v>
          </cell>
          <cell r="P395" t="str">
            <v>N</v>
          </cell>
          <cell r="Q395" t="str">
            <v>Specials</v>
          </cell>
          <cell r="S395">
            <v>0.3</v>
          </cell>
        </row>
        <row r="396">
          <cell r="D396">
            <v>908003086</v>
          </cell>
          <cell r="E396" t="str">
            <v>JASMINE ESGUERRA</v>
          </cell>
          <cell r="F396" t="str">
            <v>D (Ch)</v>
          </cell>
          <cell r="G396">
            <v>16593</v>
          </cell>
          <cell r="H396" t="str">
            <v>Choice</v>
          </cell>
          <cell r="I396">
            <v>0.8125</v>
          </cell>
          <cell r="J396">
            <v>0.33333333333333331</v>
          </cell>
          <cell r="K396">
            <v>11.5</v>
          </cell>
          <cell r="L396">
            <v>364.33</v>
          </cell>
          <cell r="O396" t="str">
            <v>Y</v>
          </cell>
          <cell r="P396" t="str">
            <v>N</v>
          </cell>
          <cell r="Q396" t="str">
            <v>Vacancy</v>
          </cell>
          <cell r="S396">
            <v>0.31</v>
          </cell>
        </row>
        <row r="397">
          <cell r="D397">
            <v>908001405</v>
          </cell>
          <cell r="E397" t="str">
            <v>KAREN VAUGHAN</v>
          </cell>
          <cell r="F397" t="str">
            <v>D General (Orio</v>
          </cell>
          <cell r="G397" t="str">
            <v>Invsd Smt checked</v>
          </cell>
          <cell r="H397" t="str">
            <v>Orion</v>
          </cell>
          <cell r="I397">
            <v>0.33333333333333331</v>
          </cell>
          <cell r="J397">
            <v>0.54166666666666663</v>
          </cell>
          <cell r="K397">
            <v>5</v>
          </cell>
          <cell r="L397">
            <v>90.6</v>
          </cell>
          <cell r="O397" t="str">
            <v>Y</v>
          </cell>
          <cell r="P397" t="str">
            <v>N</v>
          </cell>
          <cell r="Q397" t="str">
            <v>Vacancy</v>
          </cell>
          <cell r="S397">
            <v>0.13</v>
          </cell>
        </row>
        <row r="398">
          <cell r="D398">
            <v>908002374</v>
          </cell>
          <cell r="E398" t="str">
            <v>KATHY CHIDAVA</v>
          </cell>
          <cell r="F398" t="str">
            <v>D (Ch)</v>
          </cell>
          <cell r="G398">
            <v>16658</v>
          </cell>
          <cell r="H398" t="str">
            <v>Choice</v>
          </cell>
          <cell r="I398">
            <v>0.88541666666666663</v>
          </cell>
          <cell r="J398">
            <v>0.3125</v>
          </cell>
          <cell r="K398">
            <v>9.25</v>
          </cell>
          <cell r="L398">
            <v>293.05</v>
          </cell>
          <cell r="O398" t="str">
            <v>Y</v>
          </cell>
          <cell r="P398" t="str">
            <v>N</v>
          </cell>
          <cell r="Q398" t="str">
            <v>Extra Capacity</v>
          </cell>
          <cell r="S398">
            <v>0.25</v>
          </cell>
        </row>
        <row r="399">
          <cell r="D399">
            <v>808000384</v>
          </cell>
          <cell r="E399" t="str">
            <v>KERRI GALLOWAY</v>
          </cell>
          <cell r="F399" t="str">
            <v>D (MD)</v>
          </cell>
          <cell r="G399">
            <v>328521</v>
          </cell>
          <cell r="H399" t="str">
            <v>Mayday</v>
          </cell>
          <cell r="I399">
            <v>0.3125</v>
          </cell>
          <cell r="J399">
            <v>0.64583333333333337</v>
          </cell>
          <cell r="K399">
            <v>7.6666666666666696</v>
          </cell>
          <cell r="L399">
            <v>247.56</v>
          </cell>
          <cell r="O399" t="str">
            <v>Y</v>
          </cell>
          <cell r="P399" t="str">
            <v>N</v>
          </cell>
          <cell r="Q399" t="str">
            <v>Extra Capacity</v>
          </cell>
          <cell r="S399">
            <v>0.2</v>
          </cell>
        </row>
        <row r="400">
          <cell r="D400">
            <v>808000398</v>
          </cell>
          <cell r="E400" t="str">
            <v>KERRI GALLOWAY</v>
          </cell>
          <cell r="F400" t="str">
            <v>D (MD)</v>
          </cell>
          <cell r="G400">
            <v>328521</v>
          </cell>
          <cell r="H400" t="str">
            <v>Mayday</v>
          </cell>
          <cell r="I400">
            <v>0.64583333333333337</v>
          </cell>
          <cell r="J400">
            <v>0.85416666666666663</v>
          </cell>
          <cell r="K400">
            <v>5</v>
          </cell>
          <cell r="L400">
            <v>161.44999999999999</v>
          </cell>
          <cell r="O400" t="str">
            <v>Y</v>
          </cell>
          <cell r="P400" t="str">
            <v>N</v>
          </cell>
          <cell r="Q400" t="str">
            <v>Extra Capacity</v>
          </cell>
          <cell r="S400">
            <v>0.13</v>
          </cell>
        </row>
        <row r="401">
          <cell r="D401">
            <v>908002214</v>
          </cell>
          <cell r="E401" t="str">
            <v>NATHI ZULU</v>
          </cell>
          <cell r="F401" t="str">
            <v>D (MD)</v>
          </cell>
          <cell r="H401" t="str">
            <v>Mayday</v>
          </cell>
          <cell r="I401">
            <v>0.8125</v>
          </cell>
          <cell r="J401">
            <v>0.33333333333333331</v>
          </cell>
          <cell r="K401">
            <v>11.8333333333333</v>
          </cell>
          <cell r="L401">
            <v>496.73</v>
          </cell>
          <cell r="O401" t="str">
            <v>Y</v>
          </cell>
          <cell r="P401" t="str">
            <v>N</v>
          </cell>
          <cell r="Q401" t="str">
            <v>Extra Capacity</v>
          </cell>
          <cell r="S401">
            <v>0.32</v>
          </cell>
        </row>
        <row r="402">
          <cell r="D402">
            <v>908002373</v>
          </cell>
          <cell r="E402" t="str">
            <v>NILO DANUGO</v>
          </cell>
          <cell r="F402" t="str">
            <v>D (Ch)</v>
          </cell>
          <cell r="G402">
            <v>16592</v>
          </cell>
          <cell r="H402" t="str">
            <v>Choice</v>
          </cell>
          <cell r="I402">
            <v>0.88541666666666663</v>
          </cell>
          <cell r="J402">
            <v>0.3125</v>
          </cell>
          <cell r="K402">
            <v>9.25</v>
          </cell>
          <cell r="L402">
            <v>293.05</v>
          </cell>
          <cell r="O402" t="str">
            <v>Y</v>
          </cell>
          <cell r="P402" t="str">
            <v>N</v>
          </cell>
          <cell r="Q402" t="str">
            <v>Extra Capacity</v>
          </cell>
          <cell r="S402">
            <v>0.25</v>
          </cell>
        </row>
        <row r="403">
          <cell r="D403">
            <v>808004783</v>
          </cell>
          <cell r="E403" t="str">
            <v>PAT DUBE</v>
          </cell>
          <cell r="F403" t="str">
            <v>D (MD)</v>
          </cell>
          <cell r="G403">
            <v>329284</v>
          </cell>
          <cell r="H403" t="str">
            <v>Mayday</v>
          </cell>
          <cell r="I403">
            <v>0.64583333333333337</v>
          </cell>
          <cell r="J403">
            <v>0.85416666666666663</v>
          </cell>
          <cell r="K403">
            <v>5</v>
          </cell>
          <cell r="L403">
            <v>161.44999999999999</v>
          </cell>
          <cell r="O403" t="str">
            <v>Y</v>
          </cell>
          <cell r="P403" t="str">
            <v>N</v>
          </cell>
          <cell r="Q403" t="str">
            <v>Vacancy</v>
          </cell>
          <cell r="S403">
            <v>0.13</v>
          </cell>
        </row>
        <row r="404">
          <cell r="D404">
            <v>908002706</v>
          </cell>
          <cell r="E404" t="str">
            <v>PAT DUBE</v>
          </cell>
          <cell r="F404" t="str">
            <v>D (MD)</v>
          </cell>
          <cell r="G404">
            <v>329284</v>
          </cell>
          <cell r="H404" t="str">
            <v>Mayday</v>
          </cell>
          <cell r="I404">
            <v>0.3125</v>
          </cell>
          <cell r="J404">
            <v>0.64583333333333337</v>
          </cell>
          <cell r="K404">
            <v>7.5</v>
          </cell>
          <cell r="L404">
            <v>242.17</v>
          </cell>
          <cell r="O404" t="str">
            <v>Y</v>
          </cell>
          <cell r="P404" t="str">
            <v>N</v>
          </cell>
          <cell r="Q404" t="str">
            <v>Vacancy</v>
          </cell>
          <cell r="S404">
            <v>0.2</v>
          </cell>
        </row>
        <row r="405">
          <cell r="D405">
            <v>908003050</v>
          </cell>
          <cell r="E405" t="str">
            <v>PAT MTHETHWA</v>
          </cell>
          <cell r="F405" t="str">
            <v>D (Ch)</v>
          </cell>
          <cell r="G405">
            <v>16672</v>
          </cell>
          <cell r="H405" t="str">
            <v>Choice</v>
          </cell>
          <cell r="I405">
            <v>0.32291666666666669</v>
          </cell>
          <cell r="J405">
            <v>0.57291666666666663</v>
          </cell>
          <cell r="K405">
            <v>5.6666666666666696</v>
          </cell>
          <cell r="L405">
            <v>138.1</v>
          </cell>
          <cell r="O405" t="str">
            <v>Y</v>
          </cell>
          <cell r="P405" t="str">
            <v>N</v>
          </cell>
          <cell r="Q405" t="str">
            <v>Short Term Sick</v>
          </cell>
          <cell r="S405">
            <v>0.15</v>
          </cell>
        </row>
        <row r="406">
          <cell r="D406">
            <v>908003051</v>
          </cell>
          <cell r="E406" t="str">
            <v>PAT MTHETHWA</v>
          </cell>
          <cell r="F406" t="str">
            <v>D (Ch)</v>
          </cell>
          <cell r="G406">
            <v>16672</v>
          </cell>
          <cell r="H406" t="str">
            <v>Choice</v>
          </cell>
          <cell r="I406">
            <v>0.58333333333333337</v>
          </cell>
          <cell r="J406">
            <v>0.83333333333333337</v>
          </cell>
          <cell r="K406">
            <v>5.6666666666666696</v>
          </cell>
          <cell r="L406">
            <v>138.1</v>
          </cell>
          <cell r="O406" t="str">
            <v>Y</v>
          </cell>
          <cell r="P406" t="str">
            <v>N</v>
          </cell>
          <cell r="Q406" t="str">
            <v>Short Term Sick</v>
          </cell>
          <cell r="S406">
            <v>0.15</v>
          </cell>
        </row>
        <row r="407">
          <cell r="D407">
            <v>908002495</v>
          </cell>
          <cell r="E407" t="str">
            <v>PEGGY CHIRIKURE</v>
          </cell>
          <cell r="F407" t="str">
            <v>D (Ch)</v>
          </cell>
          <cell r="G407">
            <v>16594</v>
          </cell>
          <cell r="H407" t="str">
            <v>Choice</v>
          </cell>
          <cell r="I407">
            <v>0.625</v>
          </cell>
          <cell r="J407">
            <v>0.85416666666666663</v>
          </cell>
          <cell r="K407">
            <v>5.5</v>
          </cell>
          <cell r="L407">
            <v>134.03</v>
          </cell>
          <cell r="O407" t="str">
            <v>Y</v>
          </cell>
          <cell r="P407" t="str">
            <v>N</v>
          </cell>
          <cell r="Q407" t="str">
            <v>Vacancy</v>
          </cell>
          <cell r="S407">
            <v>0.15</v>
          </cell>
        </row>
        <row r="408">
          <cell r="D408">
            <v>908002954</v>
          </cell>
          <cell r="E408" t="str">
            <v>PEGGY CHIRIKURE</v>
          </cell>
          <cell r="F408" t="str">
            <v>D (Ch)</v>
          </cell>
          <cell r="G408">
            <v>16594</v>
          </cell>
          <cell r="H408" t="str">
            <v>Choice</v>
          </cell>
          <cell r="I408">
            <v>0.3125</v>
          </cell>
          <cell r="J408">
            <v>0.54166666666666663</v>
          </cell>
          <cell r="K408">
            <v>5.5</v>
          </cell>
          <cell r="L408">
            <v>134.03</v>
          </cell>
          <cell r="O408" t="str">
            <v>Y</v>
          </cell>
          <cell r="P408" t="str">
            <v>N</v>
          </cell>
          <cell r="Q408" t="str">
            <v>Vacancy</v>
          </cell>
          <cell r="S408">
            <v>0.15</v>
          </cell>
        </row>
        <row r="409">
          <cell r="D409">
            <v>908002164</v>
          </cell>
          <cell r="E409" t="str">
            <v>PEGGY MAPOGO</v>
          </cell>
          <cell r="F409" t="str">
            <v>D (Ch)</v>
          </cell>
          <cell r="G409">
            <v>16611</v>
          </cell>
          <cell r="H409" t="str">
            <v>Choice</v>
          </cell>
          <cell r="I409">
            <v>0.3125</v>
          </cell>
          <cell r="J409">
            <v>0.625</v>
          </cell>
          <cell r="K409">
            <v>7.1666666666666696</v>
          </cell>
          <cell r="L409">
            <v>174.65</v>
          </cell>
          <cell r="O409" t="str">
            <v>Y</v>
          </cell>
          <cell r="P409" t="str">
            <v>N</v>
          </cell>
          <cell r="Q409" t="str">
            <v>Extra Capacity</v>
          </cell>
          <cell r="S409">
            <v>0.19</v>
          </cell>
        </row>
        <row r="410">
          <cell r="D410">
            <v>908002165</v>
          </cell>
          <cell r="E410" t="str">
            <v>PEGGY MAPOGO</v>
          </cell>
          <cell r="F410" t="str">
            <v>D (Ch)</v>
          </cell>
          <cell r="G410">
            <v>16611</v>
          </cell>
          <cell r="H410" t="str">
            <v>Choice</v>
          </cell>
          <cell r="I410">
            <v>0.625</v>
          </cell>
          <cell r="J410">
            <v>0.89583333333333337</v>
          </cell>
          <cell r="K410">
            <v>6.1666666666666696</v>
          </cell>
          <cell r="L410">
            <v>150.28</v>
          </cell>
          <cell r="O410" t="str">
            <v>Y</v>
          </cell>
          <cell r="P410" t="str">
            <v>N</v>
          </cell>
          <cell r="Q410" t="str">
            <v>Extra Capacity</v>
          </cell>
          <cell r="S410">
            <v>0.16</v>
          </cell>
        </row>
        <row r="411">
          <cell r="D411">
            <v>808000378</v>
          </cell>
          <cell r="E411" t="str">
            <v>PURITY EHREUREICH</v>
          </cell>
          <cell r="F411" t="str">
            <v>D (MD)</v>
          </cell>
          <cell r="G411">
            <v>328273</v>
          </cell>
          <cell r="H411" t="str">
            <v>Mayday</v>
          </cell>
          <cell r="I411">
            <v>0.3125</v>
          </cell>
          <cell r="J411">
            <v>0.64583333333333337</v>
          </cell>
          <cell r="K411">
            <v>7.6666666666666696</v>
          </cell>
          <cell r="L411">
            <v>247.56</v>
          </cell>
          <cell r="O411" t="str">
            <v>Y</v>
          </cell>
          <cell r="P411" t="str">
            <v>N</v>
          </cell>
          <cell r="Q411" t="str">
            <v>Extra Capacity</v>
          </cell>
          <cell r="S411">
            <v>0.2</v>
          </cell>
        </row>
        <row r="412">
          <cell r="D412">
            <v>808003122</v>
          </cell>
          <cell r="E412" t="str">
            <v>RICCA PARADA</v>
          </cell>
          <cell r="F412" t="str">
            <v>D (Ch)</v>
          </cell>
          <cell r="G412">
            <v>16602</v>
          </cell>
          <cell r="H412" t="str">
            <v>Choice</v>
          </cell>
          <cell r="I412">
            <v>0.63541666666666663</v>
          </cell>
          <cell r="J412">
            <v>0.85416666666666663</v>
          </cell>
          <cell r="K412">
            <v>5.25</v>
          </cell>
          <cell r="L412">
            <v>127.94</v>
          </cell>
          <cell r="O412" t="str">
            <v>Y</v>
          </cell>
          <cell r="P412" t="str">
            <v>N</v>
          </cell>
          <cell r="Q412" t="str">
            <v>Vacancy</v>
          </cell>
          <cell r="S412">
            <v>0.14000000000000001</v>
          </cell>
        </row>
        <row r="413">
          <cell r="D413">
            <v>908003398</v>
          </cell>
          <cell r="E413" t="str">
            <v>SAM SOOGUMBUR</v>
          </cell>
          <cell r="F413" t="str">
            <v>D (MD)</v>
          </cell>
          <cell r="G413">
            <v>329029</v>
          </cell>
          <cell r="H413" t="str">
            <v>Mayday</v>
          </cell>
          <cell r="I413">
            <v>0.3125</v>
          </cell>
          <cell r="J413">
            <v>0.83333333333333337</v>
          </cell>
          <cell r="K413">
            <v>11.5</v>
          </cell>
          <cell r="L413">
            <v>371.33</v>
          </cell>
          <cell r="O413" t="str">
            <v>Y</v>
          </cell>
          <cell r="P413" t="str">
            <v>N</v>
          </cell>
          <cell r="Q413" t="str">
            <v>Vacancy</v>
          </cell>
          <cell r="S413">
            <v>0.31</v>
          </cell>
        </row>
        <row r="414">
          <cell r="D414">
            <v>808000300</v>
          </cell>
          <cell r="E414" t="str">
            <v>TARA MASSIE</v>
          </cell>
          <cell r="F414" t="str">
            <v>D (MD)</v>
          </cell>
          <cell r="G414">
            <v>328303</v>
          </cell>
          <cell r="H414" t="str">
            <v>Mayday</v>
          </cell>
          <cell r="I414">
            <v>0.3125</v>
          </cell>
          <cell r="J414">
            <v>0.64583333333333337</v>
          </cell>
          <cell r="K414">
            <v>7.6666666666666696</v>
          </cell>
          <cell r="L414">
            <v>247.56</v>
          </cell>
          <cell r="O414" t="str">
            <v>Y</v>
          </cell>
          <cell r="P414" t="str">
            <v>N</v>
          </cell>
          <cell r="Q414" t="str">
            <v>Extra Capacity</v>
          </cell>
          <cell r="S414">
            <v>0.2</v>
          </cell>
        </row>
        <row r="415">
          <cell r="D415">
            <v>808000328</v>
          </cell>
          <cell r="E415" t="str">
            <v>TARA MASSIE</v>
          </cell>
          <cell r="F415" t="str">
            <v>D (MD)</v>
          </cell>
          <cell r="G415">
            <v>328303</v>
          </cell>
          <cell r="H415" t="str">
            <v>Mayday</v>
          </cell>
          <cell r="I415">
            <v>0.64583333333333337</v>
          </cell>
          <cell r="J415">
            <v>0.85416666666666663</v>
          </cell>
          <cell r="K415">
            <v>5</v>
          </cell>
          <cell r="L415">
            <v>161.44999999999999</v>
          </cell>
          <cell r="O415" t="str">
            <v>Y</v>
          </cell>
          <cell r="P415" t="str">
            <v>N</v>
          </cell>
          <cell r="Q415" t="str">
            <v>Extra Capacity</v>
          </cell>
          <cell r="S415">
            <v>0.13</v>
          </cell>
        </row>
        <row r="416">
          <cell r="D416">
            <v>908002213</v>
          </cell>
          <cell r="E416" t="str">
            <v>THEMBE NHOSE</v>
          </cell>
          <cell r="F416" t="str">
            <v>D (MD)</v>
          </cell>
          <cell r="G416">
            <v>328460</v>
          </cell>
          <cell r="H416" t="str">
            <v>Mayday</v>
          </cell>
          <cell r="I416">
            <v>0.8125</v>
          </cell>
          <cell r="J416">
            <v>0.33333333333333331</v>
          </cell>
          <cell r="K416">
            <v>11.8333333333333</v>
          </cell>
          <cell r="L416">
            <v>496.73</v>
          </cell>
          <cell r="O416" t="str">
            <v>Y</v>
          </cell>
          <cell r="P416" t="str">
            <v>N</v>
          </cell>
          <cell r="Q416" t="str">
            <v>Extra Capacity</v>
          </cell>
          <cell r="S416">
            <v>0.32</v>
          </cell>
        </row>
        <row r="417">
          <cell r="D417">
            <v>908001406</v>
          </cell>
          <cell r="E417" t="str">
            <v>TOM OSBOURNE</v>
          </cell>
          <cell r="F417" t="str">
            <v>D General (Orio</v>
          </cell>
          <cell r="G417" t="str">
            <v>Invsd Smt checked</v>
          </cell>
          <cell r="H417" t="str">
            <v>Orion</v>
          </cell>
          <cell r="I417">
            <v>0.33333333333333331</v>
          </cell>
          <cell r="J417">
            <v>0.54166666666666663</v>
          </cell>
          <cell r="K417">
            <v>5</v>
          </cell>
          <cell r="L417">
            <v>90.6</v>
          </cell>
          <cell r="O417" t="str">
            <v>Y</v>
          </cell>
          <cell r="P417" t="str">
            <v>N</v>
          </cell>
          <cell r="Q417" t="str">
            <v>Vacancy</v>
          </cell>
          <cell r="S417">
            <v>0.13</v>
          </cell>
        </row>
        <row r="418">
          <cell r="D418">
            <v>908003195</v>
          </cell>
          <cell r="E418" t="str">
            <v>ALMA DEPENA</v>
          </cell>
          <cell r="F418" t="str">
            <v>D (Ch)</v>
          </cell>
          <cell r="G418">
            <v>16608</v>
          </cell>
          <cell r="H418" t="str">
            <v>Choice</v>
          </cell>
          <cell r="I418">
            <v>0.89583333333333337</v>
          </cell>
          <cell r="J418">
            <v>0.3125</v>
          </cell>
          <cell r="K418">
            <v>9.6666666666666696</v>
          </cell>
          <cell r="L418">
            <v>306.25</v>
          </cell>
          <cell r="O418" t="str">
            <v>Y</v>
          </cell>
          <cell r="P418" t="str">
            <v>N</v>
          </cell>
          <cell r="Q418" t="str">
            <v>Extra Capacity</v>
          </cell>
          <cell r="S418">
            <v>0.26</v>
          </cell>
        </row>
        <row r="419">
          <cell r="D419">
            <v>908003209</v>
          </cell>
          <cell r="E419" t="str">
            <v>AYO ONIKU</v>
          </cell>
          <cell r="F419" t="str">
            <v>2 Gen (All)</v>
          </cell>
          <cell r="G419" t="str">
            <v>G1434640</v>
          </cell>
          <cell r="H419" t="str">
            <v xml:space="preserve">Allied </v>
          </cell>
          <cell r="I419">
            <v>0.83333333333333337</v>
          </cell>
          <cell r="J419">
            <v>0.33333333333333331</v>
          </cell>
          <cell r="K419">
            <v>11.3333333333333</v>
          </cell>
          <cell r="L419">
            <v>145.07</v>
          </cell>
          <cell r="O419" t="str">
            <v>Y</v>
          </cell>
          <cell r="P419" t="str">
            <v>N</v>
          </cell>
          <cell r="Q419" t="str">
            <v>Specials</v>
          </cell>
          <cell r="S419">
            <v>0.3</v>
          </cell>
        </row>
        <row r="420">
          <cell r="D420">
            <v>808000357</v>
          </cell>
          <cell r="E420" t="str">
            <v>BEAUTY NGIDI</v>
          </cell>
          <cell r="F420" t="str">
            <v>D (MD)</v>
          </cell>
          <cell r="G420">
            <v>328445</v>
          </cell>
          <cell r="H420" t="str">
            <v>Mayday</v>
          </cell>
          <cell r="I420">
            <v>0.83333333333333337</v>
          </cell>
          <cell r="J420">
            <v>0.33333333333333331</v>
          </cell>
          <cell r="K420">
            <v>11.3333333333333</v>
          </cell>
          <cell r="L420">
            <v>475.74</v>
          </cell>
          <cell r="O420" t="str">
            <v>Y</v>
          </cell>
          <cell r="P420" t="str">
            <v>N</v>
          </cell>
          <cell r="Q420" t="str">
            <v>Extra Capacity</v>
          </cell>
          <cell r="S420">
            <v>0.3</v>
          </cell>
        </row>
        <row r="421">
          <cell r="D421">
            <v>908002375</v>
          </cell>
          <cell r="E421" t="str">
            <v>BERTHA CHITABO</v>
          </cell>
          <cell r="F421" t="str">
            <v>D (Ch)</v>
          </cell>
          <cell r="G421">
            <v>16592</v>
          </cell>
          <cell r="H421" t="str">
            <v>Choice</v>
          </cell>
          <cell r="I421">
            <v>0.88541666666666663</v>
          </cell>
          <cell r="J421">
            <v>0.3125</v>
          </cell>
          <cell r="K421">
            <v>9.25</v>
          </cell>
          <cell r="L421">
            <v>293.05</v>
          </cell>
          <cell r="O421" t="str">
            <v>Y</v>
          </cell>
          <cell r="P421" t="str">
            <v>N</v>
          </cell>
          <cell r="Q421" t="str">
            <v>Extra Capacity</v>
          </cell>
          <cell r="S421">
            <v>0.25</v>
          </cell>
        </row>
        <row r="422">
          <cell r="D422">
            <v>808000313</v>
          </cell>
          <cell r="E422" t="str">
            <v>BRIGHTNESS NDEBELE</v>
          </cell>
          <cell r="F422" t="str">
            <v>D (MD)</v>
          </cell>
          <cell r="G422">
            <v>328469</v>
          </cell>
          <cell r="H422" t="str">
            <v>Mayday</v>
          </cell>
          <cell r="I422">
            <v>0.3125</v>
          </cell>
          <cell r="J422">
            <v>0.64583333333333337</v>
          </cell>
          <cell r="K422">
            <v>7.6666666666666696</v>
          </cell>
          <cell r="L422">
            <v>321.82</v>
          </cell>
          <cell r="O422" t="str">
            <v>Y</v>
          </cell>
          <cell r="P422" t="str">
            <v>N</v>
          </cell>
          <cell r="Q422" t="str">
            <v>Extra Capacity</v>
          </cell>
          <cell r="S422">
            <v>0.2</v>
          </cell>
        </row>
        <row r="423">
          <cell r="D423">
            <v>808000336</v>
          </cell>
          <cell r="E423" t="str">
            <v>BRIGHTNESS NDEBELE</v>
          </cell>
          <cell r="F423" t="str">
            <v>D (MD)</v>
          </cell>
          <cell r="G423">
            <v>328469</v>
          </cell>
          <cell r="H423" t="str">
            <v>Mayday</v>
          </cell>
          <cell r="I423">
            <v>0.64583333333333337</v>
          </cell>
          <cell r="J423">
            <v>0.85416666666666663</v>
          </cell>
          <cell r="K423">
            <v>5</v>
          </cell>
          <cell r="L423">
            <v>209.89</v>
          </cell>
          <cell r="O423" t="str">
            <v>Y</v>
          </cell>
          <cell r="P423" t="str">
            <v>N</v>
          </cell>
          <cell r="Q423" t="str">
            <v>Extra Capacity</v>
          </cell>
          <cell r="S423">
            <v>0.13</v>
          </cell>
        </row>
        <row r="424">
          <cell r="D424">
            <v>808005020</v>
          </cell>
          <cell r="E424" t="str">
            <v>CHRIS STULAR</v>
          </cell>
          <cell r="F424" t="str">
            <v>D General (Orio</v>
          </cell>
          <cell r="G424" t="str">
            <v>Invsd Smt checked</v>
          </cell>
          <cell r="H424" t="str">
            <v>Orion</v>
          </cell>
          <cell r="I424">
            <v>0.33333333333333331</v>
          </cell>
          <cell r="J424">
            <v>0.89583333333333337</v>
          </cell>
          <cell r="K424">
            <v>12.5</v>
          </cell>
          <cell r="L424">
            <v>294.45</v>
          </cell>
          <cell r="O424" t="str">
            <v>Y</v>
          </cell>
          <cell r="P424" t="str">
            <v>N</v>
          </cell>
          <cell r="Q424" t="str">
            <v>Backfill</v>
          </cell>
          <cell r="S424">
            <v>0.33</v>
          </cell>
        </row>
        <row r="425">
          <cell r="D425">
            <v>908003381</v>
          </cell>
          <cell r="E425" t="str">
            <v>DENNIS DZVENGWE</v>
          </cell>
          <cell r="F425" t="str">
            <v>D (Ch)</v>
          </cell>
          <cell r="G425">
            <v>16598</v>
          </cell>
          <cell r="H425" t="str">
            <v>Choice</v>
          </cell>
          <cell r="I425">
            <v>0.83333333333333337</v>
          </cell>
          <cell r="J425">
            <v>0.32291666666666669</v>
          </cell>
          <cell r="K425">
            <v>10.75</v>
          </cell>
          <cell r="L425">
            <v>340.57</v>
          </cell>
          <cell r="O425" t="str">
            <v>Y</v>
          </cell>
          <cell r="P425" t="str">
            <v>N</v>
          </cell>
          <cell r="Q425" t="str">
            <v>Vacancy</v>
          </cell>
          <cell r="S425">
            <v>0.28999999999999998</v>
          </cell>
        </row>
        <row r="426">
          <cell r="D426">
            <v>808002764</v>
          </cell>
          <cell r="E426" t="str">
            <v>DIGRACIA  NAPE</v>
          </cell>
          <cell r="F426" t="str">
            <v>D (MD)</v>
          </cell>
          <cell r="G426">
            <v>328821</v>
          </cell>
          <cell r="H426" t="str">
            <v>Mayday</v>
          </cell>
          <cell r="I426">
            <v>0.5625</v>
          </cell>
          <cell r="J426">
            <v>0.875</v>
          </cell>
          <cell r="K426">
            <v>7.1666666666666696</v>
          </cell>
          <cell r="L426">
            <v>300.83999999999997</v>
          </cell>
          <cell r="O426" t="str">
            <v>Y</v>
          </cell>
          <cell r="P426" t="str">
            <v>N</v>
          </cell>
          <cell r="Q426" t="str">
            <v>Vacancy</v>
          </cell>
          <cell r="S426">
            <v>0.19</v>
          </cell>
        </row>
        <row r="427">
          <cell r="D427">
            <v>908003062</v>
          </cell>
          <cell r="E427" t="str">
            <v>DOROTHY MUTHWA</v>
          </cell>
          <cell r="F427" t="str">
            <v>A (Ch)</v>
          </cell>
          <cell r="G427">
            <v>16670</v>
          </cell>
          <cell r="H427" t="str">
            <v>Choice</v>
          </cell>
          <cell r="I427">
            <v>0.33333333333333331</v>
          </cell>
          <cell r="J427">
            <v>0.58333333333333337</v>
          </cell>
          <cell r="K427">
            <v>5.6666666666666696</v>
          </cell>
          <cell r="L427">
            <v>83.79</v>
          </cell>
          <cell r="O427" t="str">
            <v>Y</v>
          </cell>
          <cell r="P427" t="str">
            <v>N</v>
          </cell>
          <cell r="Q427" t="str">
            <v>Specials</v>
          </cell>
          <cell r="S427">
            <v>0.15</v>
          </cell>
        </row>
        <row r="428">
          <cell r="D428">
            <v>908003063</v>
          </cell>
          <cell r="E428" t="str">
            <v>DOROTHY MUTHWA</v>
          </cell>
          <cell r="F428" t="str">
            <v>A (Ch)</v>
          </cell>
          <cell r="G428">
            <v>16670</v>
          </cell>
          <cell r="H428" t="str">
            <v>Choice</v>
          </cell>
          <cell r="I428">
            <v>0.58333333333333337</v>
          </cell>
          <cell r="J428">
            <v>0.83333333333333337</v>
          </cell>
          <cell r="K428">
            <v>5.6666666666666696</v>
          </cell>
          <cell r="L428">
            <v>83.79</v>
          </cell>
          <cell r="O428" t="str">
            <v>Y</v>
          </cell>
          <cell r="P428" t="str">
            <v>N</v>
          </cell>
          <cell r="Q428" t="str">
            <v>Specials</v>
          </cell>
          <cell r="S428">
            <v>0.15</v>
          </cell>
        </row>
        <row r="429">
          <cell r="D429">
            <v>808003452</v>
          </cell>
          <cell r="E429" t="str">
            <v>ELENITA ARENAS</v>
          </cell>
          <cell r="F429" t="str">
            <v>D (MD)</v>
          </cell>
          <cell r="H429" t="str">
            <v>Mayday</v>
          </cell>
          <cell r="I429">
            <v>0.625</v>
          </cell>
          <cell r="J429">
            <v>0.875</v>
          </cell>
          <cell r="K429">
            <v>6</v>
          </cell>
          <cell r="L429">
            <v>251.86</v>
          </cell>
          <cell r="O429" t="str">
            <v>Y</v>
          </cell>
          <cell r="P429" t="str">
            <v>N</v>
          </cell>
          <cell r="Q429" t="str">
            <v>Vacancy</v>
          </cell>
          <cell r="S429">
            <v>0.16</v>
          </cell>
        </row>
        <row r="430">
          <cell r="D430">
            <v>908003375</v>
          </cell>
          <cell r="E430" t="str">
            <v>ELENITA ARENAS</v>
          </cell>
          <cell r="F430" t="str">
            <v>D (MD)</v>
          </cell>
          <cell r="G430">
            <v>328506</v>
          </cell>
          <cell r="H430" t="str">
            <v>Mayday</v>
          </cell>
          <cell r="I430">
            <v>0.29166666666666669</v>
          </cell>
          <cell r="J430">
            <v>0.625</v>
          </cell>
          <cell r="K430">
            <v>7.6666666666666696</v>
          </cell>
          <cell r="L430">
            <v>321.82</v>
          </cell>
          <cell r="O430" t="str">
            <v>Y</v>
          </cell>
          <cell r="P430" t="str">
            <v>N</v>
          </cell>
          <cell r="Q430" t="str">
            <v>Vacancy</v>
          </cell>
          <cell r="S430">
            <v>0.2</v>
          </cell>
        </row>
        <row r="431">
          <cell r="D431">
            <v>908002225</v>
          </cell>
          <cell r="E431" t="str">
            <v>FATIMA UMARU</v>
          </cell>
          <cell r="F431" t="str">
            <v>D (MD)</v>
          </cell>
          <cell r="G431">
            <v>328498</v>
          </cell>
          <cell r="H431" t="str">
            <v>Mayday</v>
          </cell>
          <cell r="I431">
            <v>0.875</v>
          </cell>
          <cell r="J431">
            <v>0.30208333333333331</v>
          </cell>
          <cell r="K431">
            <v>9.9166666666666696</v>
          </cell>
          <cell r="L431">
            <v>416.27</v>
          </cell>
          <cell r="O431" t="str">
            <v>Y</v>
          </cell>
          <cell r="P431" t="str">
            <v>N</v>
          </cell>
          <cell r="Q431" t="str">
            <v>Vacancy</v>
          </cell>
          <cell r="S431">
            <v>0.26</v>
          </cell>
        </row>
        <row r="432">
          <cell r="D432">
            <v>908001176</v>
          </cell>
          <cell r="E432" t="str">
            <v>GERTRUDE CHIGWADA</v>
          </cell>
          <cell r="F432" t="str">
            <v>D (MD)</v>
          </cell>
          <cell r="G432">
            <v>328819</v>
          </cell>
          <cell r="H432" t="str">
            <v>Mayday</v>
          </cell>
          <cell r="I432">
            <v>0.5625</v>
          </cell>
          <cell r="J432">
            <v>0.875</v>
          </cell>
          <cell r="K432">
            <v>7.1666666666666696</v>
          </cell>
          <cell r="L432">
            <v>300.83999999999997</v>
          </cell>
          <cell r="O432" t="str">
            <v>Y</v>
          </cell>
          <cell r="P432" t="str">
            <v>N</v>
          </cell>
          <cell r="Q432" t="str">
            <v>Vacancy</v>
          </cell>
          <cell r="S432">
            <v>0.19</v>
          </cell>
        </row>
        <row r="433">
          <cell r="D433">
            <v>908003652</v>
          </cell>
          <cell r="E433" t="str">
            <v>GRACE CHIKWAVA</v>
          </cell>
          <cell r="F433" t="str">
            <v>D (Ch)</v>
          </cell>
          <cell r="G433">
            <v>16615</v>
          </cell>
          <cell r="H433" t="str">
            <v>Choice</v>
          </cell>
          <cell r="I433">
            <v>0.83333333333333337</v>
          </cell>
          <cell r="J433">
            <v>0.33333333333333331</v>
          </cell>
          <cell r="K433">
            <v>11.3333333333333</v>
          </cell>
          <cell r="L433">
            <v>359.05</v>
          </cell>
          <cell r="O433" t="str">
            <v>Y</v>
          </cell>
          <cell r="P433" t="str">
            <v>N</v>
          </cell>
          <cell r="Q433" t="str">
            <v>On-Call</v>
          </cell>
          <cell r="S433">
            <v>0.3</v>
          </cell>
        </row>
        <row r="434">
          <cell r="D434">
            <v>908003379</v>
          </cell>
          <cell r="E434" t="str">
            <v>JASMINE ESGUERRA (biddy chafesuka)</v>
          </cell>
          <cell r="F434" t="str">
            <v>D (Ch)</v>
          </cell>
          <cell r="G434">
            <v>16600</v>
          </cell>
          <cell r="H434" t="str">
            <v>Choice</v>
          </cell>
          <cell r="I434">
            <v>0.875</v>
          </cell>
          <cell r="J434">
            <v>0.3125</v>
          </cell>
          <cell r="K434">
            <v>10.1666666666667</v>
          </cell>
          <cell r="L434">
            <v>322.08999999999997</v>
          </cell>
          <cell r="O434" t="str">
            <v>Y</v>
          </cell>
          <cell r="P434" t="str">
            <v>N</v>
          </cell>
          <cell r="Q434" t="str">
            <v>Short Term Sick</v>
          </cell>
          <cell r="S434">
            <v>0.27</v>
          </cell>
        </row>
        <row r="435">
          <cell r="D435">
            <v>808000301</v>
          </cell>
          <cell r="E435" t="str">
            <v>JEAN NGONA</v>
          </cell>
          <cell r="F435" t="str">
            <v>D (MD)</v>
          </cell>
          <cell r="G435">
            <v>330254</v>
          </cell>
          <cell r="H435" t="str">
            <v>Mayday</v>
          </cell>
          <cell r="I435">
            <v>0.3125</v>
          </cell>
          <cell r="J435">
            <v>0.64583333333333337</v>
          </cell>
          <cell r="K435">
            <v>7.6666666666666696</v>
          </cell>
          <cell r="L435">
            <v>321.82</v>
          </cell>
          <cell r="O435" t="str">
            <v>Y</v>
          </cell>
          <cell r="P435" t="str">
            <v>N</v>
          </cell>
          <cell r="Q435" t="str">
            <v>Extra Capacity</v>
          </cell>
          <cell r="S435">
            <v>0.2</v>
          </cell>
        </row>
        <row r="436">
          <cell r="D436">
            <v>908003313</v>
          </cell>
          <cell r="E436" t="str">
            <v>JOSEPH BASS</v>
          </cell>
          <cell r="F436" t="str">
            <v>D (MD)</v>
          </cell>
          <cell r="G436">
            <v>330237</v>
          </cell>
          <cell r="H436" t="str">
            <v>Mayday</v>
          </cell>
          <cell r="I436">
            <v>0.8125</v>
          </cell>
          <cell r="J436">
            <v>0.33333333333333331</v>
          </cell>
          <cell r="K436">
            <v>11.8333333333333</v>
          </cell>
          <cell r="L436">
            <v>496.73</v>
          </cell>
          <cell r="O436" t="str">
            <v>Y</v>
          </cell>
          <cell r="P436" t="str">
            <v>N</v>
          </cell>
          <cell r="Q436" t="str">
            <v>Extra Capacity</v>
          </cell>
          <cell r="S436">
            <v>0.32</v>
          </cell>
        </row>
        <row r="437">
          <cell r="D437">
            <v>808000307</v>
          </cell>
          <cell r="E437" t="str">
            <v>KATIE KEAVENEY</v>
          </cell>
          <cell r="F437" t="str">
            <v>D (MD)</v>
          </cell>
          <cell r="G437">
            <v>328510</v>
          </cell>
          <cell r="H437" t="str">
            <v>Mayday</v>
          </cell>
          <cell r="I437">
            <v>0.3125</v>
          </cell>
          <cell r="J437">
            <v>0.64583333333333337</v>
          </cell>
          <cell r="K437">
            <v>7.6666666666666696</v>
          </cell>
          <cell r="L437">
            <v>321.82</v>
          </cell>
          <cell r="O437" t="str">
            <v>Y</v>
          </cell>
          <cell r="P437" t="str">
            <v>N</v>
          </cell>
          <cell r="Q437" t="str">
            <v>Extra Capacity</v>
          </cell>
          <cell r="S437">
            <v>0.2</v>
          </cell>
        </row>
        <row r="438">
          <cell r="D438">
            <v>808000329</v>
          </cell>
          <cell r="E438" t="str">
            <v>KATIE KEAVENEY</v>
          </cell>
          <cell r="F438" t="str">
            <v>D (MD)</v>
          </cell>
          <cell r="G438">
            <v>328510</v>
          </cell>
          <cell r="H438" t="str">
            <v>Mayday</v>
          </cell>
          <cell r="I438">
            <v>0.64583333333333337</v>
          </cell>
          <cell r="J438">
            <v>0.85416666666666663</v>
          </cell>
          <cell r="K438">
            <v>5</v>
          </cell>
          <cell r="L438">
            <v>209.89</v>
          </cell>
          <cell r="O438" t="str">
            <v>Y</v>
          </cell>
          <cell r="P438" t="str">
            <v>N</v>
          </cell>
          <cell r="Q438" t="str">
            <v>Extra Capacity</v>
          </cell>
          <cell r="S438">
            <v>0.13</v>
          </cell>
        </row>
        <row r="439">
          <cell r="D439">
            <v>808000385</v>
          </cell>
          <cell r="E439" t="str">
            <v>LEONA CONTRERAS</v>
          </cell>
          <cell r="F439" t="str">
            <v>D (MD)</v>
          </cell>
          <cell r="G439">
            <v>328444</v>
          </cell>
          <cell r="H439" t="str">
            <v>Mayday</v>
          </cell>
          <cell r="I439">
            <v>0.3125</v>
          </cell>
          <cell r="J439">
            <v>0.64583333333333337</v>
          </cell>
          <cell r="K439">
            <v>7.6666666666666696</v>
          </cell>
          <cell r="L439">
            <v>321.82</v>
          </cell>
          <cell r="O439" t="str">
            <v>Y</v>
          </cell>
          <cell r="P439" t="str">
            <v>N</v>
          </cell>
          <cell r="Q439" t="str">
            <v>Extra Capacity</v>
          </cell>
          <cell r="S439">
            <v>0.2</v>
          </cell>
        </row>
        <row r="440">
          <cell r="D440">
            <v>908002376</v>
          </cell>
          <cell r="E440" t="str">
            <v>NILO DANUGO</v>
          </cell>
          <cell r="F440" t="str">
            <v>D (Ch)</v>
          </cell>
          <cell r="G440">
            <v>16592</v>
          </cell>
          <cell r="H440" t="str">
            <v>Choice</v>
          </cell>
          <cell r="I440">
            <v>0.88541666666666663</v>
          </cell>
          <cell r="J440">
            <v>0.3125</v>
          </cell>
          <cell r="K440">
            <v>9.25</v>
          </cell>
          <cell r="L440">
            <v>293.05</v>
          </cell>
          <cell r="O440" t="str">
            <v>Y</v>
          </cell>
          <cell r="P440" t="str">
            <v>N</v>
          </cell>
          <cell r="Q440" t="str">
            <v>Extra Capacity</v>
          </cell>
          <cell r="S440">
            <v>0.25</v>
          </cell>
        </row>
        <row r="441">
          <cell r="D441">
            <v>808002508</v>
          </cell>
          <cell r="E441" t="str">
            <v>PAT DUBE</v>
          </cell>
          <cell r="F441" t="str">
            <v>D (MD)</v>
          </cell>
          <cell r="G441">
            <v>329283</v>
          </cell>
          <cell r="H441" t="str">
            <v>Mayday</v>
          </cell>
          <cell r="I441">
            <v>0.3125</v>
          </cell>
          <cell r="J441">
            <v>0.54166666666666663</v>
          </cell>
          <cell r="K441">
            <v>5</v>
          </cell>
          <cell r="L441">
            <v>209.89</v>
          </cell>
          <cell r="O441" t="str">
            <v>Y</v>
          </cell>
          <cell r="P441" t="str">
            <v>N</v>
          </cell>
          <cell r="Q441" t="str">
            <v>Vacancy</v>
          </cell>
          <cell r="S441">
            <v>0.13</v>
          </cell>
        </row>
        <row r="442">
          <cell r="D442">
            <v>908003655</v>
          </cell>
          <cell r="E442" t="str">
            <v>PAT DUBE</v>
          </cell>
          <cell r="F442" t="str">
            <v>D (MD)</v>
          </cell>
          <cell r="G442">
            <v>329286</v>
          </cell>
          <cell r="H442" t="str">
            <v>Mayday</v>
          </cell>
          <cell r="I442">
            <v>0.60416666666666663</v>
          </cell>
          <cell r="J442">
            <v>0.83333333333333337</v>
          </cell>
          <cell r="K442">
            <v>5.5</v>
          </cell>
          <cell r="L442">
            <v>230.87</v>
          </cell>
          <cell r="O442" t="str">
            <v>Y</v>
          </cell>
          <cell r="P442" t="str">
            <v>N</v>
          </cell>
          <cell r="Q442" t="str">
            <v>On-Call</v>
          </cell>
          <cell r="S442">
            <v>0.15</v>
          </cell>
        </row>
        <row r="443">
          <cell r="D443">
            <v>908002772</v>
          </cell>
          <cell r="E443" t="str">
            <v>PAT MTHETHWA</v>
          </cell>
          <cell r="F443" t="str">
            <v>D (Ch)</v>
          </cell>
          <cell r="G443">
            <v>16661</v>
          </cell>
          <cell r="H443" t="str">
            <v>Choice</v>
          </cell>
          <cell r="I443">
            <v>0.3125</v>
          </cell>
          <cell r="J443">
            <v>0.5625</v>
          </cell>
          <cell r="K443">
            <v>5.6666666666666696</v>
          </cell>
          <cell r="L443">
            <v>179.53</v>
          </cell>
          <cell r="O443" t="str">
            <v>Y</v>
          </cell>
          <cell r="P443" t="str">
            <v>N</v>
          </cell>
          <cell r="Q443" t="str">
            <v>Vacancy</v>
          </cell>
          <cell r="S443">
            <v>0.15</v>
          </cell>
        </row>
        <row r="444">
          <cell r="D444">
            <v>908003386</v>
          </cell>
          <cell r="E444" t="str">
            <v>PAT MTHETHWA</v>
          </cell>
          <cell r="F444" t="str">
            <v>D (Ch)</v>
          </cell>
          <cell r="G444">
            <v>16661</v>
          </cell>
          <cell r="H444" t="str">
            <v>Choice</v>
          </cell>
          <cell r="I444">
            <v>0.5625</v>
          </cell>
          <cell r="J444">
            <v>0.875</v>
          </cell>
          <cell r="K444">
            <v>7.1666666666666696</v>
          </cell>
          <cell r="L444">
            <v>227.05</v>
          </cell>
          <cell r="O444" t="str">
            <v>Y</v>
          </cell>
          <cell r="P444" t="str">
            <v>N</v>
          </cell>
          <cell r="Q444" t="str">
            <v>Short Term Sick</v>
          </cell>
          <cell r="S444">
            <v>0.19</v>
          </cell>
        </row>
        <row r="445">
          <cell r="D445">
            <v>908003207</v>
          </cell>
          <cell r="E445" t="str">
            <v>PAT MUGABZA</v>
          </cell>
          <cell r="F445" t="str">
            <v>A (Ch)</v>
          </cell>
          <cell r="G445">
            <v>16602</v>
          </cell>
          <cell r="H445" t="str">
            <v>Choice</v>
          </cell>
          <cell r="I445">
            <v>0.33333333333333331</v>
          </cell>
          <cell r="J445">
            <v>0.58333333333333337</v>
          </cell>
          <cell r="K445">
            <v>5.6666666666666696</v>
          </cell>
          <cell r="L445">
            <v>83.79</v>
          </cell>
          <cell r="O445" t="str">
            <v>Y</v>
          </cell>
          <cell r="P445" t="str">
            <v>N</v>
          </cell>
          <cell r="Q445" t="str">
            <v>Specials</v>
          </cell>
          <cell r="S445">
            <v>0.15</v>
          </cell>
        </row>
        <row r="446">
          <cell r="D446">
            <v>908003208</v>
          </cell>
          <cell r="E446" t="str">
            <v>PAT MUGABZA</v>
          </cell>
          <cell r="F446" t="str">
            <v>A (Ch)</v>
          </cell>
          <cell r="G446">
            <v>16602</v>
          </cell>
          <cell r="H446" t="str">
            <v>Choice</v>
          </cell>
          <cell r="I446">
            <v>0.58333333333333337</v>
          </cell>
          <cell r="J446">
            <v>0.83333333333333337</v>
          </cell>
          <cell r="K446">
            <v>5.6666666666666696</v>
          </cell>
          <cell r="L446">
            <v>83.79</v>
          </cell>
          <cell r="O446" t="str">
            <v>Y</v>
          </cell>
          <cell r="P446" t="str">
            <v>N</v>
          </cell>
          <cell r="Q446" t="str">
            <v>Specials</v>
          </cell>
          <cell r="S446">
            <v>0.15</v>
          </cell>
        </row>
        <row r="447">
          <cell r="D447">
            <v>908003064</v>
          </cell>
          <cell r="E447" t="str">
            <v>PRAVEEN CHINTHATANDU</v>
          </cell>
          <cell r="F447" t="str">
            <v>2 Gen (All)</v>
          </cell>
          <cell r="G447" t="str">
            <v>G1434638</v>
          </cell>
          <cell r="H447" t="str">
            <v xml:space="preserve">Allied </v>
          </cell>
          <cell r="I447">
            <v>0.83333333333333337</v>
          </cell>
          <cell r="J447">
            <v>0.33333333333333331</v>
          </cell>
          <cell r="K447">
            <v>11.3333333333333</v>
          </cell>
          <cell r="L447">
            <v>145.07</v>
          </cell>
          <cell r="O447" t="str">
            <v>Y</v>
          </cell>
          <cell r="P447" t="str">
            <v>N</v>
          </cell>
          <cell r="Q447" t="str">
            <v>Specials</v>
          </cell>
          <cell r="S447">
            <v>0.3</v>
          </cell>
        </row>
        <row r="448">
          <cell r="D448">
            <v>808000373</v>
          </cell>
          <cell r="E448" t="str">
            <v>PRUDENCE MAJOZI</v>
          </cell>
          <cell r="F448" t="str">
            <v>D (MD)</v>
          </cell>
          <cell r="G448">
            <v>328502</v>
          </cell>
          <cell r="H448" t="str">
            <v>Mayday</v>
          </cell>
          <cell r="I448">
            <v>0.3125</v>
          </cell>
          <cell r="J448">
            <v>0.64583333333333337</v>
          </cell>
          <cell r="K448">
            <v>7.6666666666666696</v>
          </cell>
          <cell r="L448">
            <v>321.82</v>
          </cell>
          <cell r="O448" t="str">
            <v>Y</v>
          </cell>
          <cell r="P448" t="str">
            <v>N</v>
          </cell>
          <cell r="Q448" t="str">
            <v>Extra Capacity</v>
          </cell>
          <cell r="S448">
            <v>0.2</v>
          </cell>
        </row>
        <row r="449">
          <cell r="D449">
            <v>808000413</v>
          </cell>
          <cell r="E449" t="str">
            <v>PRUDENCE MAJOZI</v>
          </cell>
          <cell r="F449" t="str">
            <v>D (MD)</v>
          </cell>
          <cell r="G449">
            <v>328502</v>
          </cell>
          <cell r="H449" t="str">
            <v>Mayday</v>
          </cell>
          <cell r="I449">
            <v>0.64583333333333337</v>
          </cell>
          <cell r="J449">
            <v>0.85416666666666663</v>
          </cell>
          <cell r="K449">
            <v>5</v>
          </cell>
          <cell r="L449">
            <v>209.89</v>
          </cell>
          <cell r="O449" t="str">
            <v>Y</v>
          </cell>
          <cell r="P449" t="str">
            <v>N</v>
          </cell>
          <cell r="Q449" t="str">
            <v>Extra Capacity</v>
          </cell>
          <cell r="S449">
            <v>0.13</v>
          </cell>
        </row>
        <row r="450">
          <cell r="D450">
            <v>808004816</v>
          </cell>
          <cell r="E450" t="str">
            <v>ROMMEL MAQUEDA</v>
          </cell>
          <cell r="F450" t="str">
            <v>D (Ch)</v>
          </cell>
          <cell r="H450" t="str">
            <v>Choice</v>
          </cell>
          <cell r="I450">
            <v>0.84375</v>
          </cell>
          <cell r="J450">
            <v>0.3125</v>
          </cell>
          <cell r="K450">
            <v>10.25</v>
          </cell>
          <cell r="L450">
            <v>324.73</v>
          </cell>
          <cell r="O450" t="str">
            <v>Y</v>
          </cell>
          <cell r="P450" t="str">
            <v>N</v>
          </cell>
          <cell r="Q450" t="str">
            <v>Vacancy</v>
          </cell>
          <cell r="S450">
            <v>0.27</v>
          </cell>
        </row>
        <row r="451">
          <cell r="D451">
            <v>808004807</v>
          </cell>
          <cell r="E451" t="str">
            <v>SAM KELEM</v>
          </cell>
          <cell r="F451" t="str">
            <v>D (Ch)</v>
          </cell>
          <cell r="H451" t="str">
            <v>Choice</v>
          </cell>
          <cell r="I451">
            <v>0.84375</v>
          </cell>
          <cell r="J451">
            <v>0.3125</v>
          </cell>
          <cell r="K451">
            <v>10.25</v>
          </cell>
          <cell r="L451">
            <v>324.73</v>
          </cell>
          <cell r="O451" t="str">
            <v>Y</v>
          </cell>
          <cell r="P451" t="str">
            <v>N</v>
          </cell>
          <cell r="Q451" t="str">
            <v>Vacancy</v>
          </cell>
          <cell r="S451">
            <v>0.27</v>
          </cell>
        </row>
        <row r="452">
          <cell r="D452">
            <v>908003354</v>
          </cell>
          <cell r="E452" t="str">
            <v>SEREELETSO MAITIYO</v>
          </cell>
          <cell r="F452" t="str">
            <v>D (Ch)</v>
          </cell>
          <cell r="G452">
            <v>16608</v>
          </cell>
          <cell r="H452" t="str">
            <v>Choice</v>
          </cell>
          <cell r="I452">
            <v>0.3125</v>
          </cell>
          <cell r="J452">
            <v>0.60416666666666663</v>
          </cell>
          <cell r="K452">
            <v>6.6666666666666696</v>
          </cell>
          <cell r="L452">
            <v>211.21</v>
          </cell>
          <cell r="O452" t="str">
            <v>Y</v>
          </cell>
          <cell r="P452" t="str">
            <v>N</v>
          </cell>
          <cell r="Q452" t="str">
            <v>Short Term Sick</v>
          </cell>
          <cell r="S452">
            <v>0.18</v>
          </cell>
        </row>
        <row r="453">
          <cell r="D453">
            <v>908003355</v>
          </cell>
          <cell r="E453" t="str">
            <v>SEREELETSO MAITIYO</v>
          </cell>
          <cell r="F453" t="str">
            <v>D (Ch)</v>
          </cell>
          <cell r="G453">
            <v>16608</v>
          </cell>
          <cell r="H453" t="str">
            <v>Choice</v>
          </cell>
          <cell r="I453">
            <v>0.60416666666666663</v>
          </cell>
          <cell r="J453">
            <v>0.85416666666666663</v>
          </cell>
          <cell r="K453">
            <v>5.6666666666666696</v>
          </cell>
          <cell r="L453">
            <v>179.53</v>
          </cell>
          <cell r="O453" t="str">
            <v>Y</v>
          </cell>
          <cell r="P453" t="str">
            <v>N</v>
          </cell>
          <cell r="Q453" t="str">
            <v>Short Term Sick</v>
          </cell>
          <cell r="S453">
            <v>0.15</v>
          </cell>
        </row>
        <row r="454">
          <cell r="D454">
            <v>808005152</v>
          </cell>
          <cell r="E454" t="str">
            <v>TARA MASSIE</v>
          </cell>
          <cell r="F454" t="str">
            <v>D (MD)</v>
          </cell>
          <cell r="G454">
            <v>328817</v>
          </cell>
          <cell r="H454" t="str">
            <v>Mayday</v>
          </cell>
          <cell r="I454">
            <v>0.625</v>
          </cell>
          <cell r="J454">
            <v>0.875</v>
          </cell>
          <cell r="K454">
            <v>5.6666666666666696</v>
          </cell>
          <cell r="L454">
            <v>237.87</v>
          </cell>
          <cell r="O454" t="str">
            <v>Y</v>
          </cell>
          <cell r="P454" t="str">
            <v>N</v>
          </cell>
          <cell r="Q454" t="str">
            <v>Vacancy</v>
          </cell>
          <cell r="S454">
            <v>0.15</v>
          </cell>
        </row>
        <row r="455">
          <cell r="D455">
            <v>908003387</v>
          </cell>
          <cell r="E455" t="str">
            <v>TRUST CHIWUNDURA</v>
          </cell>
          <cell r="F455" t="str">
            <v>A (Ch)</v>
          </cell>
          <cell r="G455">
            <v>16608</v>
          </cell>
          <cell r="H455" t="str">
            <v>Choice</v>
          </cell>
          <cell r="I455">
            <v>0.82291666666666663</v>
          </cell>
          <cell r="J455">
            <v>0.34375</v>
          </cell>
          <cell r="K455">
            <v>11.5</v>
          </cell>
          <cell r="L455">
            <v>170.05</v>
          </cell>
          <cell r="O455" t="str">
            <v>Y</v>
          </cell>
          <cell r="P455" t="str">
            <v>N</v>
          </cell>
          <cell r="Q455" t="str">
            <v>Vacancy</v>
          </cell>
          <cell r="S455">
            <v>0.31</v>
          </cell>
        </row>
        <row r="456">
          <cell r="D456">
            <v>908003664</v>
          </cell>
          <cell r="E456" t="str">
            <v>ADEOLA SOGBESAN</v>
          </cell>
          <cell r="F456" t="str">
            <v>D (MD)</v>
          </cell>
          <cell r="G456">
            <v>333650</v>
          </cell>
          <cell r="H456" t="str">
            <v>Mayday</v>
          </cell>
          <cell r="I456">
            <v>0.83333333333333337</v>
          </cell>
          <cell r="J456">
            <v>0.33333333333333331</v>
          </cell>
          <cell r="K456">
            <v>11.3333333333333</v>
          </cell>
          <cell r="L456">
            <v>585.53</v>
          </cell>
          <cell r="O456" t="str">
            <v>Y</v>
          </cell>
          <cell r="P456" t="str">
            <v>N</v>
          </cell>
          <cell r="Q456" t="str">
            <v>On-Call</v>
          </cell>
          <cell r="S456">
            <v>0.3</v>
          </cell>
        </row>
        <row r="457">
          <cell r="D457">
            <v>808004893</v>
          </cell>
          <cell r="E457" t="str">
            <v>ALMA DEPENA</v>
          </cell>
          <cell r="F457" t="str">
            <v>D (Ch)</v>
          </cell>
          <cell r="H457" t="str">
            <v>Choice</v>
          </cell>
          <cell r="I457">
            <v>0.83333333333333337</v>
          </cell>
          <cell r="J457">
            <v>0.33333333333333331</v>
          </cell>
          <cell r="K457">
            <v>11.3333333333333</v>
          </cell>
          <cell r="L457">
            <v>441.91</v>
          </cell>
          <cell r="O457" t="str">
            <v>Y</v>
          </cell>
          <cell r="P457" t="str">
            <v>N</v>
          </cell>
          <cell r="Q457" t="str">
            <v>Under Established</v>
          </cell>
          <cell r="S457">
            <v>0.3</v>
          </cell>
        </row>
        <row r="458">
          <cell r="D458">
            <v>908003541</v>
          </cell>
          <cell r="E458" t="str">
            <v>ATINUKE OKE-OLATUNDE</v>
          </cell>
          <cell r="F458" t="str">
            <v>D (MD)</v>
          </cell>
          <cell r="G458">
            <v>332195</v>
          </cell>
          <cell r="H458" t="str">
            <v>Mayday</v>
          </cell>
          <cell r="I458">
            <v>0.8125</v>
          </cell>
          <cell r="J458">
            <v>0.33333333333333331</v>
          </cell>
          <cell r="K458">
            <v>11.5</v>
          </cell>
          <cell r="L458">
            <v>594.14</v>
          </cell>
          <cell r="O458" t="str">
            <v>Y</v>
          </cell>
          <cell r="P458" t="str">
            <v>N</v>
          </cell>
          <cell r="Q458" t="str">
            <v>On-Call</v>
          </cell>
          <cell r="S458">
            <v>0.31</v>
          </cell>
        </row>
        <row r="459">
          <cell r="D459">
            <v>908003212</v>
          </cell>
          <cell r="E459" t="str">
            <v>AYO ONIKU</v>
          </cell>
          <cell r="F459" t="str">
            <v>2 Gen (All)</v>
          </cell>
          <cell r="G459" t="str">
            <v>G1434640</v>
          </cell>
          <cell r="H459" t="str">
            <v xml:space="preserve">Allied </v>
          </cell>
          <cell r="I459">
            <v>0.83333333333333337</v>
          </cell>
          <cell r="J459">
            <v>0.33333333333333331</v>
          </cell>
          <cell r="K459">
            <v>11.3333333333333</v>
          </cell>
          <cell r="L459">
            <v>181.33</v>
          </cell>
          <cell r="O459" t="str">
            <v>Y</v>
          </cell>
          <cell r="P459" t="str">
            <v>N</v>
          </cell>
          <cell r="Q459" t="str">
            <v>Specials</v>
          </cell>
          <cell r="S459">
            <v>0.3</v>
          </cell>
        </row>
        <row r="460">
          <cell r="D460">
            <v>808000358</v>
          </cell>
          <cell r="E460" t="str">
            <v>BEAUTY NGIDI</v>
          </cell>
          <cell r="F460" t="str">
            <v>D (MD)</v>
          </cell>
          <cell r="G460">
            <v>328445</v>
          </cell>
          <cell r="H460" t="str">
            <v>Mayday</v>
          </cell>
          <cell r="I460">
            <v>0.83333333333333337</v>
          </cell>
          <cell r="J460">
            <v>0.33333333333333331</v>
          </cell>
          <cell r="K460">
            <v>11.3333333333333</v>
          </cell>
          <cell r="L460">
            <v>585.53</v>
          </cell>
          <cell r="O460" t="str">
            <v>Y</v>
          </cell>
          <cell r="P460" t="str">
            <v>N</v>
          </cell>
          <cell r="Q460" t="str">
            <v>Extra Capacity</v>
          </cell>
          <cell r="S460">
            <v>0.3</v>
          </cell>
        </row>
        <row r="461">
          <cell r="D461">
            <v>808000302</v>
          </cell>
          <cell r="E461" t="str">
            <v>BERNADETTE SHINYA-NDUNUWANI</v>
          </cell>
          <cell r="F461" t="str">
            <v>D (MD)</v>
          </cell>
          <cell r="G461">
            <v>330276</v>
          </cell>
          <cell r="H461" t="str">
            <v>Mayday</v>
          </cell>
          <cell r="I461">
            <v>0.3125</v>
          </cell>
          <cell r="J461">
            <v>0.64583333333333337</v>
          </cell>
          <cell r="K461">
            <v>7.6666666666666696</v>
          </cell>
          <cell r="L461">
            <v>396.09</v>
          </cell>
          <cell r="O461" t="str">
            <v>Y</v>
          </cell>
          <cell r="P461" t="str">
            <v>N</v>
          </cell>
          <cell r="Q461" t="str">
            <v>Extra Capacity</v>
          </cell>
          <cell r="S461">
            <v>0.2</v>
          </cell>
        </row>
        <row r="462">
          <cell r="D462">
            <v>808000330</v>
          </cell>
          <cell r="E462" t="str">
            <v>BERNADETTE SHINYA-NDUNUWANI</v>
          </cell>
          <cell r="F462" t="str">
            <v>D (MD)</v>
          </cell>
          <cell r="G462">
            <v>330276</v>
          </cell>
          <cell r="H462" t="str">
            <v>Mayday</v>
          </cell>
          <cell r="I462">
            <v>0.64583333333333337</v>
          </cell>
          <cell r="J462">
            <v>0.85416666666666663</v>
          </cell>
          <cell r="K462">
            <v>5</v>
          </cell>
          <cell r="L462">
            <v>258.32</v>
          </cell>
          <cell r="O462" t="str">
            <v>Y</v>
          </cell>
          <cell r="P462" t="str">
            <v>N</v>
          </cell>
          <cell r="Q462" t="str">
            <v>Extra Capacity</v>
          </cell>
          <cell r="S462">
            <v>0.13</v>
          </cell>
        </row>
        <row r="463">
          <cell r="D463">
            <v>808000386</v>
          </cell>
          <cell r="E463" t="str">
            <v>BRIGHTNESS NDEBELE</v>
          </cell>
          <cell r="F463" t="str">
            <v>D (MD)</v>
          </cell>
          <cell r="G463">
            <v>328470</v>
          </cell>
          <cell r="H463" t="str">
            <v>Mayday</v>
          </cell>
          <cell r="I463">
            <v>0.3125</v>
          </cell>
          <cell r="J463">
            <v>0.64583333333333337</v>
          </cell>
          <cell r="K463">
            <v>7.6666666666666696</v>
          </cell>
          <cell r="L463">
            <v>396.09</v>
          </cell>
          <cell r="O463" t="str">
            <v>Y</v>
          </cell>
          <cell r="P463" t="str">
            <v>N</v>
          </cell>
          <cell r="Q463" t="str">
            <v>Extra Capacity</v>
          </cell>
          <cell r="S463">
            <v>0.2</v>
          </cell>
        </row>
        <row r="464">
          <cell r="D464">
            <v>908003550</v>
          </cell>
          <cell r="E464" t="str">
            <v>DIAGRET MGANDELE</v>
          </cell>
          <cell r="F464" t="str">
            <v>D (MD)</v>
          </cell>
          <cell r="H464" t="str">
            <v>Mayday</v>
          </cell>
          <cell r="I464">
            <v>0.82291666666666663</v>
          </cell>
          <cell r="J464">
            <v>0.34375</v>
          </cell>
          <cell r="K464">
            <v>11.5</v>
          </cell>
          <cell r="L464">
            <v>594.14</v>
          </cell>
          <cell r="O464" t="str">
            <v>Y</v>
          </cell>
          <cell r="P464" t="str">
            <v>N</v>
          </cell>
          <cell r="Q464" t="str">
            <v>On-Call</v>
          </cell>
          <cell r="S464">
            <v>0.31</v>
          </cell>
        </row>
        <row r="465">
          <cell r="D465">
            <v>908003066</v>
          </cell>
          <cell r="E465" t="str">
            <v>DOROTHY MUTHWA (lilbeth labajo)</v>
          </cell>
          <cell r="F465" t="str">
            <v>A (Ch)</v>
          </cell>
          <cell r="G465">
            <v>16604</v>
          </cell>
          <cell r="H465" t="str">
            <v>Choice</v>
          </cell>
          <cell r="I465">
            <v>0.33333333333333331</v>
          </cell>
          <cell r="J465">
            <v>0.58333333333333337</v>
          </cell>
          <cell r="K465">
            <v>5.6666666666666696</v>
          </cell>
          <cell r="L465">
            <v>104.74</v>
          </cell>
          <cell r="O465" t="str">
            <v>Y</v>
          </cell>
          <cell r="P465" t="str">
            <v>N</v>
          </cell>
          <cell r="Q465" t="str">
            <v>Specials</v>
          </cell>
          <cell r="S465">
            <v>0.15</v>
          </cell>
        </row>
        <row r="466">
          <cell r="D466">
            <v>908003067</v>
          </cell>
          <cell r="E466" t="str">
            <v>DOROTHY MUTHWA (lilbeth labajo)</v>
          </cell>
          <cell r="F466" t="str">
            <v>A (Ch)</v>
          </cell>
          <cell r="G466">
            <v>16604</v>
          </cell>
          <cell r="H466" t="str">
            <v>Choice</v>
          </cell>
          <cell r="I466">
            <v>0.58333333333333337</v>
          </cell>
          <cell r="J466">
            <v>0.83333333333333337</v>
          </cell>
          <cell r="K466">
            <v>5.6666666666666696</v>
          </cell>
          <cell r="L466">
            <v>104.74</v>
          </cell>
          <cell r="O466" t="str">
            <v>Y</v>
          </cell>
          <cell r="P466" t="str">
            <v>N</v>
          </cell>
          <cell r="Q466" t="str">
            <v>Specials</v>
          </cell>
          <cell r="S466">
            <v>0.15</v>
          </cell>
        </row>
        <row r="467">
          <cell r="D467">
            <v>908002378</v>
          </cell>
          <cell r="E467" t="str">
            <v>EGNESS MONAISA</v>
          </cell>
          <cell r="F467" t="str">
            <v>D (Ch)</v>
          </cell>
          <cell r="G467">
            <v>16732</v>
          </cell>
          <cell r="H467" t="str">
            <v>Choice</v>
          </cell>
          <cell r="I467">
            <v>0.88541666666666663</v>
          </cell>
          <cell r="J467">
            <v>0.3125</v>
          </cell>
          <cell r="K467">
            <v>9.25</v>
          </cell>
          <cell r="L467">
            <v>360.68</v>
          </cell>
          <cell r="O467" t="str">
            <v>Y</v>
          </cell>
          <cell r="P467" t="str">
            <v>N</v>
          </cell>
          <cell r="Q467" t="str">
            <v>Extra Capacity</v>
          </cell>
          <cell r="S467">
            <v>0.25</v>
          </cell>
        </row>
        <row r="468">
          <cell r="D468">
            <v>908003532</v>
          </cell>
          <cell r="E468" t="str">
            <v>EMMA FLIT-ELY</v>
          </cell>
          <cell r="F468" t="str">
            <v>D (Ch)</v>
          </cell>
          <cell r="G468">
            <v>16605</v>
          </cell>
          <cell r="H468" t="str">
            <v>Choice</v>
          </cell>
          <cell r="I468">
            <v>0.58333333333333337</v>
          </cell>
          <cell r="J468">
            <v>0.83333333333333337</v>
          </cell>
          <cell r="K468">
            <v>5.5</v>
          </cell>
          <cell r="L468">
            <v>214.46</v>
          </cell>
          <cell r="O468" t="str">
            <v>Y</v>
          </cell>
          <cell r="P468" t="str">
            <v>N</v>
          </cell>
          <cell r="Q468" t="str">
            <v>On-Call</v>
          </cell>
          <cell r="S468">
            <v>0.15</v>
          </cell>
        </row>
        <row r="469">
          <cell r="D469">
            <v>908003552</v>
          </cell>
          <cell r="E469" t="str">
            <v>EMMA FLIT-ELY</v>
          </cell>
          <cell r="F469" t="str">
            <v>D (Ch)</v>
          </cell>
          <cell r="G469">
            <v>16605</v>
          </cell>
          <cell r="H469" t="str">
            <v>Choice</v>
          </cell>
          <cell r="I469">
            <v>0.3125</v>
          </cell>
          <cell r="J469">
            <v>0.58333333333333337</v>
          </cell>
          <cell r="K469">
            <v>6</v>
          </cell>
          <cell r="L469">
            <v>233.95</v>
          </cell>
          <cell r="O469" t="str">
            <v>Y</v>
          </cell>
          <cell r="P469" t="str">
            <v>N</v>
          </cell>
          <cell r="Q469" t="str">
            <v>On-Call</v>
          </cell>
          <cell r="S469">
            <v>0.16</v>
          </cell>
        </row>
        <row r="470">
          <cell r="D470">
            <v>908003068</v>
          </cell>
          <cell r="E470" t="str">
            <v>GEORGE GARCIA</v>
          </cell>
          <cell r="F470" t="str">
            <v>2 Gen (All)</v>
          </cell>
          <cell r="G470" t="str">
            <v>G1440815</v>
          </cell>
          <cell r="H470" t="str">
            <v xml:space="preserve">Allied </v>
          </cell>
          <cell r="I470">
            <v>0.83333333333333337</v>
          </cell>
          <cell r="J470">
            <v>0.33333333333333331</v>
          </cell>
          <cell r="K470">
            <v>11.3333333333333</v>
          </cell>
          <cell r="L470">
            <v>181.33</v>
          </cell>
          <cell r="O470" t="str">
            <v>Y</v>
          </cell>
          <cell r="P470" t="str">
            <v>N</v>
          </cell>
          <cell r="Q470" t="str">
            <v>Specials</v>
          </cell>
          <cell r="S470">
            <v>0.3</v>
          </cell>
        </row>
        <row r="471">
          <cell r="D471">
            <v>908003670</v>
          </cell>
          <cell r="E471" t="str">
            <v>GEORGE MALETE</v>
          </cell>
          <cell r="F471" t="str">
            <v>A (Ch)</v>
          </cell>
          <cell r="G471">
            <v>16862</v>
          </cell>
          <cell r="H471" t="str">
            <v>Choice</v>
          </cell>
          <cell r="I471">
            <v>0.5625</v>
          </cell>
          <cell r="J471">
            <v>0.875</v>
          </cell>
          <cell r="K471">
            <v>7.1666666666666696</v>
          </cell>
          <cell r="L471">
            <v>132.46</v>
          </cell>
          <cell r="O471" t="str">
            <v>Y</v>
          </cell>
          <cell r="P471" t="str">
            <v>N</v>
          </cell>
          <cell r="Q471" t="str">
            <v>On-Call</v>
          </cell>
          <cell r="S471">
            <v>0.19</v>
          </cell>
        </row>
        <row r="472">
          <cell r="D472">
            <v>808004894</v>
          </cell>
          <cell r="E472" t="str">
            <v>GLENDA RONA</v>
          </cell>
          <cell r="F472" t="str">
            <v>D (Ch)</v>
          </cell>
          <cell r="H472" t="str">
            <v>Choice</v>
          </cell>
          <cell r="I472">
            <v>0.83333333333333337</v>
          </cell>
          <cell r="J472">
            <v>0.33333333333333331</v>
          </cell>
          <cell r="K472">
            <v>11.3333333333333</v>
          </cell>
          <cell r="L472">
            <v>441.91</v>
          </cell>
          <cell r="O472" t="str">
            <v>Y</v>
          </cell>
          <cell r="P472" t="str">
            <v>N</v>
          </cell>
          <cell r="Q472" t="str">
            <v>Under Established</v>
          </cell>
          <cell r="S472">
            <v>0.3</v>
          </cell>
        </row>
        <row r="473">
          <cell r="D473">
            <v>908003316</v>
          </cell>
          <cell r="E473" t="str">
            <v>HILDA SHANGE</v>
          </cell>
          <cell r="F473" t="str">
            <v>D (Ch)</v>
          </cell>
          <cell r="G473">
            <v>16750</v>
          </cell>
          <cell r="H473" t="str">
            <v>Choice</v>
          </cell>
          <cell r="I473">
            <v>0.8125</v>
          </cell>
          <cell r="J473">
            <v>0.33333333333333331</v>
          </cell>
          <cell r="K473">
            <v>11.8333333333333</v>
          </cell>
          <cell r="L473">
            <v>461.41</v>
          </cell>
          <cell r="O473" t="str">
            <v>Y</v>
          </cell>
          <cell r="P473" t="str">
            <v>N</v>
          </cell>
          <cell r="Q473" t="str">
            <v>Extra Capacity</v>
          </cell>
          <cell r="S473">
            <v>0.32</v>
          </cell>
        </row>
        <row r="474">
          <cell r="D474">
            <v>808000400</v>
          </cell>
          <cell r="E474" t="str">
            <v>JEAN NGONA</v>
          </cell>
          <cell r="F474" t="str">
            <v>D (MD)</v>
          </cell>
          <cell r="G474">
            <v>330248</v>
          </cell>
          <cell r="H474" t="str">
            <v>Mayday</v>
          </cell>
          <cell r="I474">
            <v>0.52083333333333337</v>
          </cell>
          <cell r="J474">
            <v>0.85416666666666663</v>
          </cell>
          <cell r="K474">
            <v>7.6666666666666696</v>
          </cell>
          <cell r="L474">
            <v>396.09</v>
          </cell>
          <cell r="O474" t="str">
            <v>Y</v>
          </cell>
          <cell r="P474" t="str">
            <v>N</v>
          </cell>
          <cell r="Q474" t="str">
            <v>Extra Capacity</v>
          </cell>
          <cell r="S474">
            <v>0.2</v>
          </cell>
        </row>
        <row r="475">
          <cell r="D475">
            <v>908003551</v>
          </cell>
          <cell r="E475" t="str">
            <v>JOY MABITLE</v>
          </cell>
          <cell r="F475" t="str">
            <v>D (MD)</v>
          </cell>
          <cell r="G475">
            <v>339136</v>
          </cell>
          <cell r="H475" t="str">
            <v>Mayday</v>
          </cell>
          <cell r="I475">
            <v>0.88541666666666663</v>
          </cell>
          <cell r="J475">
            <v>0.3125</v>
          </cell>
          <cell r="K475">
            <v>9.9166666666666696</v>
          </cell>
          <cell r="L475">
            <v>512.33000000000004</v>
          </cell>
          <cell r="O475" t="str">
            <v>Y</v>
          </cell>
          <cell r="P475" t="str">
            <v>N</v>
          </cell>
          <cell r="Q475" t="str">
            <v>On-Call</v>
          </cell>
          <cell r="S475">
            <v>0.26</v>
          </cell>
        </row>
        <row r="476">
          <cell r="D476">
            <v>808003457</v>
          </cell>
          <cell r="E476" t="str">
            <v>KATIE KEAVENEY</v>
          </cell>
          <cell r="F476" t="str">
            <v>D (MD)</v>
          </cell>
          <cell r="G476">
            <v>328507</v>
          </cell>
          <cell r="H476" t="str">
            <v>Mayday</v>
          </cell>
          <cell r="I476">
            <v>0.625</v>
          </cell>
          <cell r="J476">
            <v>0.875</v>
          </cell>
          <cell r="K476">
            <v>6</v>
          </cell>
          <cell r="L476">
            <v>309.98</v>
          </cell>
          <cell r="O476" t="str">
            <v>Y</v>
          </cell>
          <cell r="P476" t="str">
            <v>N</v>
          </cell>
          <cell r="Q476" t="str">
            <v>Vacancy</v>
          </cell>
          <cell r="S476">
            <v>0.16</v>
          </cell>
        </row>
        <row r="477">
          <cell r="D477">
            <v>908001049</v>
          </cell>
          <cell r="E477" t="str">
            <v>KATIE KEAVENEY</v>
          </cell>
          <cell r="F477" t="str">
            <v>D (MD)</v>
          </cell>
          <cell r="G477">
            <v>328507</v>
          </cell>
          <cell r="H477" t="str">
            <v>Mayday</v>
          </cell>
          <cell r="I477">
            <v>0.3125</v>
          </cell>
          <cell r="J477">
            <v>0.5625</v>
          </cell>
          <cell r="K477">
            <v>5.6666666666666696</v>
          </cell>
          <cell r="L477">
            <v>292.76</v>
          </cell>
          <cell r="O477" t="str">
            <v>Y</v>
          </cell>
          <cell r="P477" t="str">
            <v>N</v>
          </cell>
          <cell r="Q477" t="str">
            <v>Vacancy</v>
          </cell>
          <cell r="S477">
            <v>0.15</v>
          </cell>
        </row>
        <row r="478">
          <cell r="D478">
            <v>908002380</v>
          </cell>
          <cell r="E478" t="str">
            <v>KERRI GALLOWAY</v>
          </cell>
          <cell r="F478" t="str">
            <v>D (MD)</v>
          </cell>
          <cell r="G478">
            <v>328527</v>
          </cell>
          <cell r="H478" t="str">
            <v>Mayday</v>
          </cell>
          <cell r="I478">
            <v>0.5625</v>
          </cell>
          <cell r="J478">
            <v>0.89583333333333337</v>
          </cell>
          <cell r="K478">
            <v>7.6666666666666696</v>
          </cell>
          <cell r="L478">
            <v>396.09</v>
          </cell>
          <cell r="O478" t="str">
            <v>Y</v>
          </cell>
          <cell r="P478" t="str">
            <v>N</v>
          </cell>
          <cell r="Q478" t="str">
            <v>Extra Capacity</v>
          </cell>
          <cell r="S478">
            <v>0.2</v>
          </cell>
        </row>
        <row r="479">
          <cell r="D479">
            <v>908003314</v>
          </cell>
          <cell r="E479" t="str">
            <v>KERRI GALLOWAY</v>
          </cell>
          <cell r="F479" t="str">
            <v>D (MD)</v>
          </cell>
          <cell r="G479">
            <v>328526</v>
          </cell>
          <cell r="H479" t="str">
            <v>Mayday</v>
          </cell>
          <cell r="I479">
            <v>0.30208333333333331</v>
          </cell>
          <cell r="J479">
            <v>0.54166666666666663</v>
          </cell>
          <cell r="K479">
            <v>5.6666666666666696</v>
          </cell>
          <cell r="L479">
            <v>292.76</v>
          </cell>
          <cell r="O479" t="str">
            <v>Y</v>
          </cell>
          <cell r="P479" t="str">
            <v>N</v>
          </cell>
          <cell r="Q479" t="str">
            <v>Extra Capacity</v>
          </cell>
          <cell r="S479">
            <v>0.15</v>
          </cell>
        </row>
        <row r="480">
          <cell r="D480">
            <v>808000308</v>
          </cell>
          <cell r="E480" t="str">
            <v>LEONA CONTRERAS</v>
          </cell>
          <cell r="F480" t="str">
            <v>D (MD)</v>
          </cell>
          <cell r="G480">
            <v>328442</v>
          </cell>
          <cell r="H480" t="str">
            <v>Mayday</v>
          </cell>
          <cell r="I480">
            <v>0.3125</v>
          </cell>
          <cell r="J480">
            <v>0.52083333333333337</v>
          </cell>
          <cell r="K480">
            <v>5</v>
          </cell>
          <cell r="L480">
            <v>258.32</v>
          </cell>
          <cell r="O480" t="str">
            <v>Y</v>
          </cell>
          <cell r="P480" t="str">
            <v>N</v>
          </cell>
          <cell r="Q480" t="str">
            <v>Extra Capacity</v>
          </cell>
          <cell r="S480">
            <v>0.13</v>
          </cell>
        </row>
        <row r="481">
          <cell r="D481">
            <v>808000337</v>
          </cell>
          <cell r="E481" t="str">
            <v>LEONA CONTRERAS</v>
          </cell>
          <cell r="F481" t="str">
            <v>D (MD)</v>
          </cell>
          <cell r="G481">
            <v>328442</v>
          </cell>
          <cell r="H481" t="str">
            <v>Mayday</v>
          </cell>
          <cell r="I481">
            <v>0.52083333333333337</v>
          </cell>
          <cell r="J481">
            <v>0.85416666666666663</v>
          </cell>
          <cell r="K481">
            <v>7.6666666666666696</v>
          </cell>
          <cell r="L481">
            <v>396.09</v>
          </cell>
          <cell r="O481" t="str">
            <v>Y</v>
          </cell>
          <cell r="P481" t="str">
            <v>N</v>
          </cell>
          <cell r="Q481" t="str">
            <v>Extra Capacity</v>
          </cell>
          <cell r="S481">
            <v>0.2</v>
          </cell>
        </row>
        <row r="482">
          <cell r="D482">
            <v>908003548</v>
          </cell>
          <cell r="E482" t="str">
            <v>LETECIA MENIANO</v>
          </cell>
          <cell r="F482" t="str">
            <v>D (Ch)</v>
          </cell>
          <cell r="G482">
            <v>16614</v>
          </cell>
          <cell r="H482" t="str">
            <v>Choice</v>
          </cell>
          <cell r="I482">
            <v>0.8125</v>
          </cell>
          <cell r="J482">
            <v>0.33333333333333331</v>
          </cell>
          <cell r="K482">
            <v>11.8333333333333</v>
          </cell>
          <cell r="L482">
            <v>461.41</v>
          </cell>
          <cell r="O482" t="str">
            <v>Y</v>
          </cell>
          <cell r="P482" t="str">
            <v>N</v>
          </cell>
          <cell r="Q482" t="str">
            <v>Extra Capacity</v>
          </cell>
          <cell r="S482">
            <v>0.32</v>
          </cell>
        </row>
        <row r="483">
          <cell r="D483">
            <v>908001387</v>
          </cell>
          <cell r="E483" t="str">
            <v>NILO DANUGO</v>
          </cell>
          <cell r="F483" t="str">
            <v>D (Ch)</v>
          </cell>
          <cell r="G483">
            <v>16609</v>
          </cell>
          <cell r="H483" t="str">
            <v>Choice</v>
          </cell>
          <cell r="I483">
            <v>0.875</v>
          </cell>
          <cell r="J483">
            <v>0.30208333333333331</v>
          </cell>
          <cell r="K483">
            <v>9.9166666666666696</v>
          </cell>
          <cell r="L483">
            <v>386.67</v>
          </cell>
          <cell r="O483" t="str">
            <v>Y</v>
          </cell>
          <cell r="P483" t="str">
            <v>N</v>
          </cell>
          <cell r="Q483" t="str">
            <v>Vacancy</v>
          </cell>
          <cell r="S483">
            <v>0.26</v>
          </cell>
        </row>
        <row r="484">
          <cell r="D484">
            <v>808000314</v>
          </cell>
          <cell r="E484" t="str">
            <v>PAT DUBE</v>
          </cell>
          <cell r="F484" t="str">
            <v>D (MD)</v>
          </cell>
          <cell r="G484">
            <v>330268</v>
          </cell>
          <cell r="H484" t="str">
            <v>Mayday</v>
          </cell>
          <cell r="I484">
            <v>0.3125</v>
          </cell>
          <cell r="J484">
            <v>0.64583333333333337</v>
          </cell>
          <cell r="K484">
            <v>7.6666666666666696</v>
          </cell>
          <cell r="L484">
            <v>396.09</v>
          </cell>
          <cell r="O484" t="str">
            <v>Y</v>
          </cell>
          <cell r="P484" t="str">
            <v>N</v>
          </cell>
          <cell r="Q484" t="str">
            <v>Extra Capacity</v>
          </cell>
          <cell r="S484">
            <v>0.2</v>
          </cell>
        </row>
        <row r="485">
          <cell r="D485">
            <v>808004987</v>
          </cell>
          <cell r="E485" t="str">
            <v>PAT MTHETHWA</v>
          </cell>
          <cell r="F485" t="str">
            <v>D (Ch)</v>
          </cell>
          <cell r="G485">
            <v>16606</v>
          </cell>
          <cell r="H485" t="str">
            <v>Choice</v>
          </cell>
          <cell r="I485">
            <v>0.60416666666666663</v>
          </cell>
          <cell r="J485">
            <v>0.8125</v>
          </cell>
          <cell r="K485">
            <v>4.5</v>
          </cell>
          <cell r="L485">
            <v>175.46</v>
          </cell>
          <cell r="O485" t="str">
            <v>Y</v>
          </cell>
          <cell r="P485" t="str">
            <v>N</v>
          </cell>
          <cell r="Q485" t="str">
            <v>Vacancy</v>
          </cell>
          <cell r="S485">
            <v>0.12</v>
          </cell>
        </row>
        <row r="486">
          <cell r="D486">
            <v>908003196</v>
          </cell>
          <cell r="E486" t="str">
            <v>PAT MTHETHWA</v>
          </cell>
          <cell r="F486" t="str">
            <v>D (Ch)</v>
          </cell>
          <cell r="G486">
            <v>16611</v>
          </cell>
          <cell r="H486" t="str">
            <v>Choice</v>
          </cell>
          <cell r="I486">
            <v>0.3125</v>
          </cell>
          <cell r="J486">
            <v>0.625</v>
          </cell>
          <cell r="K486">
            <v>7.1666666666666696</v>
          </cell>
          <cell r="L486">
            <v>279.44</v>
          </cell>
          <cell r="O486" t="str">
            <v>Y</v>
          </cell>
          <cell r="P486" t="str">
            <v>N</v>
          </cell>
          <cell r="Q486" t="str">
            <v>Extra Capacity</v>
          </cell>
          <cell r="S486">
            <v>0.19</v>
          </cell>
        </row>
        <row r="487">
          <cell r="D487">
            <v>908003210</v>
          </cell>
          <cell r="E487" t="str">
            <v>PAT MUGABZA</v>
          </cell>
          <cell r="F487" t="str">
            <v>A (Ch)</v>
          </cell>
          <cell r="H487" t="str">
            <v>Choice</v>
          </cell>
          <cell r="I487">
            <v>0.33333333333333331</v>
          </cell>
          <cell r="J487">
            <v>0.58333333333333337</v>
          </cell>
          <cell r="K487">
            <v>5.6666666666666696</v>
          </cell>
          <cell r="L487">
            <v>104.74</v>
          </cell>
          <cell r="O487" t="str">
            <v>Y</v>
          </cell>
          <cell r="P487" t="str">
            <v>N</v>
          </cell>
          <cell r="Q487" t="str">
            <v>Specials</v>
          </cell>
          <cell r="S487">
            <v>0.15</v>
          </cell>
        </row>
        <row r="488">
          <cell r="D488">
            <v>908003211</v>
          </cell>
          <cell r="E488" t="str">
            <v>PAT MUGABZA</v>
          </cell>
          <cell r="F488" t="str">
            <v>A (Ch)</v>
          </cell>
          <cell r="H488" t="str">
            <v>Choice</v>
          </cell>
          <cell r="I488">
            <v>0.58333333333333337</v>
          </cell>
          <cell r="J488">
            <v>0.83333333333333337</v>
          </cell>
          <cell r="K488">
            <v>5.6666666666666696</v>
          </cell>
          <cell r="L488">
            <v>104.74</v>
          </cell>
          <cell r="O488" t="str">
            <v>Y</v>
          </cell>
          <cell r="P488" t="str">
            <v>N</v>
          </cell>
          <cell r="Q488" t="str">
            <v>Specials</v>
          </cell>
          <cell r="S488">
            <v>0.15</v>
          </cell>
        </row>
        <row r="489">
          <cell r="D489">
            <v>908003396</v>
          </cell>
          <cell r="E489" t="str">
            <v>PEGGY MAPOGO</v>
          </cell>
          <cell r="F489" t="str">
            <v>D (Ch)</v>
          </cell>
          <cell r="G489">
            <v>16661</v>
          </cell>
          <cell r="H489" t="str">
            <v>Choice</v>
          </cell>
          <cell r="I489">
            <v>0.3125</v>
          </cell>
          <cell r="J489">
            <v>0.89583333333333337</v>
          </cell>
          <cell r="K489">
            <v>13.3333333333333</v>
          </cell>
          <cell r="L489">
            <v>519.89</v>
          </cell>
          <cell r="O489" t="str">
            <v>Y</v>
          </cell>
          <cell r="P489" t="str">
            <v>N</v>
          </cell>
          <cell r="Q489" t="str">
            <v>Vacancy</v>
          </cell>
          <cell r="S489">
            <v>0.36</v>
          </cell>
        </row>
        <row r="490">
          <cell r="D490">
            <v>908003388</v>
          </cell>
          <cell r="E490" t="str">
            <v>RICHARD JAMBAYA</v>
          </cell>
          <cell r="F490" t="str">
            <v>A (Ch)</v>
          </cell>
          <cell r="G490">
            <v>16686</v>
          </cell>
          <cell r="H490" t="str">
            <v>Choice</v>
          </cell>
          <cell r="I490">
            <v>0.32291666666666669</v>
          </cell>
          <cell r="J490">
            <v>0.54166666666666663</v>
          </cell>
          <cell r="K490">
            <v>5.25</v>
          </cell>
          <cell r="L490">
            <v>97.04</v>
          </cell>
          <cell r="O490" t="str">
            <v>Y</v>
          </cell>
          <cell r="P490" t="str">
            <v>N</v>
          </cell>
          <cell r="Q490" t="str">
            <v>Vacancy</v>
          </cell>
          <cell r="S490">
            <v>0.14000000000000001</v>
          </cell>
        </row>
        <row r="491">
          <cell r="D491">
            <v>908003389</v>
          </cell>
          <cell r="E491" t="str">
            <v>RICHARD JAMBAYA</v>
          </cell>
          <cell r="F491" t="str">
            <v>A (Ch)</v>
          </cell>
          <cell r="G491">
            <v>16686</v>
          </cell>
          <cell r="H491" t="str">
            <v>Choice</v>
          </cell>
          <cell r="I491">
            <v>0.58333333333333337</v>
          </cell>
          <cell r="J491">
            <v>0.83333333333333337</v>
          </cell>
          <cell r="K491">
            <v>5.6666666666666696</v>
          </cell>
          <cell r="L491">
            <v>104.74</v>
          </cell>
          <cell r="O491" t="str">
            <v>Y</v>
          </cell>
          <cell r="P491" t="str">
            <v>N</v>
          </cell>
          <cell r="Q491" t="str">
            <v>Vacancy</v>
          </cell>
          <cell r="S491">
            <v>0.15</v>
          </cell>
        </row>
        <row r="492">
          <cell r="D492">
            <v>908002377</v>
          </cell>
          <cell r="E492" t="str">
            <v>RODA RAMERIZ</v>
          </cell>
          <cell r="F492" t="str">
            <v>D (Ch)</v>
          </cell>
          <cell r="G492">
            <v>16592</v>
          </cell>
          <cell r="H492" t="str">
            <v>Choice</v>
          </cell>
          <cell r="I492">
            <v>0.88541666666666663</v>
          </cell>
          <cell r="J492">
            <v>0.3125</v>
          </cell>
          <cell r="K492">
            <v>9.25</v>
          </cell>
          <cell r="L492">
            <v>360.68</v>
          </cell>
          <cell r="O492" t="str">
            <v>Y</v>
          </cell>
          <cell r="P492" t="str">
            <v>N</v>
          </cell>
          <cell r="Q492" t="str">
            <v>Extra Capacity</v>
          </cell>
          <cell r="S492">
            <v>0.25</v>
          </cell>
        </row>
        <row r="493">
          <cell r="D493">
            <v>908003199</v>
          </cell>
          <cell r="E493" t="str">
            <v>SAM KELEM</v>
          </cell>
          <cell r="F493" t="str">
            <v>D (Ch)</v>
          </cell>
          <cell r="G493">
            <v>16611</v>
          </cell>
          <cell r="H493" t="str">
            <v>Choice</v>
          </cell>
          <cell r="I493">
            <v>0.89583333333333337</v>
          </cell>
          <cell r="J493">
            <v>0.3125</v>
          </cell>
          <cell r="K493">
            <v>9.6666666666666696</v>
          </cell>
          <cell r="L493">
            <v>376.92</v>
          </cell>
          <cell r="O493" t="str">
            <v>Y</v>
          </cell>
          <cell r="P493" t="str">
            <v>N</v>
          </cell>
          <cell r="Q493" t="str">
            <v>Extra Capacity</v>
          </cell>
          <cell r="S493">
            <v>0.26</v>
          </cell>
        </row>
        <row r="494">
          <cell r="D494">
            <v>808000380</v>
          </cell>
          <cell r="E494" t="str">
            <v>SAMANTHA BICK</v>
          </cell>
          <cell r="F494" t="str">
            <v>D (MD)</v>
          </cell>
          <cell r="G494">
            <v>328471</v>
          </cell>
          <cell r="H494" t="str">
            <v>Mayday</v>
          </cell>
          <cell r="I494">
            <v>0.3125</v>
          </cell>
          <cell r="J494">
            <v>0.64583333333333337</v>
          </cell>
          <cell r="K494">
            <v>7.6666666666666696</v>
          </cell>
          <cell r="L494">
            <v>396.09</v>
          </cell>
          <cell r="O494" t="str">
            <v>Y</v>
          </cell>
          <cell r="P494" t="str">
            <v>N</v>
          </cell>
          <cell r="Q494" t="str">
            <v>Extra Capacity</v>
          </cell>
          <cell r="S494">
            <v>0.2</v>
          </cell>
        </row>
        <row r="495">
          <cell r="D495">
            <v>908003397</v>
          </cell>
          <cell r="E495" t="str">
            <v>TEMBE NGIDI</v>
          </cell>
          <cell r="F495" t="str">
            <v>D (MD)</v>
          </cell>
          <cell r="G495">
            <v>328466</v>
          </cell>
          <cell r="H495" t="str">
            <v>Mayday</v>
          </cell>
          <cell r="I495">
            <v>0.82291666666666663</v>
          </cell>
          <cell r="J495">
            <v>0.34375</v>
          </cell>
          <cell r="K495">
            <v>11.5</v>
          </cell>
          <cell r="L495">
            <v>594.14</v>
          </cell>
          <cell r="O495" t="str">
            <v>Y</v>
          </cell>
          <cell r="P495" t="str">
            <v>N</v>
          </cell>
          <cell r="Q495" t="str">
            <v>Vacancy</v>
          </cell>
          <cell r="S495">
            <v>0.31</v>
          </cell>
        </row>
        <row r="496">
          <cell r="D496">
            <v>808003484</v>
          </cell>
          <cell r="E496" t="str">
            <v>THEMBE NHOSE</v>
          </cell>
          <cell r="F496" t="str">
            <v>D (MD)</v>
          </cell>
          <cell r="G496">
            <v>328479</v>
          </cell>
          <cell r="H496" t="str">
            <v>Mayday</v>
          </cell>
          <cell r="I496">
            <v>0.875</v>
          </cell>
          <cell r="J496">
            <v>0.30208333333333331</v>
          </cell>
          <cell r="K496">
            <v>9.9166666666666696</v>
          </cell>
          <cell r="L496">
            <v>512.33000000000004</v>
          </cell>
          <cell r="O496" t="str">
            <v>Y</v>
          </cell>
          <cell r="P496" t="str">
            <v>N</v>
          </cell>
          <cell r="Q496" t="str">
            <v>Vacancy</v>
          </cell>
          <cell r="S496">
            <v>0.26</v>
          </cell>
        </row>
        <row r="497">
          <cell r="D497">
            <v>908003674</v>
          </cell>
          <cell r="E497" t="str">
            <v>TONDERA MAKAZA</v>
          </cell>
          <cell r="F497" t="str">
            <v>A (Ch)</v>
          </cell>
          <cell r="G497">
            <v>16594</v>
          </cell>
          <cell r="H497" t="str">
            <v>Choice</v>
          </cell>
          <cell r="I497">
            <v>0.83333333333333337</v>
          </cell>
          <cell r="J497">
            <v>0.33333333333333331</v>
          </cell>
          <cell r="K497">
            <v>11.3333333333333</v>
          </cell>
          <cell r="L497">
            <v>209.48</v>
          </cell>
          <cell r="O497" t="str">
            <v>Y</v>
          </cell>
          <cell r="P497" t="str">
            <v>N</v>
          </cell>
          <cell r="Q497" t="str">
            <v>On-Call</v>
          </cell>
          <cell r="S497">
            <v>0.3</v>
          </cell>
        </row>
        <row r="498">
          <cell r="D498">
            <v>908003665</v>
          </cell>
          <cell r="E498" t="str">
            <v>TRUST CHIWUNDURA</v>
          </cell>
          <cell r="F498" t="str">
            <v>A (Ch)</v>
          </cell>
          <cell r="G498">
            <v>16595</v>
          </cell>
          <cell r="H498" t="str">
            <v>Choice</v>
          </cell>
          <cell r="I498">
            <v>0.83333333333333337</v>
          </cell>
          <cell r="J498">
            <v>0.33333333333333331</v>
          </cell>
          <cell r="K498">
            <v>11.3333333333333</v>
          </cell>
          <cell r="L498">
            <v>209.48</v>
          </cell>
          <cell r="O498" t="str">
            <v>Y</v>
          </cell>
          <cell r="P498" t="str">
            <v>N</v>
          </cell>
          <cell r="Q498" t="str">
            <v>On-Call</v>
          </cell>
          <cell r="S498">
            <v>0.3</v>
          </cell>
        </row>
        <row r="499">
          <cell r="D499">
            <v>808000434</v>
          </cell>
          <cell r="E499" t="str">
            <v>ZILLIBERT LAVANJO</v>
          </cell>
          <cell r="F499" t="str">
            <v>D (Ch)</v>
          </cell>
          <cell r="H499" t="str">
            <v>Choice</v>
          </cell>
          <cell r="I499">
            <v>0.83333333333333337</v>
          </cell>
          <cell r="J499">
            <v>0.33333333333333331</v>
          </cell>
          <cell r="K499">
            <v>11.3333333333333</v>
          </cell>
          <cell r="L499">
            <v>441.91</v>
          </cell>
          <cell r="O499" t="str">
            <v>Y</v>
          </cell>
          <cell r="P499" t="str">
            <v>N</v>
          </cell>
          <cell r="Q499" t="str">
            <v>Extra Capacity</v>
          </cell>
          <cell r="S499">
            <v>0.3</v>
          </cell>
        </row>
        <row r="500">
          <cell r="D500">
            <v>808005014</v>
          </cell>
          <cell r="E500" t="str">
            <v>CHRIS STULAR</v>
          </cell>
          <cell r="F500" t="str">
            <v>D General (Orio</v>
          </cell>
          <cell r="G500" t="str">
            <v>Invsd Smt checked</v>
          </cell>
          <cell r="H500" t="str">
            <v>Orion</v>
          </cell>
          <cell r="I500">
            <v>0.33333333333333331</v>
          </cell>
          <cell r="J500">
            <v>0.75</v>
          </cell>
          <cell r="K500">
            <v>9.5</v>
          </cell>
          <cell r="L500">
            <v>172.14</v>
          </cell>
          <cell r="O500" t="str">
            <v>Y</v>
          </cell>
          <cell r="P500" t="str">
            <v>N</v>
          </cell>
          <cell r="Q500" t="str">
            <v>Backfill</v>
          </cell>
          <cell r="S500">
            <v>0.25</v>
          </cell>
        </row>
        <row r="501">
          <cell r="D501">
            <v>808003633</v>
          </cell>
          <cell r="E501" t="str">
            <v>DIGRACIA  NAPE</v>
          </cell>
          <cell r="F501" t="str">
            <v>D (MD)</v>
          </cell>
          <cell r="G501">
            <v>329170</v>
          </cell>
          <cell r="H501" t="str">
            <v>Mayday</v>
          </cell>
          <cell r="I501">
            <v>0.3125</v>
          </cell>
          <cell r="J501">
            <v>0.64583333333333337</v>
          </cell>
          <cell r="K501">
            <v>7.6666666666666696</v>
          </cell>
          <cell r="L501">
            <v>247.56</v>
          </cell>
          <cell r="O501" t="str">
            <v>Y</v>
          </cell>
          <cell r="P501" t="str">
            <v>N</v>
          </cell>
          <cell r="Q501" t="str">
            <v>Extra Capacity</v>
          </cell>
          <cell r="S501">
            <v>0.2</v>
          </cell>
        </row>
        <row r="502">
          <cell r="D502">
            <v>808003660</v>
          </cell>
          <cell r="E502" t="str">
            <v>DIGRACIA  NAPE</v>
          </cell>
          <cell r="F502" t="str">
            <v>D (MD)</v>
          </cell>
          <cell r="G502">
            <v>329170</v>
          </cell>
          <cell r="H502" t="str">
            <v>Mayday</v>
          </cell>
          <cell r="I502">
            <v>0.64583333333333337</v>
          </cell>
          <cell r="J502">
            <v>0.85416666666666663</v>
          </cell>
          <cell r="K502">
            <v>5</v>
          </cell>
          <cell r="L502">
            <v>161.44999999999999</v>
          </cell>
          <cell r="O502" t="str">
            <v>Y</v>
          </cell>
          <cell r="P502" t="str">
            <v>N</v>
          </cell>
          <cell r="Q502" t="str">
            <v>Extra Capacity</v>
          </cell>
          <cell r="S502">
            <v>0.13</v>
          </cell>
        </row>
        <row r="503">
          <cell r="D503">
            <v>808003794</v>
          </cell>
          <cell r="E503" t="str">
            <v>EMMA FLIT-ELY</v>
          </cell>
          <cell r="F503" t="str">
            <v>D (Ch)</v>
          </cell>
          <cell r="G503">
            <v>16680</v>
          </cell>
          <cell r="H503" t="str">
            <v>Choice</v>
          </cell>
          <cell r="I503">
            <v>0.3125</v>
          </cell>
          <cell r="J503">
            <v>0.64583333333333337</v>
          </cell>
          <cell r="K503">
            <v>7.6666666666666696</v>
          </cell>
          <cell r="L503">
            <v>186.84</v>
          </cell>
          <cell r="O503" t="str">
            <v>Y</v>
          </cell>
          <cell r="P503" t="str">
            <v>N</v>
          </cell>
          <cell r="Q503" t="str">
            <v>Extra Capacity</v>
          </cell>
          <cell r="S503">
            <v>0.2</v>
          </cell>
        </row>
        <row r="504">
          <cell r="D504">
            <v>908003466</v>
          </cell>
          <cell r="E504" t="str">
            <v>GEORGE GARCIA</v>
          </cell>
          <cell r="F504" t="str">
            <v>2 Gen (All)</v>
          </cell>
          <cell r="G504" t="str">
            <v>G1440815</v>
          </cell>
          <cell r="H504" t="str">
            <v xml:space="preserve">Allied </v>
          </cell>
          <cell r="I504">
            <v>0.83333333333333337</v>
          </cell>
          <cell r="J504">
            <v>0.33333333333333331</v>
          </cell>
          <cell r="K504">
            <v>11.3333333333333</v>
          </cell>
          <cell r="L504">
            <v>145.07</v>
          </cell>
          <cell r="O504" t="str">
            <v>Y</v>
          </cell>
          <cell r="P504" t="str">
            <v>N</v>
          </cell>
          <cell r="Q504" t="str">
            <v>Specials</v>
          </cell>
          <cell r="S504">
            <v>0.3</v>
          </cell>
        </row>
        <row r="505">
          <cell r="D505">
            <v>908004022</v>
          </cell>
          <cell r="E505" t="str">
            <v>GERTRUDE CHIGWADA</v>
          </cell>
          <cell r="F505" t="str">
            <v>D (MD)</v>
          </cell>
          <cell r="G505">
            <v>329282</v>
          </cell>
          <cell r="H505" t="str">
            <v>Mayday</v>
          </cell>
          <cell r="I505">
            <v>0.3125</v>
          </cell>
          <cell r="J505">
            <v>0.64583333333333337</v>
          </cell>
          <cell r="K505">
            <v>8.1666666666666696</v>
          </cell>
          <cell r="L505">
            <v>263.7</v>
          </cell>
          <cell r="O505" t="str">
            <v>Y</v>
          </cell>
          <cell r="P505" t="str">
            <v>N</v>
          </cell>
          <cell r="Q505" t="str">
            <v>Short Term Sick</v>
          </cell>
          <cell r="S505">
            <v>0.22</v>
          </cell>
        </row>
        <row r="506">
          <cell r="D506">
            <v>908004026</v>
          </cell>
          <cell r="E506" t="str">
            <v>GERTRUDE CHIGWADA</v>
          </cell>
          <cell r="F506" t="str">
            <v>D (MD)</v>
          </cell>
          <cell r="G506">
            <v>329281</v>
          </cell>
          <cell r="H506" t="str">
            <v>Mayday</v>
          </cell>
          <cell r="I506">
            <v>0.66666666666666663</v>
          </cell>
          <cell r="J506">
            <v>0.83333333333333337</v>
          </cell>
          <cell r="K506">
            <v>4</v>
          </cell>
          <cell r="L506">
            <v>129.16</v>
          </cell>
          <cell r="O506" t="str">
            <v>Y</v>
          </cell>
          <cell r="P506" t="str">
            <v>N</v>
          </cell>
          <cell r="Q506" t="str">
            <v>Transfer</v>
          </cell>
          <cell r="S506">
            <v>0.11</v>
          </cell>
        </row>
        <row r="507">
          <cell r="D507">
            <v>908003202</v>
          </cell>
          <cell r="E507" t="str">
            <v>GRACE CHIKWAVA</v>
          </cell>
          <cell r="F507" t="str">
            <v>D (Ch)</v>
          </cell>
          <cell r="G507">
            <v>16675</v>
          </cell>
          <cell r="H507" t="str">
            <v>Choice</v>
          </cell>
          <cell r="I507">
            <v>0.3125</v>
          </cell>
          <cell r="J507">
            <v>0.5625</v>
          </cell>
          <cell r="K507">
            <v>5.6666666666666696</v>
          </cell>
          <cell r="L507">
            <v>138.1</v>
          </cell>
          <cell r="O507" t="str">
            <v>Y</v>
          </cell>
          <cell r="P507" t="str">
            <v>N</v>
          </cell>
          <cell r="Q507" t="str">
            <v>Annual Leave</v>
          </cell>
          <cell r="S507">
            <v>0.15</v>
          </cell>
        </row>
        <row r="508">
          <cell r="D508">
            <v>908003203</v>
          </cell>
          <cell r="E508" t="str">
            <v>GRACE CHIKWAVA</v>
          </cell>
          <cell r="F508" t="str">
            <v>D (Ch)</v>
          </cell>
          <cell r="G508">
            <v>16675</v>
          </cell>
          <cell r="H508" t="str">
            <v>Choice</v>
          </cell>
          <cell r="I508">
            <v>0.60416666666666663</v>
          </cell>
          <cell r="J508">
            <v>0.8125</v>
          </cell>
          <cell r="K508">
            <v>5</v>
          </cell>
          <cell r="L508">
            <v>121.85</v>
          </cell>
          <cell r="O508" t="str">
            <v>Y</v>
          </cell>
          <cell r="P508" t="str">
            <v>N</v>
          </cell>
          <cell r="Q508" t="str">
            <v>Annual Leave</v>
          </cell>
          <cell r="S508">
            <v>0.13</v>
          </cell>
        </row>
        <row r="509">
          <cell r="D509">
            <v>908003319</v>
          </cell>
          <cell r="E509" t="str">
            <v>HILDA SHANGE</v>
          </cell>
          <cell r="F509" t="str">
            <v>D (Ch)</v>
          </cell>
          <cell r="G509">
            <v>16753</v>
          </cell>
          <cell r="H509" t="str">
            <v>Choice</v>
          </cell>
          <cell r="I509">
            <v>0.8125</v>
          </cell>
          <cell r="J509">
            <v>0.33333333333333331</v>
          </cell>
          <cell r="K509">
            <v>11.8333333333333</v>
          </cell>
          <cell r="L509">
            <v>374.89</v>
          </cell>
          <cell r="O509" t="str">
            <v>Y</v>
          </cell>
          <cell r="P509" t="str">
            <v>N</v>
          </cell>
          <cell r="Q509" t="str">
            <v>Extra Capacity</v>
          </cell>
          <cell r="S509">
            <v>0.32</v>
          </cell>
        </row>
        <row r="510">
          <cell r="D510">
            <v>908003633</v>
          </cell>
          <cell r="E510" t="str">
            <v>HILDA WENYERE</v>
          </cell>
          <cell r="F510" t="str">
            <v>A (Ch)</v>
          </cell>
          <cell r="G510">
            <v>16684</v>
          </cell>
          <cell r="H510" t="str">
            <v>Choice</v>
          </cell>
          <cell r="I510">
            <v>0.82291666666666663</v>
          </cell>
          <cell r="J510">
            <v>0.34375</v>
          </cell>
          <cell r="K510">
            <v>11.5</v>
          </cell>
          <cell r="L510">
            <v>170.05</v>
          </cell>
          <cell r="O510" t="str">
            <v>Y</v>
          </cell>
          <cell r="P510" t="str">
            <v>N</v>
          </cell>
          <cell r="Q510" t="str">
            <v>Short Term Sick</v>
          </cell>
          <cell r="S510">
            <v>0.31</v>
          </cell>
        </row>
        <row r="511">
          <cell r="D511">
            <v>908003317</v>
          </cell>
          <cell r="E511" t="str">
            <v>JOANNE BUSS</v>
          </cell>
          <cell r="F511" t="str">
            <v>D (MD)</v>
          </cell>
          <cell r="H511" t="str">
            <v>Mayday</v>
          </cell>
          <cell r="I511">
            <v>0.3125</v>
          </cell>
          <cell r="J511">
            <v>0.58333333333333337</v>
          </cell>
          <cell r="K511">
            <v>6.1666666666666696</v>
          </cell>
          <cell r="L511">
            <v>199.12</v>
          </cell>
          <cell r="O511" t="str">
            <v>Y</v>
          </cell>
          <cell r="P511" t="str">
            <v>N</v>
          </cell>
          <cell r="Q511" t="str">
            <v>Extra Capacity</v>
          </cell>
          <cell r="S511">
            <v>0.16</v>
          </cell>
        </row>
        <row r="512">
          <cell r="D512">
            <v>908002991</v>
          </cell>
          <cell r="E512" t="str">
            <v>JOY MABITLE</v>
          </cell>
          <cell r="F512" t="str">
            <v>D (MD)</v>
          </cell>
          <cell r="G512">
            <v>339145</v>
          </cell>
          <cell r="H512" t="str">
            <v>Mayday</v>
          </cell>
          <cell r="I512">
            <v>0.875</v>
          </cell>
          <cell r="J512">
            <v>0.3125</v>
          </cell>
          <cell r="K512">
            <v>10.1666666666667</v>
          </cell>
          <cell r="L512">
            <v>426.77</v>
          </cell>
          <cell r="O512" t="str">
            <v>Y</v>
          </cell>
          <cell r="P512" t="str">
            <v>N</v>
          </cell>
          <cell r="Q512" t="str">
            <v>Vacancy</v>
          </cell>
          <cell r="S512">
            <v>0.27</v>
          </cell>
        </row>
        <row r="513">
          <cell r="D513">
            <v>908004063</v>
          </cell>
          <cell r="E513" t="str">
            <v>JUAN VILLATORO</v>
          </cell>
          <cell r="F513" t="str">
            <v>D (Amb)</v>
          </cell>
          <cell r="G513">
            <v>742663</v>
          </cell>
          <cell r="H513" t="str">
            <v>Ambition</v>
          </cell>
          <cell r="I513">
            <v>0.875</v>
          </cell>
          <cell r="J513">
            <v>0.3125</v>
          </cell>
          <cell r="K513">
            <v>10.6666666666667</v>
          </cell>
          <cell r="L513">
            <v>542.19000000000005</v>
          </cell>
          <cell r="O513" t="str">
            <v>Y</v>
          </cell>
          <cell r="P513" t="str">
            <v>N</v>
          </cell>
          <cell r="Q513" t="str">
            <v>On-Call</v>
          </cell>
          <cell r="S513">
            <v>0.28000000000000003</v>
          </cell>
        </row>
        <row r="514">
          <cell r="D514">
            <v>808004898</v>
          </cell>
          <cell r="E514" t="str">
            <v>LETECIA MENIANO</v>
          </cell>
          <cell r="F514" t="str">
            <v>D (Ch)</v>
          </cell>
          <cell r="G514">
            <v>16677</v>
          </cell>
          <cell r="H514" t="str">
            <v>Choice</v>
          </cell>
          <cell r="I514">
            <v>0.83333333333333337</v>
          </cell>
          <cell r="J514">
            <v>0.33333333333333331</v>
          </cell>
          <cell r="K514">
            <v>11.3333333333333</v>
          </cell>
          <cell r="L514">
            <v>359.05</v>
          </cell>
          <cell r="O514" t="str">
            <v>Y</v>
          </cell>
          <cell r="P514" t="str">
            <v>N</v>
          </cell>
          <cell r="Q514" t="str">
            <v>Under Established</v>
          </cell>
          <cell r="S514">
            <v>0.3</v>
          </cell>
        </row>
        <row r="515">
          <cell r="D515">
            <v>908001374</v>
          </cell>
          <cell r="E515" t="str">
            <v>MERCY SIBANDA</v>
          </cell>
          <cell r="F515" t="str">
            <v>A (Ch)</v>
          </cell>
          <cell r="G515">
            <v>16799</v>
          </cell>
          <cell r="H515" t="str">
            <v>Choice</v>
          </cell>
          <cell r="I515">
            <v>0.88541666666666663</v>
          </cell>
          <cell r="J515">
            <v>0.3125</v>
          </cell>
          <cell r="K515">
            <v>9.9166666666666696</v>
          </cell>
          <cell r="L515">
            <v>146.63</v>
          </cell>
          <cell r="O515" t="str">
            <v>Y</v>
          </cell>
          <cell r="P515" t="str">
            <v>N</v>
          </cell>
          <cell r="Q515" t="str">
            <v>Long Term Sick</v>
          </cell>
          <cell r="S515">
            <v>0.26</v>
          </cell>
        </row>
        <row r="516">
          <cell r="D516">
            <v>808003792</v>
          </cell>
          <cell r="E516" t="str">
            <v>PAT DUBE</v>
          </cell>
          <cell r="F516" t="str">
            <v>D (MD)</v>
          </cell>
          <cell r="H516" t="str">
            <v>Mayday</v>
          </cell>
          <cell r="I516">
            <v>0.3125</v>
          </cell>
          <cell r="J516">
            <v>0.64583333333333337</v>
          </cell>
          <cell r="K516">
            <v>7.6666666666666696</v>
          </cell>
          <cell r="L516">
            <v>247.56</v>
          </cell>
          <cell r="O516" t="str">
            <v>Y</v>
          </cell>
          <cell r="P516" t="str">
            <v>N</v>
          </cell>
          <cell r="Q516" t="str">
            <v>Extra Capacity</v>
          </cell>
          <cell r="S516">
            <v>0.2</v>
          </cell>
        </row>
        <row r="517">
          <cell r="D517">
            <v>908003296</v>
          </cell>
          <cell r="E517" t="str">
            <v>PAT MTHETHWA</v>
          </cell>
          <cell r="F517" t="str">
            <v>D (Ch)</v>
          </cell>
          <cell r="G517">
            <v>16611</v>
          </cell>
          <cell r="H517" t="str">
            <v>Choice</v>
          </cell>
          <cell r="I517">
            <v>0.29166666666666669</v>
          </cell>
          <cell r="J517">
            <v>0.625</v>
          </cell>
          <cell r="K517">
            <v>7.5</v>
          </cell>
          <cell r="L517">
            <v>182.78</v>
          </cell>
          <cell r="O517" t="str">
            <v>Y</v>
          </cell>
          <cell r="P517" t="str">
            <v>N</v>
          </cell>
          <cell r="Q517" t="str">
            <v>Extra Capacity</v>
          </cell>
          <cell r="S517">
            <v>0.2</v>
          </cell>
        </row>
        <row r="518">
          <cell r="D518">
            <v>908003297</v>
          </cell>
          <cell r="E518" t="str">
            <v>PAT MTHETHWA</v>
          </cell>
          <cell r="F518" t="str">
            <v>D (Ch)</v>
          </cell>
          <cell r="G518">
            <v>16611</v>
          </cell>
          <cell r="H518" t="str">
            <v>Choice</v>
          </cell>
          <cell r="I518">
            <v>0.625</v>
          </cell>
          <cell r="J518">
            <v>0.89583333333333337</v>
          </cell>
          <cell r="K518">
            <v>6.1666666666666696</v>
          </cell>
          <cell r="L518">
            <v>150.28</v>
          </cell>
          <cell r="O518" t="str">
            <v>Y</v>
          </cell>
          <cell r="P518" t="str">
            <v>N</v>
          </cell>
          <cell r="Q518" t="str">
            <v>Extra Capacity</v>
          </cell>
          <cell r="S518">
            <v>0.16</v>
          </cell>
        </row>
        <row r="519">
          <cell r="D519">
            <v>908003470</v>
          </cell>
          <cell r="E519" t="str">
            <v>PAT MUGABZA</v>
          </cell>
          <cell r="F519" t="str">
            <v>A (Ch)</v>
          </cell>
          <cell r="G519">
            <v>16667</v>
          </cell>
          <cell r="H519" t="str">
            <v>Choice</v>
          </cell>
          <cell r="I519">
            <v>0.83333333333333337</v>
          </cell>
          <cell r="J519">
            <v>0.33333333333333331</v>
          </cell>
          <cell r="K519">
            <v>11.3333333333333</v>
          </cell>
          <cell r="L519">
            <v>167.58</v>
          </cell>
          <cell r="O519" t="str">
            <v>Y</v>
          </cell>
          <cell r="P519" t="str">
            <v>N</v>
          </cell>
          <cell r="Q519" t="str">
            <v>Specials</v>
          </cell>
          <cell r="S519">
            <v>0.3</v>
          </cell>
        </row>
        <row r="520">
          <cell r="D520">
            <v>908000858</v>
          </cell>
          <cell r="E520" t="str">
            <v>PEGGY CHIRIKURE</v>
          </cell>
          <cell r="F520" t="str">
            <v>D (Ch)</v>
          </cell>
          <cell r="G520">
            <v>16812</v>
          </cell>
          <cell r="H520" t="str">
            <v>Choice</v>
          </cell>
          <cell r="I520">
            <v>0.3125</v>
          </cell>
          <cell r="J520">
            <v>0.54166666666666663</v>
          </cell>
          <cell r="K520">
            <v>11.8333333333333</v>
          </cell>
          <cell r="L520">
            <v>288.38</v>
          </cell>
          <cell r="O520" t="str">
            <v>Y</v>
          </cell>
          <cell r="P520" t="str">
            <v>N</v>
          </cell>
          <cell r="Q520" t="str">
            <v>Vacancy</v>
          </cell>
          <cell r="S520">
            <v>0.32</v>
          </cell>
        </row>
        <row r="521">
          <cell r="D521">
            <v>908001001</v>
          </cell>
          <cell r="E521" t="str">
            <v>PEGGY MAPOGO</v>
          </cell>
          <cell r="F521" t="str">
            <v>D (Ch)</v>
          </cell>
          <cell r="G521">
            <v>16660</v>
          </cell>
          <cell r="H521" t="str">
            <v>Choice</v>
          </cell>
          <cell r="I521">
            <v>0.625</v>
          </cell>
          <cell r="J521">
            <v>0.85416666666666663</v>
          </cell>
          <cell r="K521">
            <v>5.5</v>
          </cell>
          <cell r="L521">
            <v>134.03</v>
          </cell>
          <cell r="O521" t="str">
            <v>Y</v>
          </cell>
          <cell r="P521" t="str">
            <v>N</v>
          </cell>
          <cell r="Q521" t="str">
            <v>Vacancy</v>
          </cell>
          <cell r="S521">
            <v>0.15</v>
          </cell>
        </row>
        <row r="522">
          <cell r="D522">
            <v>908003155</v>
          </cell>
          <cell r="E522" t="str">
            <v>PEGGY MAPOGO</v>
          </cell>
          <cell r="F522" t="str">
            <v>D (Ch)</v>
          </cell>
          <cell r="G522">
            <v>16660</v>
          </cell>
          <cell r="H522" t="str">
            <v>Choice</v>
          </cell>
          <cell r="I522">
            <v>0.3125</v>
          </cell>
          <cell r="J522">
            <v>0.54166666666666663</v>
          </cell>
          <cell r="K522">
            <v>5.5</v>
          </cell>
          <cell r="L522">
            <v>134.03</v>
          </cell>
          <cell r="O522" t="str">
            <v>Y</v>
          </cell>
          <cell r="P522" t="str">
            <v>N</v>
          </cell>
          <cell r="Q522" t="str">
            <v>Extra Capacity</v>
          </cell>
          <cell r="S522">
            <v>0.15</v>
          </cell>
        </row>
        <row r="523">
          <cell r="D523">
            <v>808003632</v>
          </cell>
          <cell r="E523" t="str">
            <v>PURITY EHREUREICH</v>
          </cell>
          <cell r="F523" t="str">
            <v>D (MD)</v>
          </cell>
          <cell r="G523">
            <v>330265</v>
          </cell>
          <cell r="H523" t="str">
            <v>Mayday</v>
          </cell>
          <cell r="I523">
            <v>0.3125</v>
          </cell>
          <cell r="J523">
            <v>0.64583333333333337</v>
          </cell>
          <cell r="K523">
            <v>7.6666666666666696</v>
          </cell>
          <cell r="L523">
            <v>247.56</v>
          </cell>
          <cell r="O523" t="str">
            <v>Y</v>
          </cell>
          <cell r="P523" t="str">
            <v>N</v>
          </cell>
          <cell r="Q523" t="str">
            <v>Extra Capacity</v>
          </cell>
          <cell r="S523">
            <v>0.2</v>
          </cell>
        </row>
        <row r="524">
          <cell r="D524">
            <v>808003659</v>
          </cell>
          <cell r="E524" t="str">
            <v>PURITY EHREUREICH</v>
          </cell>
          <cell r="F524" t="str">
            <v>D (MD)</v>
          </cell>
          <cell r="G524">
            <v>330263</v>
          </cell>
          <cell r="H524" t="str">
            <v>Mayday</v>
          </cell>
          <cell r="I524">
            <v>0.64583333333333337</v>
          </cell>
          <cell r="J524">
            <v>0.85416666666666663</v>
          </cell>
          <cell r="K524">
            <v>5</v>
          </cell>
          <cell r="L524">
            <v>161.44999999999999</v>
          </cell>
          <cell r="O524" t="str">
            <v>Y</v>
          </cell>
          <cell r="P524" t="str">
            <v>N</v>
          </cell>
          <cell r="Q524" t="str">
            <v>Extra Capacity</v>
          </cell>
          <cell r="S524">
            <v>0.13</v>
          </cell>
        </row>
        <row r="525">
          <cell r="D525">
            <v>808003797</v>
          </cell>
          <cell r="E525" t="str">
            <v>RACHEL OBERDOFF</v>
          </cell>
          <cell r="F525" t="str">
            <v>D (MD)</v>
          </cell>
          <cell r="G525">
            <v>329618</v>
          </cell>
          <cell r="H525" t="str">
            <v>Mayday</v>
          </cell>
          <cell r="I525">
            <v>0.64583333333333337</v>
          </cell>
          <cell r="J525">
            <v>0.85416666666666663</v>
          </cell>
          <cell r="K525">
            <v>5</v>
          </cell>
          <cell r="L525">
            <v>161.44999999999999</v>
          </cell>
          <cell r="O525" t="str">
            <v>Y</v>
          </cell>
          <cell r="P525" t="str">
            <v>N</v>
          </cell>
          <cell r="Q525" t="str">
            <v>Extra Capacity</v>
          </cell>
          <cell r="S525">
            <v>0.13</v>
          </cell>
        </row>
        <row r="526">
          <cell r="D526">
            <v>908003646</v>
          </cell>
          <cell r="E526" t="str">
            <v>RACHEL OBERDOFF</v>
          </cell>
          <cell r="F526" t="str">
            <v>D (MD)</v>
          </cell>
          <cell r="G526">
            <v>329618</v>
          </cell>
          <cell r="H526" t="str">
            <v>Mayday</v>
          </cell>
          <cell r="I526">
            <v>0.3125</v>
          </cell>
          <cell r="J526">
            <v>0.64583333333333337</v>
          </cell>
          <cell r="K526">
            <v>7.6666666666666696</v>
          </cell>
          <cell r="L526">
            <v>247.56</v>
          </cell>
          <cell r="O526" t="str">
            <v>Y</v>
          </cell>
          <cell r="P526" t="str">
            <v>N</v>
          </cell>
          <cell r="Q526" t="str">
            <v>On-Call</v>
          </cell>
          <cell r="S526">
            <v>0.2</v>
          </cell>
        </row>
        <row r="527">
          <cell r="D527">
            <v>908003069</v>
          </cell>
          <cell r="E527" t="str">
            <v>RICHARD JAMBAYA</v>
          </cell>
          <cell r="F527" t="str">
            <v>A (Ch)</v>
          </cell>
          <cell r="G527">
            <v>16670</v>
          </cell>
          <cell r="H527" t="str">
            <v>Choice</v>
          </cell>
          <cell r="I527">
            <v>0.33333333333333331</v>
          </cell>
          <cell r="J527">
            <v>0.58333333333333337</v>
          </cell>
          <cell r="K527">
            <v>5.6666666666666696</v>
          </cell>
          <cell r="L527">
            <v>62.84</v>
          </cell>
          <cell r="O527" t="str">
            <v>Y</v>
          </cell>
          <cell r="P527" t="str">
            <v>N</v>
          </cell>
          <cell r="Q527" t="str">
            <v>Specials</v>
          </cell>
          <cell r="S527">
            <v>0.15</v>
          </cell>
        </row>
        <row r="528">
          <cell r="D528">
            <v>908003070</v>
          </cell>
          <cell r="E528" t="str">
            <v>RICHARD JAMBAYA</v>
          </cell>
          <cell r="F528" t="str">
            <v>A (Ch)</v>
          </cell>
          <cell r="G528">
            <v>16670</v>
          </cell>
          <cell r="H528" t="str">
            <v>Choice</v>
          </cell>
          <cell r="I528">
            <v>0.58333333333333337</v>
          </cell>
          <cell r="J528">
            <v>0.83333333333333337</v>
          </cell>
          <cell r="K528">
            <v>5.6666666666666696</v>
          </cell>
          <cell r="L528">
            <v>62.84</v>
          </cell>
          <cell r="O528" t="str">
            <v>Y</v>
          </cell>
          <cell r="P528" t="str">
            <v>N</v>
          </cell>
          <cell r="Q528" t="str">
            <v>Specials</v>
          </cell>
          <cell r="S528">
            <v>0.15</v>
          </cell>
        </row>
        <row r="529">
          <cell r="D529">
            <v>808005512</v>
          </cell>
          <cell r="E529" t="str">
            <v>SPECIAL DOKOCERA</v>
          </cell>
          <cell r="F529" t="str">
            <v>D (Amb)</v>
          </cell>
          <cell r="G529">
            <v>742612</v>
          </cell>
          <cell r="H529" t="str">
            <v>Ambition</v>
          </cell>
          <cell r="I529">
            <v>0.625</v>
          </cell>
          <cell r="J529">
            <v>0.875</v>
          </cell>
          <cell r="K529">
            <v>6</v>
          </cell>
          <cell r="L529">
            <v>234.6</v>
          </cell>
          <cell r="O529" t="str">
            <v>Y</v>
          </cell>
          <cell r="P529" t="str">
            <v>N</v>
          </cell>
          <cell r="Q529" t="str">
            <v>Vacancy</v>
          </cell>
          <cell r="S529">
            <v>0.16</v>
          </cell>
        </row>
        <row r="530">
          <cell r="D530">
            <v>908004068</v>
          </cell>
          <cell r="E530" t="str">
            <v>TEMBE NGIDI</v>
          </cell>
          <cell r="F530" t="str">
            <v>D (MD)</v>
          </cell>
          <cell r="H530" t="str">
            <v>Mayday</v>
          </cell>
          <cell r="I530">
            <v>0.875</v>
          </cell>
          <cell r="J530">
            <v>0.3125</v>
          </cell>
          <cell r="K530">
            <v>10.6666666666667</v>
          </cell>
          <cell r="L530">
            <v>447.75</v>
          </cell>
          <cell r="O530" t="str">
            <v>Y</v>
          </cell>
          <cell r="P530" t="str">
            <v>N</v>
          </cell>
          <cell r="Q530" t="str">
            <v>On-Call</v>
          </cell>
          <cell r="S530">
            <v>0.28000000000000003</v>
          </cell>
        </row>
        <row r="531">
          <cell r="D531">
            <v>908005232</v>
          </cell>
          <cell r="E531" t="str">
            <v>TEMBI NOSHA</v>
          </cell>
          <cell r="F531" t="str">
            <v>D (MD)</v>
          </cell>
          <cell r="G531">
            <v>331353</v>
          </cell>
          <cell r="H531" t="str">
            <v>Mayday</v>
          </cell>
          <cell r="I531">
            <v>0.83333333333333337</v>
          </cell>
          <cell r="J531">
            <v>0.33333333333333331</v>
          </cell>
          <cell r="K531">
            <v>11</v>
          </cell>
          <cell r="L531">
            <v>461.75</v>
          </cell>
          <cell r="O531" t="str">
            <v>Y</v>
          </cell>
          <cell r="P531" t="str">
            <v>N</v>
          </cell>
          <cell r="Q531" t="str">
            <v>Short Term Sick</v>
          </cell>
          <cell r="S531">
            <v>0.28999999999999998</v>
          </cell>
        </row>
        <row r="532">
          <cell r="D532">
            <v>908002412</v>
          </cell>
          <cell r="E532" t="str">
            <v>TOM OSBOURNE</v>
          </cell>
          <cell r="F532" t="str">
            <v>D General (Orio</v>
          </cell>
          <cell r="G532" t="str">
            <v>Invsd Smt checked</v>
          </cell>
          <cell r="H532" t="str">
            <v>Orion</v>
          </cell>
          <cell r="I532">
            <v>0.54166666666666663</v>
          </cell>
          <cell r="J532">
            <v>0.75</v>
          </cell>
          <cell r="K532">
            <v>5</v>
          </cell>
          <cell r="L532">
            <v>90.6</v>
          </cell>
          <cell r="O532" t="str">
            <v>Y</v>
          </cell>
          <cell r="P532" t="str">
            <v>N</v>
          </cell>
          <cell r="Q532" t="str">
            <v>Vacancy</v>
          </cell>
          <cell r="S532">
            <v>0.13</v>
          </cell>
        </row>
        <row r="533">
          <cell r="D533">
            <v>908003344</v>
          </cell>
          <cell r="E533" t="str">
            <v>TONDERA MAKAZA</v>
          </cell>
          <cell r="F533" t="str">
            <v>A (Ch)</v>
          </cell>
          <cell r="G533">
            <v>16660</v>
          </cell>
          <cell r="H533" t="str">
            <v>Choice</v>
          </cell>
          <cell r="I533">
            <v>0.83333333333333337</v>
          </cell>
          <cell r="J533">
            <v>0.33333333333333331</v>
          </cell>
          <cell r="K533">
            <v>11.3333333333333</v>
          </cell>
          <cell r="L533">
            <v>167.58</v>
          </cell>
          <cell r="O533" t="str">
            <v>Y</v>
          </cell>
          <cell r="P533" t="str">
            <v>N</v>
          </cell>
          <cell r="Q533" t="str">
            <v>Short Term Sick</v>
          </cell>
          <cell r="S533">
            <v>0.3</v>
          </cell>
        </row>
        <row r="534">
          <cell r="D534">
            <v>908000866</v>
          </cell>
          <cell r="E534" t="str">
            <v>ANNA BONNERUP</v>
          </cell>
          <cell r="F534" t="str">
            <v>D / 5 General (</v>
          </cell>
          <cell r="G534" t="str">
            <v>604-149666</v>
          </cell>
          <cell r="H534" t="str">
            <v>Blue Arrow</v>
          </cell>
          <cell r="I534">
            <v>0.3125</v>
          </cell>
          <cell r="J534">
            <v>0.54166666666666663</v>
          </cell>
          <cell r="K534">
            <v>5.5</v>
          </cell>
          <cell r="L534">
            <v>92.84</v>
          </cell>
          <cell r="O534" t="str">
            <v>Y</v>
          </cell>
          <cell r="P534" t="str">
            <v>N</v>
          </cell>
          <cell r="Q534" t="str">
            <v>Vacancy</v>
          </cell>
          <cell r="S534">
            <v>0.15</v>
          </cell>
        </row>
        <row r="535">
          <cell r="D535">
            <v>908000869</v>
          </cell>
          <cell r="E535" t="str">
            <v>ANNA BONNERUP</v>
          </cell>
          <cell r="F535" t="str">
            <v>D / 5 General (</v>
          </cell>
          <cell r="G535" t="str">
            <v>604-149666</v>
          </cell>
          <cell r="H535" t="str">
            <v>Blue Arrow</v>
          </cell>
          <cell r="I535">
            <v>0.625</v>
          </cell>
          <cell r="J535">
            <v>0.85416666666666663</v>
          </cell>
          <cell r="K535">
            <v>5.5</v>
          </cell>
          <cell r="L535">
            <v>92.84</v>
          </cell>
          <cell r="O535" t="str">
            <v>Y</v>
          </cell>
          <cell r="P535" t="str">
            <v>N</v>
          </cell>
          <cell r="Q535" t="str">
            <v>Vacancy</v>
          </cell>
          <cell r="S535">
            <v>0.15</v>
          </cell>
        </row>
        <row r="536">
          <cell r="D536">
            <v>808003831</v>
          </cell>
          <cell r="E536" t="str">
            <v>BEAUTY NGIDI</v>
          </cell>
          <cell r="F536" t="str">
            <v>D (MD)</v>
          </cell>
          <cell r="G536">
            <v>330236</v>
          </cell>
          <cell r="H536" t="str">
            <v>Mayday</v>
          </cell>
          <cell r="I536">
            <v>0.52083333333333337</v>
          </cell>
          <cell r="J536">
            <v>0.85416666666666663</v>
          </cell>
          <cell r="K536">
            <v>7.6666666666666696</v>
          </cell>
          <cell r="L536">
            <v>247.56</v>
          </cell>
          <cell r="O536" t="str">
            <v>Y</v>
          </cell>
          <cell r="P536" t="str">
            <v>N</v>
          </cell>
          <cell r="Q536" t="str">
            <v>Extra Capacity</v>
          </cell>
          <cell r="S536">
            <v>0.2</v>
          </cell>
        </row>
        <row r="537">
          <cell r="D537">
            <v>908004020</v>
          </cell>
          <cell r="E537" t="str">
            <v>BIDDY CHAFESUKA</v>
          </cell>
          <cell r="F537" t="str">
            <v>D (Ch)</v>
          </cell>
          <cell r="G537">
            <v>16686</v>
          </cell>
          <cell r="H537" t="str">
            <v>Choice</v>
          </cell>
          <cell r="I537">
            <v>0.625</v>
          </cell>
          <cell r="J537">
            <v>0.85416666666666663</v>
          </cell>
          <cell r="K537">
            <v>5.5</v>
          </cell>
          <cell r="L537">
            <v>134.03</v>
          </cell>
          <cell r="O537" t="str">
            <v>Y</v>
          </cell>
          <cell r="P537" t="str">
            <v>N</v>
          </cell>
          <cell r="Q537" t="str">
            <v>Short Term Sick</v>
          </cell>
          <cell r="S537">
            <v>0.15</v>
          </cell>
        </row>
        <row r="538">
          <cell r="D538">
            <v>808003640</v>
          </cell>
          <cell r="E538" t="str">
            <v>BRIGHTNESS NDEBELE</v>
          </cell>
          <cell r="F538" t="str">
            <v>D (MD)</v>
          </cell>
          <cell r="H538" t="str">
            <v>Mayday</v>
          </cell>
          <cell r="I538">
            <v>0.3125</v>
          </cell>
          <cell r="J538">
            <v>0.64583333333333337</v>
          </cell>
          <cell r="K538">
            <v>7.6666666666666696</v>
          </cell>
          <cell r="L538">
            <v>247.56</v>
          </cell>
          <cell r="O538" t="str">
            <v>Y</v>
          </cell>
          <cell r="P538" t="str">
            <v>N</v>
          </cell>
          <cell r="Q538" t="str">
            <v>Extra Capacity</v>
          </cell>
          <cell r="S538">
            <v>0.2</v>
          </cell>
        </row>
        <row r="539">
          <cell r="D539">
            <v>808003662</v>
          </cell>
          <cell r="E539" t="str">
            <v>BRIGHTNESS NDEBELE</v>
          </cell>
          <cell r="F539" t="str">
            <v>D (MD)</v>
          </cell>
          <cell r="H539" t="str">
            <v>Mayday</v>
          </cell>
          <cell r="I539">
            <v>0.64583333333333337</v>
          </cell>
          <cell r="J539">
            <v>0.85416666666666663</v>
          </cell>
          <cell r="K539">
            <v>5</v>
          </cell>
          <cell r="L539">
            <v>161.44999999999999</v>
          </cell>
          <cell r="O539" t="str">
            <v>Y</v>
          </cell>
          <cell r="P539" t="str">
            <v>N</v>
          </cell>
          <cell r="Q539" t="str">
            <v>Extra Capacity</v>
          </cell>
          <cell r="S539">
            <v>0.13</v>
          </cell>
        </row>
        <row r="540">
          <cell r="D540">
            <v>908004041</v>
          </cell>
          <cell r="E540" t="str">
            <v>CARL HIBBERT</v>
          </cell>
          <cell r="F540" t="str">
            <v>D (Ch)</v>
          </cell>
          <cell r="G540">
            <v>16668</v>
          </cell>
          <cell r="H540" t="str">
            <v>Choice</v>
          </cell>
          <cell r="I540">
            <v>0.83333333333333337</v>
          </cell>
          <cell r="J540">
            <v>0.33333333333333331</v>
          </cell>
          <cell r="K540">
            <v>11.3333333333333</v>
          </cell>
          <cell r="L540">
            <v>359.05</v>
          </cell>
          <cell r="O540" t="str">
            <v>Y</v>
          </cell>
          <cell r="P540" t="str">
            <v>N</v>
          </cell>
          <cell r="Q540" t="str">
            <v>Extra Capacity</v>
          </cell>
          <cell r="S540">
            <v>0.3</v>
          </cell>
        </row>
        <row r="541">
          <cell r="D541">
            <v>908005239</v>
          </cell>
          <cell r="E541" t="str">
            <v>CARMEN MAURICIO</v>
          </cell>
          <cell r="F541" t="str">
            <v>D (MD)</v>
          </cell>
          <cell r="G541">
            <v>329461</v>
          </cell>
          <cell r="H541" t="str">
            <v>Mayday</v>
          </cell>
          <cell r="I541">
            <v>0.83333333333333337</v>
          </cell>
          <cell r="J541">
            <v>0.33333333333333331</v>
          </cell>
          <cell r="K541">
            <v>11</v>
          </cell>
          <cell r="L541">
            <v>461.75</v>
          </cell>
          <cell r="O541" t="str">
            <v>Y</v>
          </cell>
          <cell r="P541" t="str">
            <v>N</v>
          </cell>
          <cell r="Q541" t="str">
            <v>Acuity</v>
          </cell>
          <cell r="S541">
            <v>0.28999999999999998</v>
          </cell>
        </row>
        <row r="542">
          <cell r="D542">
            <v>908004077</v>
          </cell>
          <cell r="E542" t="str">
            <v>DOROTHY MUTHWA</v>
          </cell>
          <cell r="F542" t="str">
            <v>A (Ch)</v>
          </cell>
          <cell r="G542">
            <v>16754</v>
          </cell>
          <cell r="H542" t="str">
            <v>Choice</v>
          </cell>
          <cell r="I542">
            <v>0.83333333333333337</v>
          </cell>
          <cell r="J542">
            <v>0.33333333333333331</v>
          </cell>
          <cell r="K542">
            <v>11.3333333333333</v>
          </cell>
          <cell r="L542">
            <v>167.58</v>
          </cell>
          <cell r="O542" t="str">
            <v>Y</v>
          </cell>
          <cell r="P542" t="str">
            <v>N</v>
          </cell>
          <cell r="Q542" t="str">
            <v>Short Term Sick</v>
          </cell>
          <cell r="S542">
            <v>0.3</v>
          </cell>
        </row>
        <row r="543">
          <cell r="D543">
            <v>908004246</v>
          </cell>
          <cell r="E543" t="str">
            <v>EGNESS MONAISA</v>
          </cell>
          <cell r="F543" t="str">
            <v>D (Ch)</v>
          </cell>
          <cell r="G543">
            <v>16732</v>
          </cell>
          <cell r="H543" t="str">
            <v>Choice</v>
          </cell>
          <cell r="I543">
            <v>0.88541666666666663</v>
          </cell>
          <cell r="J543">
            <v>0.27083333333333331</v>
          </cell>
          <cell r="K543">
            <v>8.9166666666666696</v>
          </cell>
          <cell r="L543">
            <v>282.49</v>
          </cell>
          <cell r="O543" t="str">
            <v>Y</v>
          </cell>
          <cell r="P543" t="str">
            <v>N</v>
          </cell>
          <cell r="Q543" t="str">
            <v>Extra Capacity</v>
          </cell>
          <cell r="S543">
            <v>0.24</v>
          </cell>
        </row>
        <row r="544">
          <cell r="D544">
            <v>808003808</v>
          </cell>
          <cell r="E544" t="str">
            <v>ELENITA ARENAS</v>
          </cell>
          <cell r="F544" t="str">
            <v>D (MD)</v>
          </cell>
          <cell r="G544">
            <v>330233</v>
          </cell>
          <cell r="H544" t="str">
            <v>Mayday</v>
          </cell>
          <cell r="I544">
            <v>0.3125</v>
          </cell>
          <cell r="J544">
            <v>0.64583333333333337</v>
          </cell>
          <cell r="K544">
            <v>7.6666666666666696</v>
          </cell>
          <cell r="L544">
            <v>247.56</v>
          </cell>
          <cell r="O544" t="str">
            <v>Y</v>
          </cell>
          <cell r="P544" t="str">
            <v>N</v>
          </cell>
          <cell r="Q544" t="str">
            <v>Extra Capacity</v>
          </cell>
          <cell r="S544">
            <v>0.2</v>
          </cell>
        </row>
        <row r="545">
          <cell r="D545">
            <v>808003825</v>
          </cell>
          <cell r="E545" t="str">
            <v>ELENITA ARENAS</v>
          </cell>
          <cell r="F545" t="str">
            <v>D (MD)</v>
          </cell>
          <cell r="G545">
            <v>330233</v>
          </cell>
          <cell r="H545" t="str">
            <v>Mayday</v>
          </cell>
          <cell r="I545">
            <v>0.64583333333333337</v>
          </cell>
          <cell r="J545">
            <v>0.85416666666666663</v>
          </cell>
          <cell r="K545">
            <v>5</v>
          </cell>
          <cell r="L545">
            <v>161.44999999999999</v>
          </cell>
          <cell r="O545" t="str">
            <v>Y</v>
          </cell>
          <cell r="P545" t="str">
            <v>N</v>
          </cell>
          <cell r="Q545" t="str">
            <v>Extra Capacity</v>
          </cell>
          <cell r="S545">
            <v>0.13</v>
          </cell>
        </row>
        <row r="546">
          <cell r="D546">
            <v>908003095</v>
          </cell>
          <cell r="E546" t="str">
            <v>EMMA FLIT-ELY</v>
          </cell>
          <cell r="F546" t="str">
            <v>D (Ch)</v>
          </cell>
          <cell r="G546">
            <v>16670</v>
          </cell>
          <cell r="H546" t="str">
            <v>Choice</v>
          </cell>
          <cell r="I546">
            <v>0.58333333333333337</v>
          </cell>
          <cell r="J546">
            <v>0.84375</v>
          </cell>
          <cell r="K546">
            <v>6</v>
          </cell>
          <cell r="L546">
            <v>146.22</v>
          </cell>
          <cell r="O546" t="str">
            <v>Y</v>
          </cell>
          <cell r="P546" t="str">
            <v>N</v>
          </cell>
          <cell r="Q546" t="str">
            <v>Vacancy</v>
          </cell>
          <cell r="S546">
            <v>0.16</v>
          </cell>
        </row>
        <row r="547">
          <cell r="D547">
            <v>908004039</v>
          </cell>
          <cell r="E547" t="str">
            <v>FIONA DURKIN-GREER</v>
          </cell>
          <cell r="F547" t="str">
            <v>D (Amb)</v>
          </cell>
          <cell r="G547">
            <v>742661</v>
          </cell>
          <cell r="H547" t="str">
            <v>Ambition</v>
          </cell>
          <cell r="I547">
            <v>0.625</v>
          </cell>
          <cell r="J547">
            <v>0.85416666666666663</v>
          </cell>
          <cell r="K547">
            <v>5.6666666666666696</v>
          </cell>
          <cell r="L547">
            <v>221.57</v>
          </cell>
          <cell r="O547" t="str">
            <v>Y</v>
          </cell>
          <cell r="P547" t="str">
            <v>N</v>
          </cell>
          <cell r="Q547" t="str">
            <v>Extra Capacity</v>
          </cell>
          <cell r="S547">
            <v>0.15</v>
          </cell>
        </row>
        <row r="548">
          <cell r="D548">
            <v>908003467</v>
          </cell>
          <cell r="E548" t="str">
            <v>GEORGE GARCIA</v>
          </cell>
          <cell r="F548" t="str">
            <v>2 Gen (All)</v>
          </cell>
          <cell r="G548" t="str">
            <v>G1440815</v>
          </cell>
          <cell r="H548" t="str">
            <v xml:space="preserve">Allied </v>
          </cell>
          <cell r="I548">
            <v>0.83333333333333337</v>
          </cell>
          <cell r="J548">
            <v>0.33333333333333331</v>
          </cell>
          <cell r="K548">
            <v>11.3333333333333</v>
          </cell>
          <cell r="L548">
            <v>145.07</v>
          </cell>
          <cell r="O548" t="str">
            <v>Y</v>
          </cell>
          <cell r="P548" t="str">
            <v>N</v>
          </cell>
          <cell r="Q548" t="str">
            <v>Specials</v>
          </cell>
          <cell r="S548">
            <v>0.3</v>
          </cell>
        </row>
        <row r="549">
          <cell r="D549">
            <v>908003299</v>
          </cell>
          <cell r="E549" t="str">
            <v>GRACE CHIKWAVA</v>
          </cell>
          <cell r="F549" t="str">
            <v>D (Ch)</v>
          </cell>
          <cell r="G549">
            <v>16681</v>
          </cell>
          <cell r="H549" t="str">
            <v>Choice</v>
          </cell>
          <cell r="I549">
            <v>0.29166666666666669</v>
          </cell>
          <cell r="J549">
            <v>0.625</v>
          </cell>
          <cell r="K549">
            <v>7.5</v>
          </cell>
          <cell r="L549">
            <v>182.78</v>
          </cell>
          <cell r="O549" t="str">
            <v>Y</v>
          </cell>
          <cell r="P549" t="str">
            <v>N</v>
          </cell>
          <cell r="Q549" t="str">
            <v>Extra Capacity</v>
          </cell>
          <cell r="S549">
            <v>0.2</v>
          </cell>
        </row>
        <row r="550">
          <cell r="D550">
            <v>908003321</v>
          </cell>
          <cell r="E550" t="str">
            <v>HILDA SHANGE</v>
          </cell>
          <cell r="F550" t="str">
            <v>D (Ch)</v>
          </cell>
          <cell r="G550">
            <v>16659</v>
          </cell>
          <cell r="H550" t="str">
            <v>Choice</v>
          </cell>
          <cell r="I550">
            <v>0.8125</v>
          </cell>
          <cell r="J550">
            <v>0.33333333333333331</v>
          </cell>
          <cell r="K550">
            <v>11.8333333333333</v>
          </cell>
          <cell r="L550">
            <v>374.89</v>
          </cell>
          <cell r="O550" t="str">
            <v>Y</v>
          </cell>
          <cell r="P550" t="str">
            <v>N</v>
          </cell>
          <cell r="Q550" t="str">
            <v>Extra Capacity</v>
          </cell>
          <cell r="S550">
            <v>0.32</v>
          </cell>
        </row>
        <row r="551">
          <cell r="D551">
            <v>808005529</v>
          </cell>
          <cell r="E551" t="str">
            <v>JOSEPH BASS</v>
          </cell>
          <cell r="F551" t="str">
            <v>D (MD)</v>
          </cell>
          <cell r="G551">
            <v>330242</v>
          </cell>
          <cell r="H551" t="str">
            <v>Mayday</v>
          </cell>
          <cell r="I551">
            <v>0.875</v>
          </cell>
          <cell r="J551">
            <v>0.30208333333333331</v>
          </cell>
          <cell r="K551">
            <v>9.9166666666666696</v>
          </cell>
          <cell r="L551">
            <v>416.27</v>
          </cell>
          <cell r="O551" t="str">
            <v>Y</v>
          </cell>
          <cell r="P551" t="str">
            <v>N</v>
          </cell>
          <cell r="Q551" t="str">
            <v>Vacancy</v>
          </cell>
          <cell r="S551">
            <v>0.26</v>
          </cell>
        </row>
        <row r="552">
          <cell r="D552">
            <v>908003922</v>
          </cell>
          <cell r="E552" t="str">
            <v>JOY MABITLE</v>
          </cell>
          <cell r="F552" t="str">
            <v>D (MD)</v>
          </cell>
          <cell r="G552">
            <v>341593</v>
          </cell>
          <cell r="H552" t="str">
            <v>Mayday</v>
          </cell>
          <cell r="I552">
            <v>0.79166666666666663</v>
          </cell>
          <cell r="J552">
            <v>0.3125</v>
          </cell>
          <cell r="K552">
            <v>10.5</v>
          </cell>
          <cell r="L552">
            <v>440.76</v>
          </cell>
          <cell r="O552" t="str">
            <v>Y</v>
          </cell>
          <cell r="P552" t="str">
            <v>N</v>
          </cell>
          <cell r="Q552" t="str">
            <v>Emergency Leave</v>
          </cell>
          <cell r="S552">
            <v>0.28000000000000003</v>
          </cell>
        </row>
        <row r="553">
          <cell r="D553">
            <v>808003843</v>
          </cell>
          <cell r="E553" t="str">
            <v>JOYCE RUPERE</v>
          </cell>
          <cell r="F553" t="str">
            <v>D (Ch)</v>
          </cell>
          <cell r="G553">
            <v>16879</v>
          </cell>
          <cell r="H553" t="str">
            <v>Choice</v>
          </cell>
          <cell r="I553">
            <v>0.83333333333333337</v>
          </cell>
          <cell r="J553">
            <v>0.33333333333333331</v>
          </cell>
          <cell r="K553">
            <v>11.3333333333333</v>
          </cell>
          <cell r="L553">
            <v>359.05</v>
          </cell>
          <cell r="O553" t="str">
            <v>Y</v>
          </cell>
          <cell r="P553" t="str">
            <v>N</v>
          </cell>
          <cell r="Q553" t="str">
            <v>Extra Capacity</v>
          </cell>
          <cell r="S553">
            <v>0.3</v>
          </cell>
        </row>
        <row r="554">
          <cell r="D554">
            <v>908002414</v>
          </cell>
          <cell r="E554" t="str">
            <v>KAREN VAUGHAN</v>
          </cell>
          <cell r="F554" t="str">
            <v>D General (Orio</v>
          </cell>
          <cell r="G554" t="str">
            <v>Invsd Smt checked</v>
          </cell>
          <cell r="H554" t="str">
            <v>Orion</v>
          </cell>
          <cell r="I554">
            <v>0.33333333333333331</v>
          </cell>
          <cell r="J554">
            <v>0.75</v>
          </cell>
          <cell r="K554">
            <v>9.5</v>
          </cell>
          <cell r="L554">
            <v>172.14</v>
          </cell>
          <cell r="O554" t="str">
            <v>Y</v>
          </cell>
          <cell r="P554" t="str">
            <v>N</v>
          </cell>
          <cell r="Q554" t="str">
            <v>Vacancy</v>
          </cell>
          <cell r="S554">
            <v>0.25</v>
          </cell>
        </row>
        <row r="555">
          <cell r="D555">
            <v>908005236</v>
          </cell>
          <cell r="E555" t="str">
            <v>KATH BURTON</v>
          </cell>
          <cell r="F555" t="str">
            <v>D (MD)</v>
          </cell>
          <cell r="G555">
            <v>330322</v>
          </cell>
          <cell r="H555" t="str">
            <v>Mayday</v>
          </cell>
          <cell r="I555">
            <v>0.54166666666666663</v>
          </cell>
          <cell r="J555">
            <v>0.85416666666666663</v>
          </cell>
          <cell r="K555">
            <v>7.1666666666666696</v>
          </cell>
          <cell r="L555">
            <v>231.41</v>
          </cell>
          <cell r="O555" t="str">
            <v>Y</v>
          </cell>
          <cell r="P555" t="str">
            <v>N</v>
          </cell>
          <cell r="Q555" t="str">
            <v>Acuity</v>
          </cell>
          <cell r="S555">
            <v>0.19</v>
          </cell>
        </row>
        <row r="556">
          <cell r="D556">
            <v>908003301</v>
          </cell>
          <cell r="E556" t="str">
            <v>KATHY CHIDAVA</v>
          </cell>
          <cell r="F556" t="str">
            <v>D (Ch)</v>
          </cell>
          <cell r="G556">
            <v>16681</v>
          </cell>
          <cell r="H556" t="str">
            <v>Choice</v>
          </cell>
          <cell r="I556">
            <v>0.875</v>
          </cell>
          <cell r="J556">
            <v>0.3125</v>
          </cell>
          <cell r="K556">
            <v>9</v>
          </cell>
          <cell r="L556">
            <v>285.13</v>
          </cell>
          <cell r="O556" t="str">
            <v>Y</v>
          </cell>
          <cell r="P556" t="str">
            <v>N</v>
          </cell>
          <cell r="Q556" t="str">
            <v>Extra Capacity</v>
          </cell>
          <cell r="S556">
            <v>0.24</v>
          </cell>
        </row>
        <row r="557">
          <cell r="D557">
            <v>808003646</v>
          </cell>
          <cell r="E557" t="str">
            <v>LEONA CONTRERAS</v>
          </cell>
          <cell r="F557" t="str">
            <v>D (MD)</v>
          </cell>
          <cell r="G557">
            <v>336591</v>
          </cell>
          <cell r="H557" t="str">
            <v>Mayday</v>
          </cell>
          <cell r="I557">
            <v>0.3125</v>
          </cell>
          <cell r="J557">
            <v>0.64583333333333337</v>
          </cell>
          <cell r="K557">
            <v>7.6666666666666696</v>
          </cell>
          <cell r="L557">
            <v>247.56</v>
          </cell>
          <cell r="O557" t="str">
            <v>Y</v>
          </cell>
          <cell r="P557" t="str">
            <v>N</v>
          </cell>
          <cell r="Q557" t="str">
            <v>Extra Capacity</v>
          </cell>
          <cell r="S557">
            <v>0.2</v>
          </cell>
        </row>
        <row r="558">
          <cell r="D558">
            <v>808003668</v>
          </cell>
          <cell r="E558" t="str">
            <v>LEONA CONTRERAS</v>
          </cell>
          <cell r="F558" t="str">
            <v>D (MD)</v>
          </cell>
          <cell r="G558">
            <v>336591</v>
          </cell>
          <cell r="H558" t="str">
            <v>Mayday</v>
          </cell>
          <cell r="I558">
            <v>0.64583333333333337</v>
          </cell>
          <cell r="J558">
            <v>0.85416666666666663</v>
          </cell>
          <cell r="K558">
            <v>5</v>
          </cell>
          <cell r="L558">
            <v>161.44999999999999</v>
          </cell>
          <cell r="O558" t="str">
            <v>Y</v>
          </cell>
          <cell r="P558" t="str">
            <v>N</v>
          </cell>
          <cell r="Q558" t="str">
            <v>Extra Capacity</v>
          </cell>
          <cell r="S558">
            <v>0.13</v>
          </cell>
        </row>
        <row r="559">
          <cell r="D559">
            <v>908003100</v>
          </cell>
          <cell r="E559" t="str">
            <v>LETECIA MENIANO</v>
          </cell>
          <cell r="F559" t="str">
            <v>D (Ch)</v>
          </cell>
          <cell r="G559">
            <v>16670</v>
          </cell>
          <cell r="H559" t="str">
            <v>Choice</v>
          </cell>
          <cell r="I559">
            <v>0.82291666666666663</v>
          </cell>
          <cell r="J559">
            <v>0.34375</v>
          </cell>
          <cell r="K559">
            <v>11.5</v>
          </cell>
          <cell r="L559">
            <v>364.33</v>
          </cell>
          <cell r="O559" t="str">
            <v>Y</v>
          </cell>
          <cell r="P559" t="str">
            <v>N</v>
          </cell>
          <cell r="Q559" t="str">
            <v>Vacancy</v>
          </cell>
          <cell r="S559">
            <v>0.31</v>
          </cell>
        </row>
        <row r="560">
          <cell r="D560">
            <v>808003802</v>
          </cell>
          <cell r="E560" t="str">
            <v>MELISSA SMITH</v>
          </cell>
          <cell r="F560" t="str">
            <v>D/5 (PS)</v>
          </cell>
          <cell r="H560" t="str">
            <v>Pinnacle Staffing</v>
          </cell>
          <cell r="I560">
            <v>0.3125</v>
          </cell>
          <cell r="J560">
            <v>0.64583333333333337</v>
          </cell>
          <cell r="K560">
            <v>7.6666666666666696</v>
          </cell>
          <cell r="L560">
            <v>130.26</v>
          </cell>
          <cell r="O560" t="str">
            <v>Y</v>
          </cell>
          <cell r="P560" t="str">
            <v>N</v>
          </cell>
          <cell r="Q560" t="str">
            <v>Extra Capacity</v>
          </cell>
          <cell r="S560">
            <v>0.2</v>
          </cell>
        </row>
        <row r="561">
          <cell r="D561">
            <v>908004042</v>
          </cell>
          <cell r="E561" t="str">
            <v>METTA SUNDAY</v>
          </cell>
          <cell r="F561" t="str">
            <v>D (MD)</v>
          </cell>
          <cell r="G561">
            <v>330430</v>
          </cell>
          <cell r="H561" t="str">
            <v>Mayday</v>
          </cell>
          <cell r="I561">
            <v>0.83333333333333337</v>
          </cell>
          <cell r="J561">
            <v>0.33333333333333331</v>
          </cell>
          <cell r="K561">
            <v>11.3333333333333</v>
          </cell>
          <cell r="L561">
            <v>475.74</v>
          </cell>
          <cell r="O561" t="str">
            <v>Y</v>
          </cell>
          <cell r="P561" t="str">
            <v>N</v>
          </cell>
          <cell r="Q561" t="str">
            <v>Extra Capacity</v>
          </cell>
          <cell r="S561">
            <v>0.3</v>
          </cell>
        </row>
        <row r="562">
          <cell r="D562">
            <v>908003320</v>
          </cell>
          <cell r="E562" t="str">
            <v>MIHAELA CHIRIBAU</v>
          </cell>
          <cell r="F562" t="str">
            <v>D (Amb)</v>
          </cell>
          <cell r="G562">
            <v>742610</v>
          </cell>
          <cell r="H562" t="str">
            <v>Ambition</v>
          </cell>
          <cell r="I562">
            <v>0.3125</v>
          </cell>
          <cell r="J562">
            <v>0.58333333333333337</v>
          </cell>
          <cell r="K562">
            <v>6.1666666666666696</v>
          </cell>
          <cell r="L562">
            <v>241.12</v>
          </cell>
          <cell r="O562" t="str">
            <v>Y</v>
          </cell>
          <cell r="P562" t="str">
            <v>N</v>
          </cell>
          <cell r="Q562" t="str">
            <v>Extra Capacity</v>
          </cell>
          <cell r="S562">
            <v>0.16</v>
          </cell>
        </row>
        <row r="563">
          <cell r="D563">
            <v>908004243</v>
          </cell>
          <cell r="E563" t="str">
            <v>MIHAELA CHIRIBAU</v>
          </cell>
          <cell r="F563" t="str">
            <v>D (Amb)</v>
          </cell>
          <cell r="G563">
            <v>742610</v>
          </cell>
          <cell r="H563" t="str">
            <v>Ambition</v>
          </cell>
          <cell r="I563">
            <v>0.58333333333333337</v>
          </cell>
          <cell r="J563">
            <v>0.85416666666666663</v>
          </cell>
          <cell r="K563">
            <v>6.1666666666666696</v>
          </cell>
          <cell r="L563">
            <v>241.12</v>
          </cell>
          <cell r="O563" t="str">
            <v>Y</v>
          </cell>
          <cell r="P563" t="str">
            <v>N</v>
          </cell>
          <cell r="Q563" t="str">
            <v>Extra Capacity</v>
          </cell>
          <cell r="S563">
            <v>0.16</v>
          </cell>
        </row>
        <row r="564">
          <cell r="D564">
            <v>808003210</v>
          </cell>
          <cell r="E564" t="str">
            <v>NORLITA MUNOZ</v>
          </cell>
          <cell r="F564" t="str">
            <v>D (MD)</v>
          </cell>
          <cell r="G564">
            <v>330429</v>
          </cell>
          <cell r="H564" t="str">
            <v>Mayday</v>
          </cell>
          <cell r="I564">
            <v>0.83333333333333337</v>
          </cell>
          <cell r="J564">
            <v>0.32291666666666669</v>
          </cell>
          <cell r="K564">
            <v>10.75</v>
          </cell>
          <cell r="L564">
            <v>451.25</v>
          </cell>
          <cell r="O564" t="str">
            <v>Y</v>
          </cell>
          <cell r="P564" t="str">
            <v>N</v>
          </cell>
          <cell r="Q564" t="str">
            <v>Annual Leave</v>
          </cell>
          <cell r="S564">
            <v>0.28999999999999998</v>
          </cell>
        </row>
        <row r="565">
          <cell r="D565">
            <v>808005551</v>
          </cell>
          <cell r="E565" t="str">
            <v>OMAR SENGHORE</v>
          </cell>
          <cell r="F565" t="str">
            <v>D (MD)</v>
          </cell>
          <cell r="G565">
            <v>329659</v>
          </cell>
          <cell r="H565" t="str">
            <v>Mayday</v>
          </cell>
          <cell r="I565">
            <v>0.875</v>
          </cell>
          <cell r="J565">
            <v>0.30208333333333331</v>
          </cell>
          <cell r="K565">
            <v>9.9166666666666696</v>
          </cell>
          <cell r="L565">
            <v>416.27</v>
          </cell>
          <cell r="O565" t="str">
            <v>Y</v>
          </cell>
          <cell r="P565" t="str">
            <v>N</v>
          </cell>
          <cell r="Q565" t="str">
            <v>Vacancy</v>
          </cell>
          <cell r="S565">
            <v>0.26</v>
          </cell>
        </row>
        <row r="566">
          <cell r="D566">
            <v>808006376</v>
          </cell>
          <cell r="E566" t="str">
            <v>OUSMAN JAWO</v>
          </cell>
          <cell r="F566" t="str">
            <v>D (MD)</v>
          </cell>
          <cell r="G566">
            <v>329835</v>
          </cell>
          <cell r="H566" t="str">
            <v>Mayday</v>
          </cell>
          <cell r="I566">
            <v>0.83333333333333337</v>
          </cell>
          <cell r="J566">
            <v>0.33333333333333331</v>
          </cell>
          <cell r="K566">
            <v>11.3333333333333</v>
          </cell>
          <cell r="L566">
            <v>475.74</v>
          </cell>
          <cell r="O566" t="str">
            <v>Y</v>
          </cell>
          <cell r="P566" t="str">
            <v>N</v>
          </cell>
          <cell r="Q566" t="str">
            <v>Vacancy</v>
          </cell>
          <cell r="S566">
            <v>0.3</v>
          </cell>
        </row>
        <row r="567">
          <cell r="D567">
            <v>908003472</v>
          </cell>
          <cell r="E567" t="str">
            <v>OWEN WENYEVE</v>
          </cell>
          <cell r="F567" t="str">
            <v>A (Ch)</v>
          </cell>
          <cell r="G567">
            <v>17093</v>
          </cell>
          <cell r="H567" t="str">
            <v>Choice</v>
          </cell>
          <cell r="I567">
            <v>0.33333333333333331</v>
          </cell>
          <cell r="J567">
            <v>0.58333333333333337</v>
          </cell>
          <cell r="K567">
            <v>5.6666666666666696</v>
          </cell>
          <cell r="L567">
            <v>62.84</v>
          </cell>
          <cell r="O567" t="str">
            <v>Y</v>
          </cell>
          <cell r="P567" t="str">
            <v>N</v>
          </cell>
          <cell r="Q567" t="str">
            <v>Specials</v>
          </cell>
          <cell r="S567">
            <v>0.15</v>
          </cell>
        </row>
        <row r="568">
          <cell r="D568">
            <v>908003473</v>
          </cell>
          <cell r="E568" t="str">
            <v>OWEN WENYEVE</v>
          </cell>
          <cell r="F568" t="str">
            <v>A (Ch)</v>
          </cell>
          <cell r="G568">
            <v>17093</v>
          </cell>
          <cell r="H568" t="str">
            <v>Choice</v>
          </cell>
          <cell r="I568">
            <v>0.58333333333333337</v>
          </cell>
          <cell r="J568">
            <v>0.83333333333333337</v>
          </cell>
          <cell r="K568">
            <v>5.6666666666666696</v>
          </cell>
          <cell r="L568">
            <v>62.84</v>
          </cell>
          <cell r="O568" t="str">
            <v>Y</v>
          </cell>
          <cell r="P568" t="str">
            <v>N</v>
          </cell>
          <cell r="Q568" t="str">
            <v>Specials</v>
          </cell>
          <cell r="S568">
            <v>0.15</v>
          </cell>
        </row>
        <row r="569">
          <cell r="D569">
            <v>908004073</v>
          </cell>
          <cell r="E569" t="str">
            <v>PARMANUND PERYAGH</v>
          </cell>
          <cell r="F569" t="str">
            <v>D (Amb)</v>
          </cell>
          <cell r="G569">
            <v>742657</v>
          </cell>
          <cell r="H569" t="str">
            <v>Ambition</v>
          </cell>
          <cell r="I569">
            <v>0.3125</v>
          </cell>
          <cell r="J569">
            <v>0.60416666666666663</v>
          </cell>
          <cell r="K569">
            <v>7.1666666666666696</v>
          </cell>
          <cell r="L569">
            <v>280.22000000000003</v>
          </cell>
          <cell r="O569" t="str">
            <v>Y</v>
          </cell>
          <cell r="P569" t="str">
            <v>N</v>
          </cell>
          <cell r="Q569" t="str">
            <v>On-Call</v>
          </cell>
          <cell r="S569">
            <v>0.19</v>
          </cell>
        </row>
        <row r="570">
          <cell r="D570">
            <v>908003160</v>
          </cell>
          <cell r="E570" t="str">
            <v>PEGGY MAPOGO</v>
          </cell>
          <cell r="F570" t="str">
            <v>D (Ch)</v>
          </cell>
          <cell r="G570">
            <v>16660</v>
          </cell>
          <cell r="H570" t="str">
            <v>Choice</v>
          </cell>
          <cell r="I570">
            <v>0.3125</v>
          </cell>
          <cell r="J570">
            <v>0.54166666666666663</v>
          </cell>
          <cell r="K570">
            <v>5.5</v>
          </cell>
          <cell r="L570">
            <v>134.03</v>
          </cell>
          <cell r="O570" t="str">
            <v>Y</v>
          </cell>
          <cell r="P570" t="str">
            <v>N</v>
          </cell>
          <cell r="Q570" t="str">
            <v>Extra Capacity</v>
          </cell>
          <cell r="S570">
            <v>0.15</v>
          </cell>
        </row>
        <row r="571">
          <cell r="D571">
            <v>908004040</v>
          </cell>
          <cell r="E571" t="str">
            <v>PEGGY MAPOGO</v>
          </cell>
          <cell r="F571" t="str">
            <v>D (Ch)</v>
          </cell>
          <cell r="G571">
            <v>16663</v>
          </cell>
          <cell r="H571" t="str">
            <v>Choice</v>
          </cell>
          <cell r="I571">
            <v>0.60416666666666663</v>
          </cell>
          <cell r="J571">
            <v>0.85416666666666663</v>
          </cell>
          <cell r="K571">
            <v>5.6666666666666696</v>
          </cell>
          <cell r="L571">
            <v>138.1</v>
          </cell>
          <cell r="O571" t="str">
            <v>Y</v>
          </cell>
          <cell r="P571" t="str">
            <v>N</v>
          </cell>
          <cell r="Q571" t="str">
            <v>Extra Capacity</v>
          </cell>
          <cell r="S571">
            <v>0.15</v>
          </cell>
        </row>
        <row r="572">
          <cell r="D572">
            <v>908000873</v>
          </cell>
          <cell r="E572" t="str">
            <v>SAM KELEM</v>
          </cell>
          <cell r="F572" t="str">
            <v>D (Ch)</v>
          </cell>
          <cell r="G572">
            <v>16685</v>
          </cell>
          <cell r="H572" t="str">
            <v>Choice</v>
          </cell>
          <cell r="I572">
            <v>0.83333333333333337</v>
          </cell>
          <cell r="J572">
            <v>0.33333333333333331</v>
          </cell>
          <cell r="K572">
            <v>11.3333333333333</v>
          </cell>
          <cell r="L572">
            <v>359.05</v>
          </cell>
          <cell r="O572" t="str">
            <v>Y</v>
          </cell>
          <cell r="P572" t="str">
            <v>N</v>
          </cell>
          <cell r="Q572" t="str">
            <v>Vacancy</v>
          </cell>
          <cell r="S572">
            <v>0.3</v>
          </cell>
        </row>
        <row r="573">
          <cell r="D573">
            <v>908004113</v>
          </cell>
          <cell r="E573" t="str">
            <v>SPECIAL DOKOCERA</v>
          </cell>
          <cell r="F573" t="str">
            <v>D (Amb)</v>
          </cell>
          <cell r="G573">
            <v>742662</v>
          </cell>
          <cell r="H573" t="str">
            <v>Ambition</v>
          </cell>
          <cell r="I573">
            <v>0.83333333333333337</v>
          </cell>
          <cell r="J573">
            <v>0.32291666666666669</v>
          </cell>
          <cell r="K573">
            <v>10.75</v>
          </cell>
          <cell r="L573">
            <v>546.41999999999996</v>
          </cell>
          <cell r="O573" t="str">
            <v>Y</v>
          </cell>
          <cell r="P573" t="str">
            <v>N</v>
          </cell>
          <cell r="Q573" t="str">
            <v>Short Term Sick</v>
          </cell>
          <cell r="S573">
            <v>0.28999999999999998</v>
          </cell>
        </row>
        <row r="574">
          <cell r="D574">
            <v>908005242</v>
          </cell>
          <cell r="E574" t="str">
            <v>TEMBI NOSHA</v>
          </cell>
          <cell r="F574" t="str">
            <v>D (MD)</v>
          </cell>
          <cell r="G574">
            <v>331353</v>
          </cell>
          <cell r="H574" t="str">
            <v>Mayday</v>
          </cell>
          <cell r="I574">
            <v>0.83333333333333337</v>
          </cell>
          <cell r="J574">
            <v>0.33333333333333331</v>
          </cell>
          <cell r="K574">
            <v>11</v>
          </cell>
          <cell r="L574">
            <v>461.75</v>
          </cell>
          <cell r="O574" t="str">
            <v>Y</v>
          </cell>
          <cell r="P574" t="str">
            <v>N</v>
          </cell>
          <cell r="Q574" t="str">
            <v>Acuity</v>
          </cell>
          <cell r="S574">
            <v>0.28999999999999998</v>
          </cell>
        </row>
        <row r="575">
          <cell r="D575">
            <v>908002416</v>
          </cell>
          <cell r="E575" t="str">
            <v>TOM OSBOURNE</v>
          </cell>
          <cell r="F575" t="str">
            <v>D General (Orio</v>
          </cell>
          <cell r="G575" t="str">
            <v>Invsd Smt checked</v>
          </cell>
          <cell r="H575" t="str">
            <v>Orion</v>
          </cell>
          <cell r="I575">
            <v>0.33333333333333331</v>
          </cell>
          <cell r="J575">
            <v>0.75</v>
          </cell>
          <cell r="K575">
            <v>9.5</v>
          </cell>
          <cell r="L575">
            <v>172.14</v>
          </cell>
          <cell r="O575" t="str">
            <v>Y</v>
          </cell>
          <cell r="P575" t="str">
            <v>N</v>
          </cell>
          <cell r="Q575" t="str">
            <v>Vacancy</v>
          </cell>
          <cell r="S575">
            <v>0.25</v>
          </cell>
        </row>
        <row r="576">
          <cell r="D576">
            <v>908003471</v>
          </cell>
          <cell r="E576" t="str">
            <v>TRUST CHIWUNDURA g mulupe</v>
          </cell>
          <cell r="F576" t="str">
            <v>A (Ch)</v>
          </cell>
          <cell r="G576" t="str">
            <v>16667/16665</v>
          </cell>
          <cell r="H576" t="str">
            <v>Choice</v>
          </cell>
          <cell r="I576">
            <v>0.83333333333333337</v>
          </cell>
          <cell r="J576">
            <v>0.33333333333333331</v>
          </cell>
          <cell r="K576">
            <v>11.3333333333333</v>
          </cell>
          <cell r="L576">
            <v>167.58</v>
          </cell>
          <cell r="O576" t="str">
            <v>Y</v>
          </cell>
          <cell r="P576" t="str">
            <v>N</v>
          </cell>
          <cell r="Q576" t="str">
            <v>Specials</v>
          </cell>
          <cell r="S576">
            <v>0.3</v>
          </cell>
        </row>
        <row r="577">
          <cell r="D577">
            <v>908004464</v>
          </cell>
          <cell r="E577" t="str">
            <v>VICTORIA MAESTRANI</v>
          </cell>
          <cell r="F577" t="str">
            <v>D (MD)</v>
          </cell>
          <cell r="H577" t="str">
            <v>Mayday</v>
          </cell>
          <cell r="I577">
            <v>0.5625</v>
          </cell>
          <cell r="J577">
            <v>0.85416666666666663</v>
          </cell>
          <cell r="K577">
            <v>6.6666666666666696</v>
          </cell>
          <cell r="L577">
            <v>215.27</v>
          </cell>
          <cell r="O577" t="str">
            <v>Y</v>
          </cell>
          <cell r="P577" t="str">
            <v>N</v>
          </cell>
          <cell r="Q577" t="str">
            <v>Nurse Moved</v>
          </cell>
          <cell r="S577">
            <v>0.18</v>
          </cell>
        </row>
        <row r="578">
          <cell r="D578">
            <v>908000876</v>
          </cell>
          <cell r="E578" t="str">
            <v>ANNA BONNERUP</v>
          </cell>
          <cell r="F578" t="str">
            <v>D / 5 General (</v>
          </cell>
          <cell r="G578" t="str">
            <v>604-149666</v>
          </cell>
          <cell r="H578" t="str">
            <v>Blue Arrow</v>
          </cell>
          <cell r="I578">
            <v>0.3125</v>
          </cell>
          <cell r="J578">
            <v>0.54166666666666663</v>
          </cell>
          <cell r="K578">
            <v>5.5</v>
          </cell>
          <cell r="L578">
            <v>92.84</v>
          </cell>
          <cell r="O578" t="str">
            <v>Y</v>
          </cell>
          <cell r="P578" t="str">
            <v>N</v>
          </cell>
          <cell r="Q578" t="str">
            <v>Vacancy</v>
          </cell>
          <cell r="S578">
            <v>0.15</v>
          </cell>
        </row>
        <row r="579">
          <cell r="D579">
            <v>908000878</v>
          </cell>
          <cell r="E579" t="str">
            <v>ANNA BONNERUP</v>
          </cell>
          <cell r="F579" t="str">
            <v>D / 5 General (</v>
          </cell>
          <cell r="G579" t="str">
            <v>604-149666</v>
          </cell>
          <cell r="H579" t="str">
            <v>Blue Arrow</v>
          </cell>
          <cell r="I579">
            <v>0.625</v>
          </cell>
          <cell r="J579">
            <v>0.85416666666666663</v>
          </cell>
          <cell r="K579">
            <v>5.5</v>
          </cell>
          <cell r="L579">
            <v>92.84</v>
          </cell>
          <cell r="O579" t="str">
            <v>Y</v>
          </cell>
          <cell r="P579" t="str">
            <v>N</v>
          </cell>
          <cell r="Q579" t="str">
            <v>Vacancy</v>
          </cell>
          <cell r="S579">
            <v>0.15</v>
          </cell>
        </row>
        <row r="580">
          <cell r="D580">
            <v>808003809</v>
          </cell>
          <cell r="E580" t="str">
            <v>BEAUTY NGIDI</v>
          </cell>
          <cell r="F580" t="str">
            <v>D (MD)</v>
          </cell>
          <cell r="G580">
            <v>330236</v>
          </cell>
          <cell r="H580" t="str">
            <v>Mayday</v>
          </cell>
          <cell r="I580">
            <v>0.3125</v>
          </cell>
          <cell r="J580">
            <v>0.64583333333333337</v>
          </cell>
          <cell r="K580">
            <v>7.6666666666666696</v>
          </cell>
          <cell r="L580">
            <v>247.56</v>
          </cell>
          <cell r="O580" t="str">
            <v>Y</v>
          </cell>
          <cell r="P580" t="str">
            <v>N</v>
          </cell>
          <cell r="Q580" t="str">
            <v>Extra Capacity</v>
          </cell>
          <cell r="S580">
            <v>0.2</v>
          </cell>
        </row>
        <row r="581">
          <cell r="D581">
            <v>808003826</v>
          </cell>
          <cell r="E581" t="str">
            <v>BEAUTY NGIDI</v>
          </cell>
          <cell r="F581" t="str">
            <v>D (MD)</v>
          </cell>
          <cell r="G581">
            <v>330236</v>
          </cell>
          <cell r="H581" t="str">
            <v>Mayday</v>
          </cell>
          <cell r="I581">
            <v>0.64583333333333337</v>
          </cell>
          <cell r="J581">
            <v>0.85416666666666663</v>
          </cell>
          <cell r="K581">
            <v>5</v>
          </cell>
          <cell r="L581">
            <v>161.44999999999999</v>
          </cell>
          <cell r="O581" t="str">
            <v>Y</v>
          </cell>
          <cell r="P581" t="str">
            <v>N</v>
          </cell>
          <cell r="Q581" t="str">
            <v>Extra Capacity</v>
          </cell>
          <cell r="S581">
            <v>0.13</v>
          </cell>
        </row>
        <row r="582">
          <cell r="D582">
            <v>808003635</v>
          </cell>
          <cell r="E582" t="str">
            <v>BRIGHTNESS NDEBELE</v>
          </cell>
          <cell r="F582" t="str">
            <v>D (MD)</v>
          </cell>
          <cell r="H582" t="str">
            <v>Mayday</v>
          </cell>
          <cell r="I582">
            <v>0.3125</v>
          </cell>
          <cell r="J582">
            <v>0.64583333333333337</v>
          </cell>
          <cell r="K582">
            <v>7.6666666666666696</v>
          </cell>
          <cell r="L582">
            <v>247.56</v>
          </cell>
          <cell r="O582" t="str">
            <v>Y</v>
          </cell>
          <cell r="P582" t="str">
            <v>N</v>
          </cell>
          <cell r="Q582" t="str">
            <v>Extra Capacity</v>
          </cell>
          <cell r="S582">
            <v>0.2</v>
          </cell>
        </row>
        <row r="583">
          <cell r="D583">
            <v>808003669</v>
          </cell>
          <cell r="E583" t="str">
            <v>BRIGHTNESS NDEBELE</v>
          </cell>
          <cell r="F583" t="str">
            <v>D (MD)</v>
          </cell>
          <cell r="H583" t="str">
            <v>Mayday</v>
          </cell>
          <cell r="I583">
            <v>0.64583333333333337</v>
          </cell>
          <cell r="J583">
            <v>0.85416666666666663</v>
          </cell>
          <cell r="K583">
            <v>5</v>
          </cell>
          <cell r="L583">
            <v>161.44999999999999</v>
          </cell>
          <cell r="O583" t="str">
            <v>Y</v>
          </cell>
          <cell r="P583" t="str">
            <v>N</v>
          </cell>
          <cell r="Q583" t="str">
            <v>Extra Capacity</v>
          </cell>
          <cell r="S583">
            <v>0.13</v>
          </cell>
        </row>
        <row r="584">
          <cell r="D584">
            <v>908004014</v>
          </cell>
          <cell r="E584" t="str">
            <v>CARL HIBBERT</v>
          </cell>
          <cell r="F584" t="str">
            <v>D (Ch)</v>
          </cell>
          <cell r="G584">
            <v>16685</v>
          </cell>
          <cell r="H584" t="str">
            <v>Choice</v>
          </cell>
          <cell r="I584">
            <v>0.83333333333333337</v>
          </cell>
          <cell r="J584">
            <v>0.33333333333333331</v>
          </cell>
          <cell r="K584">
            <v>11.3333333333333</v>
          </cell>
          <cell r="L584">
            <v>359.05</v>
          </cell>
          <cell r="O584" t="str">
            <v>Y</v>
          </cell>
          <cell r="P584" t="str">
            <v>N</v>
          </cell>
          <cell r="Q584" t="str">
            <v>Vacancy</v>
          </cell>
          <cell r="S584">
            <v>0.3</v>
          </cell>
        </row>
        <row r="585">
          <cell r="D585">
            <v>908005246</v>
          </cell>
          <cell r="E585" t="str">
            <v>CARMEN MAURICIO</v>
          </cell>
          <cell r="F585" t="str">
            <v>D (MD)</v>
          </cell>
          <cell r="G585">
            <v>329462</v>
          </cell>
          <cell r="H585" t="str">
            <v>Mayday</v>
          </cell>
          <cell r="I585">
            <v>0.83333333333333337</v>
          </cell>
          <cell r="J585">
            <v>0.33333333333333331</v>
          </cell>
          <cell r="K585">
            <v>11</v>
          </cell>
          <cell r="L585">
            <v>461.75</v>
          </cell>
          <cell r="O585" t="str">
            <v>Y</v>
          </cell>
          <cell r="P585" t="str">
            <v>N</v>
          </cell>
          <cell r="Q585" t="str">
            <v>Acuity</v>
          </cell>
          <cell r="S585">
            <v>0.28999999999999998</v>
          </cell>
        </row>
        <row r="586">
          <cell r="D586">
            <v>808005024</v>
          </cell>
          <cell r="E586" t="str">
            <v>CHRIS STULAR</v>
          </cell>
          <cell r="F586" t="str">
            <v>D General (Orio</v>
          </cell>
          <cell r="G586" t="str">
            <v>Invsd Smt checked</v>
          </cell>
          <cell r="H586" t="str">
            <v>Orion</v>
          </cell>
          <cell r="I586">
            <v>0.33333333333333331</v>
          </cell>
          <cell r="J586">
            <v>0.75</v>
          </cell>
          <cell r="K586">
            <v>9.5</v>
          </cell>
          <cell r="L586">
            <v>172.14</v>
          </cell>
          <cell r="O586" t="str">
            <v>Y</v>
          </cell>
          <cell r="P586" t="str">
            <v>N</v>
          </cell>
          <cell r="Q586" t="str">
            <v>Backfill</v>
          </cell>
          <cell r="S586">
            <v>0.25</v>
          </cell>
        </row>
        <row r="587">
          <cell r="D587">
            <v>808003641</v>
          </cell>
          <cell r="E587" t="str">
            <v>DIGRACIA  NAPE</v>
          </cell>
          <cell r="F587" t="str">
            <v>D (MD)</v>
          </cell>
          <cell r="G587">
            <v>329168</v>
          </cell>
          <cell r="H587" t="str">
            <v>Mayday</v>
          </cell>
          <cell r="I587">
            <v>0.3125</v>
          </cell>
          <cell r="J587">
            <v>0.64583333333333337</v>
          </cell>
          <cell r="K587">
            <v>7.6666666666666696</v>
          </cell>
          <cell r="L587">
            <v>247.56</v>
          </cell>
          <cell r="O587" t="str">
            <v>Y</v>
          </cell>
          <cell r="P587" t="str">
            <v>N</v>
          </cell>
          <cell r="Q587" t="str">
            <v>Extra Capacity</v>
          </cell>
          <cell r="S587">
            <v>0.2</v>
          </cell>
        </row>
        <row r="588">
          <cell r="D588">
            <v>808005073</v>
          </cell>
          <cell r="E588" t="str">
            <v>EMMA FLIT-ELY</v>
          </cell>
          <cell r="F588" t="str">
            <v>D (Ch)</v>
          </cell>
          <cell r="G588">
            <v>16675</v>
          </cell>
          <cell r="H588" t="str">
            <v>Choice</v>
          </cell>
          <cell r="I588">
            <v>0.3125</v>
          </cell>
          <cell r="J588">
            <v>0.5625</v>
          </cell>
          <cell r="K588">
            <v>5.6666666666666696</v>
          </cell>
          <cell r="L588">
            <v>138.1</v>
          </cell>
          <cell r="O588" t="str">
            <v>Y</v>
          </cell>
          <cell r="P588" t="str">
            <v>N</v>
          </cell>
          <cell r="Q588" t="str">
            <v>Vacancy</v>
          </cell>
          <cell r="S588">
            <v>0.15</v>
          </cell>
        </row>
        <row r="589">
          <cell r="D589">
            <v>908003980</v>
          </cell>
          <cell r="E589" t="str">
            <v>GEORGE GARCIA</v>
          </cell>
          <cell r="F589" t="str">
            <v>2 Gen (All)</v>
          </cell>
          <cell r="G589" t="str">
            <v>G1440816</v>
          </cell>
          <cell r="H589" t="str">
            <v xml:space="preserve">Allied </v>
          </cell>
          <cell r="I589">
            <v>0.83333333333333337</v>
          </cell>
          <cell r="J589">
            <v>0.33333333333333331</v>
          </cell>
          <cell r="K589">
            <v>11.3333333333333</v>
          </cell>
          <cell r="L589">
            <v>145.07</v>
          </cell>
          <cell r="O589" t="str">
            <v>Y</v>
          </cell>
          <cell r="P589" t="str">
            <v>N</v>
          </cell>
          <cell r="Q589" t="str">
            <v>Specials</v>
          </cell>
          <cell r="S589">
            <v>0.3</v>
          </cell>
        </row>
        <row r="590">
          <cell r="D590">
            <v>908003164</v>
          </cell>
          <cell r="E590" t="str">
            <v>GERTRUDE CHIGWADA</v>
          </cell>
          <cell r="F590" t="str">
            <v>D (MD)</v>
          </cell>
          <cell r="G590">
            <v>330415</v>
          </cell>
          <cell r="H590" t="str">
            <v>Mayday</v>
          </cell>
          <cell r="I590">
            <v>0.3125</v>
          </cell>
          <cell r="J590">
            <v>0.54166666666666663</v>
          </cell>
          <cell r="K590">
            <v>5.5</v>
          </cell>
          <cell r="L590">
            <v>177.59</v>
          </cell>
          <cell r="O590" t="str">
            <v>Y</v>
          </cell>
          <cell r="P590" t="str">
            <v>N</v>
          </cell>
          <cell r="Q590" t="str">
            <v>Extra Capacity</v>
          </cell>
          <cell r="S590">
            <v>0.15</v>
          </cell>
        </row>
        <row r="591">
          <cell r="D591">
            <v>908003167</v>
          </cell>
          <cell r="E591" t="str">
            <v>GERTRUDE CHIGWADA</v>
          </cell>
          <cell r="F591" t="str">
            <v>D (MD)</v>
          </cell>
          <cell r="G591">
            <v>330415</v>
          </cell>
          <cell r="H591" t="str">
            <v>Mayday</v>
          </cell>
          <cell r="I591">
            <v>0.625</v>
          </cell>
          <cell r="J591">
            <v>0.85416666666666663</v>
          </cell>
          <cell r="K591">
            <v>5.5</v>
          </cell>
          <cell r="L591">
            <v>177.59</v>
          </cell>
          <cell r="O591" t="str">
            <v>Y</v>
          </cell>
          <cell r="P591" t="str">
            <v>N</v>
          </cell>
          <cell r="Q591" t="str">
            <v>Extra Capacity</v>
          </cell>
          <cell r="S591">
            <v>0.15</v>
          </cell>
        </row>
        <row r="592">
          <cell r="D592">
            <v>808006386</v>
          </cell>
          <cell r="E592" t="str">
            <v>GILLIAN ROUTLEDGE</v>
          </cell>
          <cell r="F592" t="str">
            <v>D (Amb)</v>
          </cell>
          <cell r="G592">
            <v>742666</v>
          </cell>
          <cell r="H592" t="str">
            <v>Ambition</v>
          </cell>
          <cell r="I592">
            <v>0.625</v>
          </cell>
          <cell r="J592">
            <v>0.85416666666666663</v>
          </cell>
          <cell r="K592">
            <v>5.5</v>
          </cell>
          <cell r="L592">
            <v>215.05</v>
          </cell>
          <cell r="O592" t="str">
            <v>Y</v>
          </cell>
          <cell r="P592" t="str">
            <v>N</v>
          </cell>
          <cell r="Q592" t="str">
            <v>Vacancy</v>
          </cell>
          <cell r="S592">
            <v>0.15</v>
          </cell>
        </row>
        <row r="593">
          <cell r="D593">
            <v>808005072</v>
          </cell>
          <cell r="E593" t="str">
            <v>GRACE CHIKWAVA</v>
          </cell>
          <cell r="F593" t="str">
            <v>D (Ch)</v>
          </cell>
          <cell r="G593">
            <v>16675</v>
          </cell>
          <cell r="H593" t="str">
            <v>Choice</v>
          </cell>
          <cell r="I593">
            <v>0.3125</v>
          </cell>
          <cell r="J593">
            <v>0.5625</v>
          </cell>
          <cell r="K593">
            <v>5.6666666666666696</v>
          </cell>
          <cell r="L593">
            <v>138.1</v>
          </cell>
          <cell r="O593" t="str">
            <v>Y</v>
          </cell>
          <cell r="P593" t="str">
            <v>N</v>
          </cell>
          <cell r="Q593" t="str">
            <v>Vacancy</v>
          </cell>
          <cell r="S593">
            <v>0.15</v>
          </cell>
        </row>
        <row r="594">
          <cell r="D594">
            <v>808005074</v>
          </cell>
          <cell r="E594" t="str">
            <v>GRACE CHIKWAVA</v>
          </cell>
          <cell r="F594" t="str">
            <v>D (Ch)</v>
          </cell>
          <cell r="G594">
            <v>16675</v>
          </cell>
          <cell r="H594" t="str">
            <v>Choice</v>
          </cell>
          <cell r="I594">
            <v>0.60416666666666663</v>
          </cell>
          <cell r="J594">
            <v>0.8125</v>
          </cell>
          <cell r="K594">
            <v>5</v>
          </cell>
          <cell r="L594">
            <v>121.85</v>
          </cell>
          <cell r="O594" t="str">
            <v>Y</v>
          </cell>
          <cell r="P594" t="str">
            <v>N</v>
          </cell>
          <cell r="Q594" t="str">
            <v>Vacancy</v>
          </cell>
          <cell r="S594">
            <v>0.13</v>
          </cell>
        </row>
        <row r="595">
          <cell r="D595">
            <v>908003305</v>
          </cell>
          <cell r="E595" t="str">
            <v>GRACE PANDARAOAM</v>
          </cell>
          <cell r="F595" t="str">
            <v>D (Ch)</v>
          </cell>
          <cell r="G595">
            <v>16751</v>
          </cell>
          <cell r="H595" t="str">
            <v>Choice</v>
          </cell>
          <cell r="I595">
            <v>0.875</v>
          </cell>
          <cell r="J595">
            <v>0.3125</v>
          </cell>
          <cell r="K595">
            <v>10.1666666666667</v>
          </cell>
          <cell r="L595">
            <v>322.08999999999997</v>
          </cell>
          <cell r="O595" t="str">
            <v>Y</v>
          </cell>
          <cell r="P595" t="str">
            <v>N</v>
          </cell>
          <cell r="Q595" t="str">
            <v>Extra Capacity</v>
          </cell>
          <cell r="S595">
            <v>0.27</v>
          </cell>
        </row>
        <row r="596">
          <cell r="D596">
            <v>908003324</v>
          </cell>
          <cell r="E596" t="str">
            <v>HILDA SHANGE</v>
          </cell>
          <cell r="F596" t="str">
            <v>D (Ch)</v>
          </cell>
          <cell r="G596">
            <v>16749</v>
          </cell>
          <cell r="H596" t="str">
            <v>Choice</v>
          </cell>
          <cell r="I596">
            <v>0.8125</v>
          </cell>
          <cell r="J596">
            <v>0.33333333333333331</v>
          </cell>
          <cell r="K596">
            <v>11.8333333333333</v>
          </cell>
          <cell r="L596">
            <v>374.89</v>
          </cell>
          <cell r="O596" t="str">
            <v>Y</v>
          </cell>
          <cell r="P596" t="str">
            <v>N</v>
          </cell>
          <cell r="Q596" t="str">
            <v>Extra Capacity</v>
          </cell>
          <cell r="S596">
            <v>0.32</v>
          </cell>
        </row>
        <row r="597">
          <cell r="D597">
            <v>808006898</v>
          </cell>
          <cell r="E597" t="str">
            <v>HILDA WENYERE</v>
          </cell>
          <cell r="F597" t="str">
            <v>A (Ch)</v>
          </cell>
          <cell r="G597">
            <v>16672</v>
          </cell>
          <cell r="H597" t="str">
            <v>Choice</v>
          </cell>
          <cell r="I597">
            <v>0.82291666666666663</v>
          </cell>
          <cell r="J597">
            <v>0.34375</v>
          </cell>
          <cell r="K597">
            <v>10.5</v>
          </cell>
          <cell r="L597">
            <v>155.26</v>
          </cell>
          <cell r="O597" t="str">
            <v>Y</v>
          </cell>
          <cell r="P597" t="str">
            <v>N</v>
          </cell>
          <cell r="Q597" t="str">
            <v>Vacancy</v>
          </cell>
          <cell r="S597">
            <v>0.28000000000000003</v>
          </cell>
        </row>
        <row r="598">
          <cell r="D598">
            <v>908004397</v>
          </cell>
          <cell r="E598" t="str">
            <v>JANE DUNSMURE</v>
          </cell>
          <cell r="F598" t="str">
            <v>D/5 (PS)</v>
          </cell>
          <cell r="H598" t="str">
            <v>Pinnacle Staffing</v>
          </cell>
          <cell r="I598">
            <v>0.875</v>
          </cell>
          <cell r="J598">
            <v>0.30208333333333331</v>
          </cell>
          <cell r="K598">
            <v>9.9166666666666696</v>
          </cell>
          <cell r="L598">
            <v>219.03</v>
          </cell>
          <cell r="O598" t="str">
            <v>Y</v>
          </cell>
          <cell r="P598" t="str">
            <v>N</v>
          </cell>
          <cell r="Q598" t="str">
            <v>Vacancy</v>
          </cell>
          <cell r="S598">
            <v>0.26</v>
          </cell>
        </row>
        <row r="599">
          <cell r="D599">
            <v>908004417</v>
          </cell>
          <cell r="E599" t="str">
            <v>JESSICA BELLAMY</v>
          </cell>
          <cell r="F599" t="str">
            <v>D (MD)</v>
          </cell>
          <cell r="G599">
            <v>329279</v>
          </cell>
          <cell r="H599" t="str">
            <v>Mayday</v>
          </cell>
          <cell r="I599">
            <v>0.83333333333333337</v>
          </cell>
          <cell r="J599">
            <v>0.33333333333333331</v>
          </cell>
          <cell r="K599">
            <v>11.3333333333333</v>
          </cell>
          <cell r="L599">
            <v>475.74</v>
          </cell>
          <cell r="O599" t="str">
            <v>Y</v>
          </cell>
          <cell r="P599" t="str">
            <v>N</v>
          </cell>
          <cell r="Q599" t="str">
            <v>Extra Capacity</v>
          </cell>
          <cell r="S599">
            <v>0.3</v>
          </cell>
        </row>
        <row r="600">
          <cell r="D600">
            <v>908004010</v>
          </cell>
          <cell r="E600" t="str">
            <v>JOANNE BUSS</v>
          </cell>
          <cell r="F600" t="str">
            <v>D (MD)</v>
          </cell>
          <cell r="G600">
            <v>330940</v>
          </cell>
          <cell r="H600" t="str">
            <v>Mayday</v>
          </cell>
          <cell r="I600">
            <v>0.625</v>
          </cell>
          <cell r="J600">
            <v>0.85416666666666663</v>
          </cell>
          <cell r="K600">
            <v>5.5</v>
          </cell>
          <cell r="L600">
            <v>177.59</v>
          </cell>
          <cell r="O600" t="str">
            <v>Y</v>
          </cell>
          <cell r="P600" t="str">
            <v>N</v>
          </cell>
          <cell r="Q600" t="str">
            <v>Short Term Sick</v>
          </cell>
          <cell r="S600">
            <v>0.15</v>
          </cell>
        </row>
        <row r="601">
          <cell r="D601">
            <v>908002420</v>
          </cell>
          <cell r="E601" t="str">
            <v>KAREN VAUGHAN</v>
          </cell>
          <cell r="F601" t="str">
            <v>D General (Orio</v>
          </cell>
          <cell r="G601" t="str">
            <v>Invsd Smt checked</v>
          </cell>
          <cell r="H601" t="str">
            <v>Orion</v>
          </cell>
          <cell r="I601">
            <v>0.33333333333333331</v>
          </cell>
          <cell r="J601">
            <v>0.75</v>
          </cell>
          <cell r="K601">
            <v>9.5</v>
          </cell>
          <cell r="L601">
            <v>172.14</v>
          </cell>
          <cell r="O601" t="str">
            <v>Y</v>
          </cell>
          <cell r="P601" t="str">
            <v>N</v>
          </cell>
          <cell r="Q601" t="str">
            <v>Vacancy</v>
          </cell>
          <cell r="S601">
            <v>0.25</v>
          </cell>
        </row>
        <row r="602">
          <cell r="D602">
            <v>808003851</v>
          </cell>
          <cell r="E602" t="str">
            <v>KIRSTY LAWLER</v>
          </cell>
          <cell r="F602" t="str">
            <v>D (MD)</v>
          </cell>
          <cell r="G602">
            <v>329670</v>
          </cell>
          <cell r="H602" t="str">
            <v>Mayday</v>
          </cell>
          <cell r="I602">
            <v>0.83333333333333337</v>
          </cell>
          <cell r="J602">
            <v>0.33333333333333331</v>
          </cell>
          <cell r="K602">
            <v>11.3333333333333</v>
          </cell>
          <cell r="L602">
            <v>475.74</v>
          </cell>
          <cell r="O602" t="str">
            <v>Y</v>
          </cell>
          <cell r="P602" t="str">
            <v>N</v>
          </cell>
          <cell r="Q602" t="str">
            <v>Extra Capacity</v>
          </cell>
          <cell r="S602">
            <v>0.3</v>
          </cell>
        </row>
        <row r="603">
          <cell r="D603">
            <v>808003803</v>
          </cell>
          <cell r="E603" t="str">
            <v>MELISSA SMITH</v>
          </cell>
          <cell r="F603" t="str">
            <v>D/5 (PS)</v>
          </cell>
          <cell r="H603" t="str">
            <v>Pinnacle Staffing</v>
          </cell>
          <cell r="I603">
            <v>0.3125</v>
          </cell>
          <cell r="J603">
            <v>0.64583333333333337</v>
          </cell>
          <cell r="K603">
            <v>7.6666666666666696</v>
          </cell>
          <cell r="L603">
            <v>130.26</v>
          </cell>
          <cell r="O603" t="str">
            <v>Y</v>
          </cell>
          <cell r="P603" t="str">
            <v>N</v>
          </cell>
          <cell r="Q603" t="str">
            <v>Extra Capacity</v>
          </cell>
          <cell r="S603">
            <v>0.2</v>
          </cell>
        </row>
        <row r="604">
          <cell r="D604">
            <v>908000961</v>
          </cell>
          <cell r="E604" t="str">
            <v>NATHI ZULU</v>
          </cell>
          <cell r="F604" t="str">
            <v>D (MD)</v>
          </cell>
          <cell r="G604">
            <v>329654</v>
          </cell>
          <cell r="H604" t="str">
            <v>Mayday</v>
          </cell>
          <cell r="I604">
            <v>0.82291666666666663</v>
          </cell>
          <cell r="J604">
            <v>0.34375</v>
          </cell>
          <cell r="K604">
            <v>11.5</v>
          </cell>
          <cell r="L604">
            <v>482.74</v>
          </cell>
          <cell r="O604" t="str">
            <v>Y</v>
          </cell>
          <cell r="P604" t="str">
            <v>N</v>
          </cell>
          <cell r="Q604" t="str">
            <v>Vacancy</v>
          </cell>
          <cell r="S604">
            <v>0.31</v>
          </cell>
        </row>
        <row r="605">
          <cell r="D605">
            <v>808003647</v>
          </cell>
          <cell r="E605" t="str">
            <v>PRICILLA SONO</v>
          </cell>
          <cell r="F605" t="str">
            <v>D (MD)</v>
          </cell>
          <cell r="G605">
            <v>329615</v>
          </cell>
          <cell r="H605" t="str">
            <v>Mayday</v>
          </cell>
          <cell r="I605">
            <v>0.3125</v>
          </cell>
          <cell r="J605">
            <v>0.64583333333333337</v>
          </cell>
          <cell r="K605">
            <v>7.6666666666666696</v>
          </cell>
          <cell r="L605">
            <v>247.56</v>
          </cell>
          <cell r="O605" t="str">
            <v>Y</v>
          </cell>
          <cell r="P605" t="str">
            <v>N</v>
          </cell>
          <cell r="Q605" t="str">
            <v>Extra Capacity</v>
          </cell>
          <cell r="S605">
            <v>0.2</v>
          </cell>
        </row>
        <row r="606">
          <cell r="D606">
            <v>808005075</v>
          </cell>
          <cell r="E606" t="str">
            <v>PRICILLA SONO</v>
          </cell>
          <cell r="F606" t="str">
            <v>D (MD)</v>
          </cell>
          <cell r="G606">
            <v>329632</v>
          </cell>
          <cell r="H606" t="str">
            <v>Mayday</v>
          </cell>
          <cell r="I606">
            <v>0.66666666666666663</v>
          </cell>
          <cell r="J606">
            <v>0.8125</v>
          </cell>
          <cell r="K606">
            <v>3.5</v>
          </cell>
          <cell r="L606">
            <v>113.02</v>
          </cell>
          <cell r="O606" t="str">
            <v>Y</v>
          </cell>
          <cell r="P606" t="str">
            <v>N</v>
          </cell>
          <cell r="Q606" t="str">
            <v>Vacancy</v>
          </cell>
          <cell r="S606">
            <v>0.09</v>
          </cell>
        </row>
        <row r="607">
          <cell r="D607">
            <v>908004361</v>
          </cell>
          <cell r="E607" t="str">
            <v>SAM KELEM</v>
          </cell>
          <cell r="F607" t="str">
            <v>D (Ch)</v>
          </cell>
          <cell r="G607">
            <v>16682</v>
          </cell>
          <cell r="H607" t="str">
            <v>Choice</v>
          </cell>
          <cell r="I607">
            <v>0.875</v>
          </cell>
          <cell r="J607">
            <v>0.32291666666666669</v>
          </cell>
          <cell r="K607">
            <v>10</v>
          </cell>
          <cell r="L607">
            <v>316.81</v>
          </cell>
          <cell r="O607" t="str">
            <v>Y</v>
          </cell>
          <cell r="P607" t="str">
            <v>N</v>
          </cell>
          <cell r="Q607" t="str">
            <v>Short Term Sick</v>
          </cell>
          <cell r="S607">
            <v>0.27</v>
          </cell>
        </row>
        <row r="608">
          <cell r="D608">
            <v>808006001</v>
          </cell>
          <cell r="E608" t="str">
            <v>TAEL MHANGO</v>
          </cell>
          <cell r="F608" t="str">
            <v>D (Ch)</v>
          </cell>
          <cell r="G608">
            <v>16658</v>
          </cell>
          <cell r="H608" t="str">
            <v>Choice</v>
          </cell>
          <cell r="I608">
            <v>0.88541666666666663</v>
          </cell>
          <cell r="J608">
            <v>0.3125</v>
          </cell>
          <cell r="K608">
            <v>9.25</v>
          </cell>
          <cell r="L608">
            <v>293.05</v>
          </cell>
          <cell r="O608" t="str">
            <v>Y</v>
          </cell>
          <cell r="P608" t="str">
            <v>N</v>
          </cell>
          <cell r="Q608" t="str">
            <v>Vacancy</v>
          </cell>
          <cell r="S608">
            <v>0.25</v>
          </cell>
        </row>
        <row r="609">
          <cell r="D609">
            <v>908002421</v>
          </cell>
          <cell r="E609" t="str">
            <v>TOM OSBOURNE</v>
          </cell>
          <cell r="F609" t="str">
            <v>D General (Orio</v>
          </cell>
          <cell r="G609" t="str">
            <v>Invsd Smt checked</v>
          </cell>
          <cell r="H609" t="str">
            <v>Orion</v>
          </cell>
          <cell r="I609">
            <v>0.33333333333333331</v>
          </cell>
          <cell r="J609">
            <v>0.75</v>
          </cell>
          <cell r="K609">
            <v>9.5</v>
          </cell>
          <cell r="L609">
            <v>172.14</v>
          </cell>
          <cell r="O609" t="str">
            <v>Y</v>
          </cell>
          <cell r="P609" t="str">
            <v>N</v>
          </cell>
          <cell r="Q609" t="str">
            <v>Vacancy</v>
          </cell>
          <cell r="S609">
            <v>0.25</v>
          </cell>
        </row>
        <row r="610">
          <cell r="D610">
            <v>908003969</v>
          </cell>
          <cell r="E610" t="str">
            <v>ALEX TYLER</v>
          </cell>
          <cell r="F610" t="str">
            <v>A/2 (PS)</v>
          </cell>
          <cell r="H610" t="str">
            <v>Pinnacle Staffing</v>
          </cell>
          <cell r="I610">
            <v>0.33333333333333331</v>
          </cell>
          <cell r="J610">
            <v>0.58333333333333337</v>
          </cell>
          <cell r="K610">
            <v>5.6666666666666696</v>
          </cell>
          <cell r="L610">
            <v>53.15</v>
          </cell>
          <cell r="O610" t="str">
            <v>Y</v>
          </cell>
          <cell r="P610" t="str">
            <v>N</v>
          </cell>
          <cell r="Q610" t="str">
            <v>Specials</v>
          </cell>
          <cell r="S610">
            <v>0.15</v>
          </cell>
        </row>
        <row r="611">
          <cell r="D611">
            <v>908003975</v>
          </cell>
          <cell r="E611" t="str">
            <v>ALEX TYLER</v>
          </cell>
          <cell r="F611" t="str">
            <v>A/2 (PS)</v>
          </cell>
          <cell r="H611" t="str">
            <v>Pinnacle Staffing</v>
          </cell>
          <cell r="I611">
            <v>0.58333333333333337</v>
          </cell>
          <cell r="J611">
            <v>0.83333333333333337</v>
          </cell>
          <cell r="K611">
            <v>5.6666666666666696</v>
          </cell>
          <cell r="L611">
            <v>53.15</v>
          </cell>
          <cell r="O611" t="str">
            <v>Y</v>
          </cell>
          <cell r="P611" t="str">
            <v>N</v>
          </cell>
          <cell r="Q611" t="str">
            <v>Specials</v>
          </cell>
          <cell r="S611">
            <v>0.15</v>
          </cell>
        </row>
        <row r="612">
          <cell r="D612">
            <v>908000885</v>
          </cell>
          <cell r="E612" t="str">
            <v>ANNA BONNERUP</v>
          </cell>
          <cell r="F612" t="str">
            <v>D / 5 General (</v>
          </cell>
          <cell r="G612" t="str">
            <v>604-149666</v>
          </cell>
          <cell r="H612" t="str">
            <v>Blue Arrow</v>
          </cell>
          <cell r="I612">
            <v>0.625</v>
          </cell>
          <cell r="J612">
            <v>0.85416666666666663</v>
          </cell>
          <cell r="K612">
            <v>5.5</v>
          </cell>
          <cell r="L612">
            <v>92.84</v>
          </cell>
          <cell r="O612" t="str">
            <v>Y</v>
          </cell>
          <cell r="P612" t="str">
            <v>N</v>
          </cell>
          <cell r="Q612" t="str">
            <v>Vacancy</v>
          </cell>
          <cell r="S612">
            <v>0.15</v>
          </cell>
        </row>
        <row r="613">
          <cell r="D613">
            <v>808003804</v>
          </cell>
          <cell r="E613" t="str">
            <v>BEAUTY NGIDI</v>
          </cell>
          <cell r="F613" t="str">
            <v>D (MD)</v>
          </cell>
          <cell r="G613">
            <v>330236</v>
          </cell>
          <cell r="H613" t="str">
            <v>Mayday</v>
          </cell>
          <cell r="I613">
            <v>0.3125</v>
          </cell>
          <cell r="J613">
            <v>0.64583333333333337</v>
          </cell>
          <cell r="K613">
            <v>7.6666666666666696</v>
          </cell>
          <cell r="L613">
            <v>247.56</v>
          </cell>
          <cell r="O613" t="str">
            <v>Y</v>
          </cell>
          <cell r="P613" t="str">
            <v>N</v>
          </cell>
          <cell r="Q613" t="str">
            <v>Extra Capacity</v>
          </cell>
          <cell r="S613">
            <v>0.2</v>
          </cell>
        </row>
        <row r="614">
          <cell r="D614">
            <v>808003827</v>
          </cell>
          <cell r="E614" t="str">
            <v>BEAUTY NGIDI</v>
          </cell>
          <cell r="F614" t="str">
            <v>D (MD)</v>
          </cell>
          <cell r="G614">
            <v>330236</v>
          </cell>
          <cell r="H614" t="str">
            <v>Mayday</v>
          </cell>
          <cell r="I614">
            <v>0.64583333333333337</v>
          </cell>
          <cell r="J614">
            <v>0.85416666666666663</v>
          </cell>
          <cell r="K614">
            <v>5</v>
          </cell>
          <cell r="L614">
            <v>161.44999999999999</v>
          </cell>
          <cell r="O614" t="str">
            <v>Y</v>
          </cell>
          <cell r="P614" t="str">
            <v>N</v>
          </cell>
          <cell r="Q614" t="str">
            <v>Extra Capacity</v>
          </cell>
          <cell r="S614">
            <v>0.13</v>
          </cell>
        </row>
        <row r="615">
          <cell r="D615">
            <v>808003636</v>
          </cell>
          <cell r="E615" t="str">
            <v>BRIGHTNESS NDEBELE</v>
          </cell>
          <cell r="F615" t="str">
            <v>D (MD)</v>
          </cell>
          <cell r="H615" t="str">
            <v>Mayday</v>
          </cell>
          <cell r="I615">
            <v>0.3125</v>
          </cell>
          <cell r="J615">
            <v>0.64583333333333337</v>
          </cell>
          <cell r="K615">
            <v>7.6666666666666696</v>
          </cell>
          <cell r="L615">
            <v>247.56</v>
          </cell>
          <cell r="O615" t="str">
            <v>Y</v>
          </cell>
          <cell r="P615" t="str">
            <v>N</v>
          </cell>
          <cell r="Q615" t="str">
            <v>Extra Capacity</v>
          </cell>
          <cell r="S615">
            <v>0.2</v>
          </cell>
        </row>
        <row r="616">
          <cell r="D616">
            <v>808003670</v>
          </cell>
          <cell r="E616" t="str">
            <v>BRIGHTNESS NDEBELE</v>
          </cell>
          <cell r="F616" t="str">
            <v>D (MD)</v>
          </cell>
          <cell r="H616" t="str">
            <v>Mayday</v>
          </cell>
          <cell r="I616">
            <v>0.64583333333333337</v>
          </cell>
          <cell r="J616">
            <v>0.85416666666666663</v>
          </cell>
          <cell r="K616">
            <v>5</v>
          </cell>
          <cell r="L616">
            <v>161.44999999999999</v>
          </cell>
          <cell r="O616" t="str">
            <v>Y</v>
          </cell>
          <cell r="P616" t="str">
            <v>N</v>
          </cell>
          <cell r="Q616" t="str">
            <v>Extra Capacity</v>
          </cell>
          <cell r="S616">
            <v>0.13</v>
          </cell>
        </row>
        <row r="617">
          <cell r="D617">
            <v>908003308</v>
          </cell>
          <cell r="E617" t="str">
            <v>CARL HIBBERT</v>
          </cell>
          <cell r="F617" t="str">
            <v>D (Ch)</v>
          </cell>
          <cell r="G617">
            <v>16681</v>
          </cell>
          <cell r="H617" t="str">
            <v>Choice</v>
          </cell>
          <cell r="I617">
            <v>0.875</v>
          </cell>
          <cell r="J617">
            <v>0.3125</v>
          </cell>
          <cell r="K617">
            <v>9.5</v>
          </cell>
          <cell r="L617">
            <v>300.97000000000003</v>
          </cell>
          <cell r="O617" t="str">
            <v>Y</v>
          </cell>
          <cell r="P617" t="str">
            <v>N</v>
          </cell>
          <cell r="Q617" t="str">
            <v>Extra Capacity</v>
          </cell>
          <cell r="S617">
            <v>0.25</v>
          </cell>
        </row>
        <row r="618">
          <cell r="D618">
            <v>808005025</v>
          </cell>
          <cell r="E618" t="str">
            <v>CHRIS STULAR</v>
          </cell>
          <cell r="F618" t="str">
            <v>D General (Orio</v>
          </cell>
          <cell r="G618" t="str">
            <v>Invsd Smt checked</v>
          </cell>
          <cell r="H618" t="str">
            <v>Orion</v>
          </cell>
          <cell r="I618">
            <v>0.33333333333333331</v>
          </cell>
          <cell r="J618">
            <v>0.75</v>
          </cell>
          <cell r="K618">
            <v>9.5</v>
          </cell>
          <cell r="L618">
            <v>172.14</v>
          </cell>
          <cell r="O618" t="str">
            <v>Y</v>
          </cell>
          <cell r="P618" t="str">
            <v>N</v>
          </cell>
          <cell r="Q618" t="str">
            <v>Backfill</v>
          </cell>
          <cell r="S618">
            <v>0.25</v>
          </cell>
        </row>
        <row r="619">
          <cell r="D619">
            <v>908003306</v>
          </cell>
          <cell r="E619" t="str">
            <v>COLLEN SIBANDA</v>
          </cell>
          <cell r="F619" t="str">
            <v>D (Ch)</v>
          </cell>
          <cell r="G619">
            <v>16681</v>
          </cell>
          <cell r="H619" t="str">
            <v>Choice</v>
          </cell>
          <cell r="I619">
            <v>0.29166666666666669</v>
          </cell>
          <cell r="J619">
            <v>0.625</v>
          </cell>
          <cell r="K619">
            <v>7.5</v>
          </cell>
          <cell r="L619">
            <v>182.78</v>
          </cell>
          <cell r="O619" t="str">
            <v>Y</v>
          </cell>
          <cell r="P619" t="str">
            <v>N</v>
          </cell>
          <cell r="Q619" t="str">
            <v>Extra Capacity</v>
          </cell>
          <cell r="S619">
            <v>0.2</v>
          </cell>
        </row>
        <row r="620">
          <cell r="D620">
            <v>908003307</v>
          </cell>
          <cell r="E620" t="str">
            <v>COLLEN SIBANDA</v>
          </cell>
          <cell r="F620" t="str">
            <v>D (Ch)</v>
          </cell>
          <cell r="G620">
            <v>16681</v>
          </cell>
          <cell r="H620" t="str">
            <v>Choice</v>
          </cell>
          <cell r="I620">
            <v>0.625</v>
          </cell>
          <cell r="J620">
            <v>0.89583333333333337</v>
          </cell>
          <cell r="K620">
            <v>6.1666666666666696</v>
          </cell>
          <cell r="L620">
            <v>150.28</v>
          </cell>
          <cell r="O620" t="str">
            <v>Y</v>
          </cell>
          <cell r="P620" t="str">
            <v>N</v>
          </cell>
          <cell r="Q620" t="str">
            <v>Extra Capacity</v>
          </cell>
          <cell r="S620">
            <v>0.16</v>
          </cell>
        </row>
        <row r="621">
          <cell r="D621">
            <v>908003327</v>
          </cell>
          <cell r="E621" t="str">
            <v>CYNTHIA DELMO</v>
          </cell>
          <cell r="F621" t="str">
            <v>D (Ch)</v>
          </cell>
          <cell r="G621">
            <v>16684</v>
          </cell>
          <cell r="H621" t="str">
            <v>Choice</v>
          </cell>
          <cell r="I621">
            <v>0.8125</v>
          </cell>
          <cell r="J621">
            <v>0.33333333333333331</v>
          </cell>
          <cell r="K621">
            <v>11.8333333333333</v>
          </cell>
          <cell r="L621">
            <v>374.89</v>
          </cell>
          <cell r="O621" t="str">
            <v>Y</v>
          </cell>
          <cell r="P621" t="str">
            <v>N</v>
          </cell>
          <cell r="Q621" t="str">
            <v>Extra Capacity</v>
          </cell>
          <cell r="S621">
            <v>0.32</v>
          </cell>
        </row>
        <row r="622">
          <cell r="D622">
            <v>908004012</v>
          </cell>
          <cell r="E622" t="str">
            <v>DIAGRET MGANDELE</v>
          </cell>
          <cell r="F622" t="str">
            <v>D (MD)</v>
          </cell>
          <cell r="G622">
            <v>330416</v>
          </cell>
          <cell r="H622" t="str">
            <v>Mayday</v>
          </cell>
          <cell r="I622">
            <v>0.5625</v>
          </cell>
          <cell r="J622">
            <v>0.89583333333333337</v>
          </cell>
          <cell r="K622">
            <v>7.6666666666666696</v>
          </cell>
          <cell r="L622">
            <v>247.56</v>
          </cell>
          <cell r="O622" t="str">
            <v>Y</v>
          </cell>
          <cell r="P622" t="str">
            <v>N</v>
          </cell>
          <cell r="Q622" t="str">
            <v>Backfill</v>
          </cell>
          <cell r="S622">
            <v>0.2</v>
          </cell>
        </row>
        <row r="623">
          <cell r="D623">
            <v>908004254</v>
          </cell>
          <cell r="E623" t="str">
            <v>DIAGRET MGANDELE</v>
          </cell>
          <cell r="F623" t="str">
            <v>D (MD)</v>
          </cell>
          <cell r="G623">
            <v>330416</v>
          </cell>
          <cell r="H623" t="str">
            <v>Mayday</v>
          </cell>
          <cell r="I623">
            <v>0.3125</v>
          </cell>
          <cell r="J623">
            <v>0.5625</v>
          </cell>
          <cell r="K623">
            <v>5.6666666666666696</v>
          </cell>
          <cell r="L623">
            <v>182.98</v>
          </cell>
          <cell r="O623" t="str">
            <v>Y</v>
          </cell>
          <cell r="P623" t="str">
            <v>N</v>
          </cell>
          <cell r="Q623" t="str">
            <v>Under Established</v>
          </cell>
          <cell r="S623">
            <v>0.15</v>
          </cell>
        </row>
        <row r="624">
          <cell r="D624">
            <v>808003810</v>
          </cell>
          <cell r="E624" t="str">
            <v>DIGRACIA  NAPE</v>
          </cell>
          <cell r="F624" t="str">
            <v>D (MD)</v>
          </cell>
          <cell r="G624">
            <v>329167</v>
          </cell>
          <cell r="H624" t="str">
            <v>Mayday</v>
          </cell>
          <cell r="I624">
            <v>0.3125</v>
          </cell>
          <cell r="J624">
            <v>0.64583333333333337</v>
          </cell>
          <cell r="K624">
            <v>7.6666666666666696</v>
          </cell>
          <cell r="L624">
            <v>247.56</v>
          </cell>
          <cell r="O624" t="str">
            <v>Y</v>
          </cell>
          <cell r="P624" t="str">
            <v>N</v>
          </cell>
          <cell r="Q624" t="str">
            <v>Extra Capacity</v>
          </cell>
          <cell r="S624">
            <v>0.2</v>
          </cell>
        </row>
        <row r="625">
          <cell r="D625">
            <v>808003833</v>
          </cell>
          <cell r="E625" t="str">
            <v>DIGRACIA  NAPE</v>
          </cell>
          <cell r="F625" t="str">
            <v>D (MD)</v>
          </cell>
          <cell r="H625" t="str">
            <v>Mayday</v>
          </cell>
          <cell r="I625">
            <v>0.64583333333333337</v>
          </cell>
          <cell r="J625">
            <v>0.85416666666666663</v>
          </cell>
          <cell r="K625">
            <v>5</v>
          </cell>
          <cell r="L625">
            <v>161.44999999999999</v>
          </cell>
          <cell r="O625" t="str">
            <v>Y</v>
          </cell>
          <cell r="P625" t="str">
            <v>N</v>
          </cell>
          <cell r="Q625" t="str">
            <v>Extra Capacity</v>
          </cell>
          <cell r="S625">
            <v>0.13</v>
          </cell>
        </row>
        <row r="626">
          <cell r="D626">
            <v>908003112</v>
          </cell>
          <cell r="E626" t="str">
            <v>EGNESS MONAISA</v>
          </cell>
          <cell r="F626" t="str">
            <v>D (Ch)</v>
          </cell>
          <cell r="G626">
            <v>16670</v>
          </cell>
          <cell r="H626" t="str">
            <v>Choice</v>
          </cell>
          <cell r="I626">
            <v>0.82291666666666663</v>
          </cell>
          <cell r="J626">
            <v>0.34375</v>
          </cell>
          <cell r="K626">
            <v>11.5</v>
          </cell>
          <cell r="L626">
            <v>364.33</v>
          </cell>
          <cell r="O626" t="str">
            <v>Y</v>
          </cell>
          <cell r="P626" t="str">
            <v>N</v>
          </cell>
          <cell r="Q626" t="str">
            <v>Maternity Leave</v>
          </cell>
          <cell r="S626">
            <v>0.31</v>
          </cell>
        </row>
        <row r="627">
          <cell r="D627">
            <v>908003326</v>
          </cell>
          <cell r="E627" t="str">
            <v>EMMA FLIT-ELY</v>
          </cell>
          <cell r="F627" t="str">
            <v>D (Ch)</v>
          </cell>
          <cell r="G627">
            <v>16670</v>
          </cell>
          <cell r="H627" t="str">
            <v>Choice</v>
          </cell>
          <cell r="I627">
            <v>0.3125</v>
          </cell>
          <cell r="J627">
            <v>0.58333333333333337</v>
          </cell>
          <cell r="K627">
            <v>6.1666666666666696</v>
          </cell>
          <cell r="L627">
            <v>150.28</v>
          </cell>
          <cell r="O627" t="str">
            <v>Y</v>
          </cell>
          <cell r="P627" t="str">
            <v>N</v>
          </cell>
          <cell r="Q627" t="str">
            <v>Extra Capacity</v>
          </cell>
          <cell r="S627">
            <v>0.16</v>
          </cell>
        </row>
        <row r="628">
          <cell r="D628">
            <v>908003113</v>
          </cell>
          <cell r="E628" t="str">
            <v>GRACE PANDARAOAM</v>
          </cell>
          <cell r="F628" t="str">
            <v>D (Ch)</v>
          </cell>
          <cell r="G628">
            <v>16753</v>
          </cell>
          <cell r="H628" t="str">
            <v>Choice</v>
          </cell>
          <cell r="I628">
            <v>0.82291666666666663</v>
          </cell>
          <cell r="J628">
            <v>0.34375</v>
          </cell>
          <cell r="K628">
            <v>11.5</v>
          </cell>
          <cell r="L628">
            <v>364.33</v>
          </cell>
          <cell r="O628" t="str">
            <v>Y</v>
          </cell>
          <cell r="P628" t="str">
            <v>N</v>
          </cell>
          <cell r="Q628" t="str">
            <v>Vacancy</v>
          </cell>
          <cell r="S628">
            <v>0.31</v>
          </cell>
        </row>
        <row r="629">
          <cell r="D629">
            <v>808002784</v>
          </cell>
          <cell r="E629" t="str">
            <v>HOPE NYAMAYEDENGA</v>
          </cell>
          <cell r="F629" t="str">
            <v>A (Ch)</v>
          </cell>
          <cell r="H629" t="str">
            <v>Choice</v>
          </cell>
          <cell r="I629">
            <v>0.875</v>
          </cell>
          <cell r="J629">
            <v>0.3125</v>
          </cell>
          <cell r="K629">
            <v>10.1666666666667</v>
          </cell>
          <cell r="L629">
            <v>150.33000000000001</v>
          </cell>
          <cell r="O629" t="str">
            <v>Y</v>
          </cell>
          <cell r="P629" t="str">
            <v>N</v>
          </cell>
          <cell r="Q629" t="str">
            <v>Maternity Leave</v>
          </cell>
          <cell r="S629">
            <v>0.27</v>
          </cell>
        </row>
        <row r="630">
          <cell r="D630">
            <v>808005536</v>
          </cell>
          <cell r="E630" t="str">
            <v>JASMINE ESGUERRA</v>
          </cell>
          <cell r="F630" t="str">
            <v>D (Ch)</v>
          </cell>
          <cell r="G630">
            <v>16678</v>
          </cell>
          <cell r="H630" t="str">
            <v>Choice</v>
          </cell>
          <cell r="I630">
            <v>0.875</v>
          </cell>
          <cell r="J630">
            <v>0.30208333333333331</v>
          </cell>
          <cell r="K630">
            <v>9.9166666666666696</v>
          </cell>
          <cell r="L630">
            <v>314.17</v>
          </cell>
          <cell r="O630" t="str">
            <v>Y</v>
          </cell>
          <cell r="P630" t="str">
            <v>N</v>
          </cell>
          <cell r="Q630" t="str">
            <v>Vacancy</v>
          </cell>
          <cell r="S630">
            <v>0.26</v>
          </cell>
        </row>
        <row r="631">
          <cell r="D631">
            <v>908004373</v>
          </cell>
          <cell r="E631" t="str">
            <v>JASON WENT</v>
          </cell>
          <cell r="F631" t="str">
            <v>D / 5 General (</v>
          </cell>
          <cell r="G631" t="str">
            <v>604-149161</v>
          </cell>
          <cell r="H631" t="str">
            <v>Blue Arrow</v>
          </cell>
          <cell r="I631">
            <v>0.83333333333333337</v>
          </cell>
          <cell r="J631">
            <v>0.35416666666666669</v>
          </cell>
          <cell r="K631">
            <v>11.8333333333333</v>
          </cell>
          <cell r="L631">
            <v>259.67</v>
          </cell>
          <cell r="O631" t="str">
            <v>Y</v>
          </cell>
          <cell r="P631" t="str">
            <v>N</v>
          </cell>
          <cell r="Q631" t="str">
            <v>Vacancy</v>
          </cell>
          <cell r="S631">
            <v>0.32</v>
          </cell>
        </row>
        <row r="632">
          <cell r="D632">
            <v>908001002</v>
          </cell>
          <cell r="E632" t="str">
            <v>JOHANNA HATUIKULIPI</v>
          </cell>
          <cell r="F632" t="str">
            <v>D (MD)</v>
          </cell>
          <cell r="G632">
            <v>330421</v>
          </cell>
          <cell r="H632" t="str">
            <v>Mayday</v>
          </cell>
          <cell r="I632">
            <v>0.625</v>
          </cell>
          <cell r="J632">
            <v>0.85416666666666663</v>
          </cell>
          <cell r="K632">
            <v>5.5</v>
          </cell>
          <cell r="L632">
            <v>177.59</v>
          </cell>
          <cell r="O632" t="str">
            <v>Y</v>
          </cell>
          <cell r="P632" t="str">
            <v>N</v>
          </cell>
          <cell r="Q632" t="str">
            <v>Vacancy</v>
          </cell>
          <cell r="S632">
            <v>0.15</v>
          </cell>
        </row>
        <row r="633">
          <cell r="D633">
            <v>808005537</v>
          </cell>
          <cell r="E633" t="str">
            <v>JOY MABITLE</v>
          </cell>
          <cell r="F633" t="str">
            <v>D (MD)</v>
          </cell>
          <cell r="G633">
            <v>341594</v>
          </cell>
          <cell r="H633" t="str">
            <v>Mayday</v>
          </cell>
          <cell r="I633">
            <v>0.875</v>
          </cell>
          <cell r="J633">
            <v>0.30208333333333331</v>
          </cell>
          <cell r="K633">
            <v>9.9166666666666696</v>
          </cell>
          <cell r="L633">
            <v>416.27</v>
          </cell>
          <cell r="O633" t="str">
            <v>Y</v>
          </cell>
          <cell r="P633" t="str">
            <v>N</v>
          </cell>
          <cell r="Q633" t="str">
            <v>Vacancy</v>
          </cell>
          <cell r="S633">
            <v>0.26</v>
          </cell>
        </row>
        <row r="634">
          <cell r="D634">
            <v>908004374</v>
          </cell>
          <cell r="E634" t="str">
            <v>MARK WOLFE</v>
          </cell>
          <cell r="F634" t="str">
            <v>A/2 (PS)</v>
          </cell>
          <cell r="H634" t="str">
            <v>Pinnacle Staffing</v>
          </cell>
          <cell r="I634">
            <v>0.83333333333333337</v>
          </cell>
          <cell r="J634">
            <v>0.35416666666666669</v>
          </cell>
          <cell r="K634">
            <v>11.8333333333333</v>
          </cell>
          <cell r="L634">
            <v>148</v>
          </cell>
          <cell r="O634" t="str">
            <v>Y</v>
          </cell>
          <cell r="P634" t="str">
            <v>N</v>
          </cell>
          <cell r="Q634" t="str">
            <v>Vacancy</v>
          </cell>
          <cell r="S634">
            <v>0.32</v>
          </cell>
        </row>
        <row r="635">
          <cell r="D635">
            <v>808003816</v>
          </cell>
          <cell r="E635" t="str">
            <v>MELISSA SMITH</v>
          </cell>
          <cell r="F635" t="str">
            <v>D/5 (PS)</v>
          </cell>
          <cell r="H635" t="str">
            <v>Pinnacle Staffing</v>
          </cell>
          <cell r="I635">
            <v>0.3125</v>
          </cell>
          <cell r="J635">
            <v>0.64583333333333337</v>
          </cell>
          <cell r="K635">
            <v>7.6666666666666696</v>
          </cell>
          <cell r="L635">
            <v>130.26</v>
          </cell>
          <cell r="O635" t="str">
            <v>Y</v>
          </cell>
          <cell r="P635" t="str">
            <v>N</v>
          </cell>
          <cell r="Q635" t="str">
            <v>Extra Capacity</v>
          </cell>
          <cell r="S635">
            <v>0.2</v>
          </cell>
        </row>
        <row r="636">
          <cell r="D636">
            <v>808006674</v>
          </cell>
          <cell r="E636" t="str">
            <v>NATHI ZULU</v>
          </cell>
          <cell r="F636" t="str">
            <v>D (MD)</v>
          </cell>
          <cell r="H636" t="str">
            <v>Mayday</v>
          </cell>
          <cell r="I636">
            <v>0.82291666666666663</v>
          </cell>
          <cell r="J636">
            <v>0.34375</v>
          </cell>
          <cell r="K636">
            <v>11.5</v>
          </cell>
          <cell r="L636">
            <v>482.74</v>
          </cell>
          <cell r="O636" t="str">
            <v>Y</v>
          </cell>
          <cell r="P636" t="str">
            <v>N</v>
          </cell>
          <cell r="Q636" t="str">
            <v>Vacancy</v>
          </cell>
          <cell r="S636">
            <v>0.31</v>
          </cell>
        </row>
        <row r="637">
          <cell r="D637">
            <v>908004128</v>
          </cell>
          <cell r="E637" t="str">
            <v>NEIL WYLD</v>
          </cell>
          <cell r="F637" t="str">
            <v>D (Amb)</v>
          </cell>
          <cell r="G637">
            <v>748873</v>
          </cell>
          <cell r="H637" t="str">
            <v>Ambition</v>
          </cell>
          <cell r="I637">
            <v>0.58333333333333337</v>
          </cell>
          <cell r="J637">
            <v>0.85416666666666663</v>
          </cell>
          <cell r="K637">
            <v>6.1666666666666696</v>
          </cell>
          <cell r="L637">
            <v>241.12</v>
          </cell>
          <cell r="O637" t="str">
            <v>Y</v>
          </cell>
          <cell r="P637" t="str">
            <v>N</v>
          </cell>
          <cell r="Q637" t="str">
            <v>Extra Capacity</v>
          </cell>
          <cell r="S637">
            <v>0.16</v>
          </cell>
        </row>
        <row r="638">
          <cell r="D638">
            <v>908004440</v>
          </cell>
          <cell r="E638" t="str">
            <v>NILO DANUGO</v>
          </cell>
          <cell r="F638" t="str">
            <v>D (Ch)</v>
          </cell>
          <cell r="G638">
            <v>16677</v>
          </cell>
          <cell r="H638" t="str">
            <v>Choice</v>
          </cell>
          <cell r="I638">
            <v>0.83333333333333337</v>
          </cell>
          <cell r="J638">
            <v>0.33333333333333331</v>
          </cell>
          <cell r="K638">
            <v>11.3333333333333</v>
          </cell>
          <cell r="L638">
            <v>359.05</v>
          </cell>
          <cell r="O638" t="str">
            <v>Y</v>
          </cell>
          <cell r="P638" t="str">
            <v>N</v>
          </cell>
          <cell r="Q638" t="str">
            <v>Short Term Sick</v>
          </cell>
          <cell r="S638">
            <v>0.3</v>
          </cell>
        </row>
        <row r="639">
          <cell r="D639">
            <v>908004514</v>
          </cell>
          <cell r="E639" t="str">
            <v>OMAR SENGHORE</v>
          </cell>
          <cell r="F639" t="str">
            <v>D (MD)</v>
          </cell>
          <cell r="G639">
            <v>330431</v>
          </cell>
          <cell r="H639" t="str">
            <v>Mayday</v>
          </cell>
          <cell r="I639">
            <v>0.83333333333333337</v>
          </cell>
          <cell r="J639">
            <v>0.33333333333333331</v>
          </cell>
          <cell r="K639">
            <v>11.3333333333333</v>
          </cell>
          <cell r="L639">
            <v>475.74</v>
          </cell>
          <cell r="O639" t="str">
            <v>Y</v>
          </cell>
          <cell r="P639" t="str">
            <v>N</v>
          </cell>
          <cell r="Q639" t="str">
            <v>Vacancy</v>
          </cell>
          <cell r="S639">
            <v>0.3</v>
          </cell>
        </row>
        <row r="640">
          <cell r="D640">
            <v>908003169</v>
          </cell>
          <cell r="E640" t="str">
            <v>PEGGY MAPOGO</v>
          </cell>
          <cell r="F640" t="str">
            <v>D (Ch)</v>
          </cell>
          <cell r="G640">
            <v>16660</v>
          </cell>
          <cell r="H640" t="str">
            <v>Choice</v>
          </cell>
          <cell r="I640">
            <v>0.3125</v>
          </cell>
          <cell r="J640">
            <v>0.54166666666666663</v>
          </cell>
          <cell r="K640">
            <v>5.5</v>
          </cell>
          <cell r="L640">
            <v>134.03</v>
          </cell>
          <cell r="O640" t="str">
            <v>Y</v>
          </cell>
          <cell r="P640" t="str">
            <v>N</v>
          </cell>
          <cell r="Q640" t="str">
            <v>Extra Capacity</v>
          </cell>
          <cell r="S640">
            <v>0.15</v>
          </cell>
        </row>
        <row r="641">
          <cell r="D641">
            <v>908003172</v>
          </cell>
          <cell r="E641" t="str">
            <v>PEGGY MAPOGO</v>
          </cell>
          <cell r="F641" t="str">
            <v>D (Ch)</v>
          </cell>
          <cell r="G641">
            <v>16660</v>
          </cell>
          <cell r="H641" t="str">
            <v>Choice</v>
          </cell>
          <cell r="I641">
            <v>0.625</v>
          </cell>
          <cell r="J641">
            <v>0.85416666666666663</v>
          </cell>
          <cell r="K641">
            <v>5.5</v>
          </cell>
          <cell r="L641">
            <v>134.03</v>
          </cell>
          <cell r="O641" t="str">
            <v>Y</v>
          </cell>
          <cell r="P641" t="str">
            <v>N</v>
          </cell>
          <cell r="Q641" t="str">
            <v>Extra Capacity</v>
          </cell>
          <cell r="S641">
            <v>0.15</v>
          </cell>
        </row>
        <row r="642">
          <cell r="D642">
            <v>908004419</v>
          </cell>
          <cell r="E642" t="str">
            <v>PRUDENCE MAJOZI</v>
          </cell>
          <cell r="F642" t="str">
            <v>D (MD)</v>
          </cell>
          <cell r="G642">
            <v>329280</v>
          </cell>
          <cell r="H642" t="str">
            <v>Mayday</v>
          </cell>
          <cell r="I642">
            <v>0.3125</v>
          </cell>
          <cell r="J642">
            <v>0.85416666666666663</v>
          </cell>
          <cell r="K642">
            <v>12.3333333333333</v>
          </cell>
          <cell r="L642">
            <v>398.24</v>
          </cell>
          <cell r="O642" t="str">
            <v>Y</v>
          </cell>
          <cell r="P642" t="str">
            <v>N</v>
          </cell>
          <cell r="Q642" t="str">
            <v>Extra Capacity</v>
          </cell>
          <cell r="S642">
            <v>0.33</v>
          </cell>
        </row>
        <row r="643">
          <cell r="D643">
            <v>908005251</v>
          </cell>
          <cell r="E643" t="str">
            <v>RACHEL OBERDOFF</v>
          </cell>
          <cell r="F643" t="str">
            <v>D (MD)</v>
          </cell>
          <cell r="G643">
            <v>330324</v>
          </cell>
          <cell r="H643" t="str">
            <v>Mayday</v>
          </cell>
          <cell r="I643">
            <v>0.3125</v>
          </cell>
          <cell r="J643">
            <v>0.85416666666666663</v>
          </cell>
          <cell r="K643">
            <v>12.3333333333333</v>
          </cell>
          <cell r="L643">
            <v>398.24</v>
          </cell>
          <cell r="O643" t="str">
            <v>Y</v>
          </cell>
          <cell r="P643" t="str">
            <v>N</v>
          </cell>
          <cell r="Q643" t="str">
            <v>Acuity</v>
          </cell>
          <cell r="S643">
            <v>0.33</v>
          </cell>
        </row>
        <row r="644">
          <cell r="D644">
            <v>908003328</v>
          </cell>
          <cell r="E644" t="str">
            <v>RODA RAMERIZ</v>
          </cell>
          <cell r="F644" t="str">
            <v>D (Ch)</v>
          </cell>
          <cell r="G644">
            <v>16684</v>
          </cell>
          <cell r="H644" t="str">
            <v>Choice</v>
          </cell>
          <cell r="I644">
            <v>0.8125</v>
          </cell>
          <cell r="J644">
            <v>0.33333333333333331</v>
          </cell>
          <cell r="K644">
            <v>11.8333333333333</v>
          </cell>
          <cell r="L644">
            <v>374.89</v>
          </cell>
          <cell r="O644" t="str">
            <v>Y</v>
          </cell>
          <cell r="P644" t="str">
            <v>N</v>
          </cell>
          <cell r="Q644" t="str">
            <v>Extra Capacity</v>
          </cell>
          <cell r="S644">
            <v>0.32</v>
          </cell>
        </row>
        <row r="645">
          <cell r="D645">
            <v>908000886</v>
          </cell>
          <cell r="E645" t="str">
            <v>SAM KELEM</v>
          </cell>
          <cell r="F645" t="str">
            <v>D (Ch)</v>
          </cell>
          <cell r="G645">
            <v>16685</v>
          </cell>
          <cell r="H645" t="str">
            <v>Choice</v>
          </cell>
          <cell r="I645">
            <v>0.83333333333333337</v>
          </cell>
          <cell r="J645">
            <v>0.33333333333333331</v>
          </cell>
          <cell r="K645">
            <v>11.3333333333333</v>
          </cell>
          <cell r="L645">
            <v>359.05</v>
          </cell>
          <cell r="O645" t="str">
            <v>Y</v>
          </cell>
          <cell r="P645" t="str">
            <v>N</v>
          </cell>
          <cell r="Q645" t="str">
            <v>Vacancy</v>
          </cell>
          <cell r="S645">
            <v>0.3</v>
          </cell>
        </row>
        <row r="646">
          <cell r="D646">
            <v>908002504</v>
          </cell>
          <cell r="E646" t="str">
            <v>SPECIAL DOKOCERA</v>
          </cell>
          <cell r="F646" t="str">
            <v>D (Amb)</v>
          </cell>
          <cell r="G646">
            <v>742665</v>
          </cell>
          <cell r="H646" t="str">
            <v>Ambition</v>
          </cell>
          <cell r="I646">
            <v>0.3125</v>
          </cell>
          <cell r="J646">
            <v>0.54166666666666663</v>
          </cell>
          <cell r="K646">
            <v>5.5</v>
          </cell>
          <cell r="L646">
            <v>215.05</v>
          </cell>
          <cell r="O646" t="str">
            <v>Y</v>
          </cell>
          <cell r="P646" t="str">
            <v>N</v>
          </cell>
          <cell r="Q646" t="str">
            <v>Vacancy</v>
          </cell>
          <cell r="S646">
            <v>0.15</v>
          </cell>
        </row>
        <row r="647">
          <cell r="D647">
            <v>808003642</v>
          </cell>
          <cell r="E647" t="str">
            <v>TARA MASSIE</v>
          </cell>
          <cell r="F647" t="str">
            <v>D (MD)</v>
          </cell>
          <cell r="G647">
            <v>331689</v>
          </cell>
          <cell r="H647" t="str">
            <v>Mayday</v>
          </cell>
          <cell r="I647">
            <v>0.3125</v>
          </cell>
          <cell r="J647">
            <v>0.64583333333333337</v>
          </cell>
          <cell r="K647">
            <v>7.6666666666666696</v>
          </cell>
          <cell r="L647">
            <v>247.56</v>
          </cell>
          <cell r="O647" t="str">
            <v>Y</v>
          </cell>
          <cell r="P647" t="str">
            <v>N</v>
          </cell>
          <cell r="Q647" t="str">
            <v>Extra Capacity</v>
          </cell>
          <cell r="S647">
            <v>0.2</v>
          </cell>
        </row>
        <row r="648">
          <cell r="D648">
            <v>908005256</v>
          </cell>
          <cell r="E648" t="str">
            <v>VICTORIA VALETE</v>
          </cell>
          <cell r="F648" t="str">
            <v>D (MD)</v>
          </cell>
          <cell r="G648">
            <v>329460</v>
          </cell>
          <cell r="H648" t="str">
            <v>Mayday</v>
          </cell>
          <cell r="I648">
            <v>0.83333333333333337</v>
          </cell>
          <cell r="J648">
            <v>0.33333333333333331</v>
          </cell>
          <cell r="K648">
            <v>11</v>
          </cell>
          <cell r="L648">
            <v>461.75</v>
          </cell>
          <cell r="O648" t="str">
            <v>Y</v>
          </cell>
          <cell r="P648" t="str">
            <v>N</v>
          </cell>
          <cell r="Q648" t="str">
            <v>Acuity</v>
          </cell>
          <cell r="S648">
            <v>0.28999999999999998</v>
          </cell>
        </row>
        <row r="649">
          <cell r="D649">
            <v>908000892</v>
          </cell>
          <cell r="E649" t="str">
            <v>ANNA BONNERUP</v>
          </cell>
          <cell r="F649" t="str">
            <v>D / 5 General (</v>
          </cell>
          <cell r="G649" t="str">
            <v>604-149666</v>
          </cell>
          <cell r="H649" t="str">
            <v>Blue Arrow</v>
          </cell>
          <cell r="I649">
            <v>0.625</v>
          </cell>
          <cell r="J649">
            <v>0.85416666666666663</v>
          </cell>
          <cell r="K649">
            <v>5.5</v>
          </cell>
          <cell r="L649">
            <v>92.84</v>
          </cell>
          <cell r="O649" t="str">
            <v>Y</v>
          </cell>
          <cell r="P649" t="str">
            <v>N</v>
          </cell>
          <cell r="Q649" t="str">
            <v>Vacancy</v>
          </cell>
          <cell r="S649">
            <v>0.15</v>
          </cell>
        </row>
        <row r="650">
          <cell r="D650">
            <v>908002522</v>
          </cell>
          <cell r="E650" t="str">
            <v>ANNA BONNERUP</v>
          </cell>
          <cell r="F650" t="str">
            <v>D / 5 General (</v>
          </cell>
          <cell r="G650" t="str">
            <v>604-149666</v>
          </cell>
          <cell r="H650" t="str">
            <v>Blue Arrow</v>
          </cell>
          <cell r="I650">
            <v>0.3125</v>
          </cell>
          <cell r="J650">
            <v>0.54166666666666663</v>
          </cell>
          <cell r="K650">
            <v>5.5</v>
          </cell>
          <cell r="L650">
            <v>92.84</v>
          </cell>
          <cell r="O650" t="str">
            <v>Y</v>
          </cell>
          <cell r="P650" t="str">
            <v>N</v>
          </cell>
          <cell r="Q650" t="str">
            <v>Vacancy</v>
          </cell>
          <cell r="S650">
            <v>0.15</v>
          </cell>
        </row>
        <row r="651">
          <cell r="D651">
            <v>808003805</v>
          </cell>
          <cell r="E651" t="str">
            <v>BEAUTY NGIDI</v>
          </cell>
          <cell r="F651" t="str">
            <v>D (MD)</v>
          </cell>
          <cell r="G651">
            <v>330236</v>
          </cell>
          <cell r="H651" t="str">
            <v>Mayday</v>
          </cell>
          <cell r="I651">
            <v>0.3125</v>
          </cell>
          <cell r="J651">
            <v>0.64583333333333337</v>
          </cell>
          <cell r="K651">
            <v>7.6666666666666696</v>
          </cell>
          <cell r="L651">
            <v>247.56</v>
          </cell>
          <cell r="O651" t="str">
            <v>Y</v>
          </cell>
          <cell r="P651" t="str">
            <v>N</v>
          </cell>
          <cell r="Q651" t="str">
            <v>Extra Capacity</v>
          </cell>
          <cell r="S651">
            <v>0.2</v>
          </cell>
        </row>
        <row r="652">
          <cell r="D652">
            <v>808003828</v>
          </cell>
          <cell r="E652" t="str">
            <v>BEAUTY NGIDI</v>
          </cell>
          <cell r="F652" t="str">
            <v>D (MD)</v>
          </cell>
          <cell r="G652">
            <v>330236</v>
          </cell>
          <cell r="H652" t="str">
            <v>Mayday</v>
          </cell>
          <cell r="I652">
            <v>0.64583333333333337</v>
          </cell>
          <cell r="J652">
            <v>0.85416666666666663</v>
          </cell>
          <cell r="K652">
            <v>5</v>
          </cell>
          <cell r="L652">
            <v>161.44999999999999</v>
          </cell>
          <cell r="O652" t="str">
            <v>Y</v>
          </cell>
          <cell r="P652" t="str">
            <v>N</v>
          </cell>
          <cell r="Q652" t="str">
            <v>Extra Capacity</v>
          </cell>
          <cell r="S652">
            <v>0.13</v>
          </cell>
        </row>
        <row r="653">
          <cell r="D653">
            <v>808004920</v>
          </cell>
          <cell r="E653" t="str">
            <v>BIDDY CHAFESUKA</v>
          </cell>
          <cell r="F653" t="str">
            <v>D (Ch)</v>
          </cell>
          <cell r="G653">
            <v>16677</v>
          </cell>
          <cell r="H653" t="str">
            <v>Choice</v>
          </cell>
          <cell r="I653">
            <v>0.5625</v>
          </cell>
          <cell r="J653">
            <v>0.85416666666666663</v>
          </cell>
          <cell r="K653">
            <v>6.6666666666666696</v>
          </cell>
          <cell r="L653">
            <v>162.47</v>
          </cell>
          <cell r="O653" t="str">
            <v>Y</v>
          </cell>
          <cell r="P653" t="str">
            <v>N</v>
          </cell>
          <cell r="Q653" t="str">
            <v>Under Established</v>
          </cell>
          <cell r="S653">
            <v>0.18</v>
          </cell>
        </row>
        <row r="654">
          <cell r="D654">
            <v>808003637</v>
          </cell>
          <cell r="E654" t="str">
            <v>BRIGHTNESS NDEBELE</v>
          </cell>
          <cell r="F654" t="str">
            <v>D (MD)</v>
          </cell>
          <cell r="H654" t="str">
            <v>Mayday</v>
          </cell>
          <cell r="I654">
            <v>0.3125</v>
          </cell>
          <cell r="J654">
            <v>0.64583333333333337</v>
          </cell>
          <cell r="K654">
            <v>7.6666666666666696</v>
          </cell>
          <cell r="L654">
            <v>247.56</v>
          </cell>
          <cell r="O654" t="str">
            <v>Y</v>
          </cell>
          <cell r="P654" t="str">
            <v>N</v>
          </cell>
          <cell r="Q654" t="str">
            <v>Extra Capacity</v>
          </cell>
          <cell r="S654">
            <v>0.2</v>
          </cell>
        </row>
        <row r="655">
          <cell r="D655">
            <v>908003118</v>
          </cell>
          <cell r="E655" t="str">
            <v>CATH CHIDAVAYENZI</v>
          </cell>
          <cell r="F655" t="str">
            <v>D (Ch)</v>
          </cell>
          <cell r="G655">
            <v>16670</v>
          </cell>
          <cell r="H655" t="str">
            <v>Choice</v>
          </cell>
          <cell r="I655">
            <v>0.82291666666666663</v>
          </cell>
          <cell r="J655">
            <v>0.34375</v>
          </cell>
          <cell r="K655">
            <v>11.5</v>
          </cell>
          <cell r="L655">
            <v>364.33</v>
          </cell>
          <cell r="O655" t="str">
            <v>Y</v>
          </cell>
          <cell r="P655" t="str">
            <v>N</v>
          </cell>
          <cell r="Q655" t="str">
            <v>Vacancy</v>
          </cell>
          <cell r="S655">
            <v>0.31</v>
          </cell>
        </row>
        <row r="656">
          <cell r="D656">
            <v>808005026</v>
          </cell>
          <cell r="E656" t="str">
            <v>CHRIS STULAR</v>
          </cell>
          <cell r="F656" t="str">
            <v>D General (Orio</v>
          </cell>
          <cell r="G656" t="str">
            <v>Invsd Smt checked</v>
          </cell>
          <cell r="H656" t="str">
            <v>Orion</v>
          </cell>
          <cell r="I656">
            <v>0.33333333333333331</v>
          </cell>
          <cell r="J656">
            <v>0.75</v>
          </cell>
          <cell r="K656">
            <v>9.5</v>
          </cell>
          <cell r="L656">
            <v>172.14</v>
          </cell>
          <cell r="O656" t="str">
            <v>Y</v>
          </cell>
          <cell r="P656" t="str">
            <v>N</v>
          </cell>
          <cell r="Q656" t="str">
            <v>Backfill</v>
          </cell>
          <cell r="S656">
            <v>0.25</v>
          </cell>
        </row>
        <row r="657">
          <cell r="D657">
            <v>908001798</v>
          </cell>
          <cell r="E657" t="str">
            <v>DIGRACIA  NAPE</v>
          </cell>
          <cell r="F657" t="str">
            <v>D (MD)</v>
          </cell>
          <cell r="G657">
            <v>330422</v>
          </cell>
          <cell r="H657" t="str">
            <v>Mayday</v>
          </cell>
          <cell r="I657">
            <v>0.3125</v>
          </cell>
          <cell r="J657">
            <v>0.5625</v>
          </cell>
          <cell r="K657">
            <v>5.6666666666666696</v>
          </cell>
          <cell r="L657">
            <v>182.98</v>
          </cell>
          <cell r="O657" t="str">
            <v>Y</v>
          </cell>
          <cell r="P657" t="str">
            <v>N</v>
          </cell>
          <cell r="Q657" t="str">
            <v>Vacancy</v>
          </cell>
          <cell r="S657">
            <v>0.15</v>
          </cell>
        </row>
        <row r="658">
          <cell r="D658">
            <v>908003309</v>
          </cell>
          <cell r="E658" t="str">
            <v>GRACE CHIKWAVA</v>
          </cell>
          <cell r="F658" t="str">
            <v>D (Ch)</v>
          </cell>
          <cell r="G658">
            <v>16681</v>
          </cell>
          <cell r="H658" t="str">
            <v>Choice</v>
          </cell>
          <cell r="I658">
            <v>0.29166666666666669</v>
          </cell>
          <cell r="J658">
            <v>0.625</v>
          </cell>
          <cell r="K658">
            <v>7.5</v>
          </cell>
          <cell r="L658">
            <v>182.78</v>
          </cell>
          <cell r="O658" t="str">
            <v>Y</v>
          </cell>
          <cell r="P658" t="str">
            <v>N</v>
          </cell>
          <cell r="Q658" t="str">
            <v>Extra Capacity</v>
          </cell>
          <cell r="S658">
            <v>0.2</v>
          </cell>
        </row>
        <row r="659">
          <cell r="D659">
            <v>908003310</v>
          </cell>
          <cell r="E659" t="str">
            <v>GRACE CHIKWAVA</v>
          </cell>
          <cell r="F659" t="str">
            <v>D (Ch)</v>
          </cell>
          <cell r="G659">
            <v>16681</v>
          </cell>
          <cell r="H659" t="str">
            <v>Choice</v>
          </cell>
          <cell r="I659">
            <v>0.625</v>
          </cell>
          <cell r="J659">
            <v>0.89583333333333337</v>
          </cell>
          <cell r="K659">
            <v>6.1666666666666696</v>
          </cell>
          <cell r="L659">
            <v>150.28</v>
          </cell>
          <cell r="O659" t="str">
            <v>Y</v>
          </cell>
          <cell r="P659" t="str">
            <v>N</v>
          </cell>
          <cell r="Q659" t="str">
            <v>Extra Capacity</v>
          </cell>
          <cell r="S659">
            <v>0.16</v>
          </cell>
        </row>
        <row r="660">
          <cell r="D660">
            <v>908003331</v>
          </cell>
          <cell r="E660" t="str">
            <v>HILDA SHANGE</v>
          </cell>
          <cell r="F660" t="str">
            <v>D (Ch)</v>
          </cell>
          <cell r="G660">
            <v>16807</v>
          </cell>
          <cell r="H660" t="str">
            <v>Choice</v>
          </cell>
          <cell r="I660">
            <v>0.8125</v>
          </cell>
          <cell r="J660">
            <v>0.33333333333333331</v>
          </cell>
          <cell r="K660">
            <v>11.8333333333333</v>
          </cell>
          <cell r="L660">
            <v>374.89</v>
          </cell>
          <cell r="O660" t="str">
            <v>Y</v>
          </cell>
          <cell r="P660" t="str">
            <v>N</v>
          </cell>
          <cell r="Q660" t="str">
            <v>Extra Capacity</v>
          </cell>
          <cell r="S660">
            <v>0.32</v>
          </cell>
        </row>
        <row r="661">
          <cell r="D661">
            <v>908004501</v>
          </cell>
          <cell r="E661" t="str">
            <v>JANE DUNSMURE</v>
          </cell>
          <cell r="F661" t="str">
            <v>D/5 (PS)</v>
          </cell>
          <cell r="H661" t="str">
            <v>Pinnacle Staffing</v>
          </cell>
          <cell r="I661">
            <v>0.875</v>
          </cell>
          <cell r="J661">
            <v>0.29166666666666669</v>
          </cell>
          <cell r="K661">
            <v>9</v>
          </cell>
          <cell r="L661">
            <v>198.78</v>
          </cell>
          <cell r="O661" t="str">
            <v>Y</v>
          </cell>
          <cell r="P661" t="str">
            <v>N</v>
          </cell>
          <cell r="Q661" t="str">
            <v>Nurse Moved</v>
          </cell>
          <cell r="S661">
            <v>0.24</v>
          </cell>
        </row>
        <row r="662">
          <cell r="D662">
            <v>808003853</v>
          </cell>
          <cell r="E662" t="str">
            <v>JASON WENT</v>
          </cell>
          <cell r="F662" t="str">
            <v>D / 5 General (</v>
          </cell>
          <cell r="G662" t="str">
            <v>604-149358</v>
          </cell>
          <cell r="H662" t="str">
            <v>Blue Arrow</v>
          </cell>
          <cell r="I662">
            <v>0.83333333333333337</v>
          </cell>
          <cell r="J662">
            <v>0.33333333333333331</v>
          </cell>
          <cell r="K662">
            <v>11.3333333333333</v>
          </cell>
          <cell r="L662">
            <v>248.7</v>
          </cell>
          <cell r="O662" t="str">
            <v>Y</v>
          </cell>
          <cell r="P662" t="str">
            <v>N</v>
          </cell>
          <cell r="Q662" t="str">
            <v>Extra Capacity</v>
          </cell>
          <cell r="S662">
            <v>0.3</v>
          </cell>
        </row>
        <row r="663">
          <cell r="D663">
            <v>808006391</v>
          </cell>
          <cell r="E663" t="str">
            <v>JOHANNA HATUIKULIPI</v>
          </cell>
          <cell r="F663" t="str">
            <v>D (MD)</v>
          </cell>
          <cell r="G663">
            <v>330420</v>
          </cell>
          <cell r="H663" t="str">
            <v>Mayday</v>
          </cell>
          <cell r="I663">
            <v>0.625</v>
          </cell>
          <cell r="J663">
            <v>0.85416666666666663</v>
          </cell>
          <cell r="K663">
            <v>5.5</v>
          </cell>
          <cell r="L663">
            <v>177.59</v>
          </cell>
          <cell r="O663" t="str">
            <v>Y</v>
          </cell>
          <cell r="P663" t="str">
            <v>N</v>
          </cell>
          <cell r="Q663" t="str">
            <v>Vacancy</v>
          </cell>
          <cell r="S663">
            <v>0.15</v>
          </cell>
        </row>
        <row r="664">
          <cell r="D664">
            <v>908003174</v>
          </cell>
          <cell r="E664" t="str">
            <v>JOHANNA HATUIKULIPI</v>
          </cell>
          <cell r="F664" t="str">
            <v>D (MD)</v>
          </cell>
          <cell r="G664">
            <v>330420</v>
          </cell>
          <cell r="H664" t="str">
            <v>Mayday</v>
          </cell>
          <cell r="I664">
            <v>0.3125</v>
          </cell>
          <cell r="J664">
            <v>0.54166666666666663</v>
          </cell>
          <cell r="K664">
            <v>5.5</v>
          </cell>
          <cell r="L664">
            <v>177.59</v>
          </cell>
          <cell r="O664" t="str">
            <v>Y</v>
          </cell>
          <cell r="P664" t="str">
            <v>N</v>
          </cell>
          <cell r="Q664" t="str">
            <v>Extra Capacity</v>
          </cell>
          <cell r="S664">
            <v>0.15</v>
          </cell>
        </row>
        <row r="665">
          <cell r="D665">
            <v>808005540</v>
          </cell>
          <cell r="E665" t="str">
            <v>JOSEPH BASS</v>
          </cell>
          <cell r="F665" t="str">
            <v>D (MD)</v>
          </cell>
          <cell r="H665" t="str">
            <v>Mayday</v>
          </cell>
          <cell r="I665">
            <v>0.875</v>
          </cell>
          <cell r="J665">
            <v>0.30208333333333331</v>
          </cell>
          <cell r="K665">
            <v>9.9166666666666696</v>
          </cell>
          <cell r="L665">
            <v>416.27</v>
          </cell>
          <cell r="O665" t="str">
            <v>Y</v>
          </cell>
          <cell r="P665" t="str">
            <v>N</v>
          </cell>
          <cell r="Q665" t="str">
            <v>Vacancy</v>
          </cell>
          <cell r="S665">
            <v>0.26</v>
          </cell>
        </row>
        <row r="666">
          <cell r="D666">
            <v>908004860</v>
          </cell>
          <cell r="E666" t="str">
            <v>JOY MABITLE</v>
          </cell>
          <cell r="F666" t="str">
            <v>D (MD)</v>
          </cell>
          <cell r="G666">
            <v>341597</v>
          </cell>
          <cell r="H666" t="str">
            <v>Mayday</v>
          </cell>
          <cell r="I666">
            <v>0.875</v>
          </cell>
          <cell r="J666">
            <v>0.30208333333333331</v>
          </cell>
          <cell r="K666">
            <v>9.9166666666666696</v>
          </cell>
          <cell r="L666">
            <v>416.27</v>
          </cell>
          <cell r="O666" t="str">
            <v>Y</v>
          </cell>
          <cell r="P666" t="str">
            <v>N</v>
          </cell>
          <cell r="Q666" t="str">
            <v>Short Term Sick</v>
          </cell>
          <cell r="S666">
            <v>0.26</v>
          </cell>
        </row>
        <row r="667">
          <cell r="D667">
            <v>808003817</v>
          </cell>
          <cell r="E667" t="str">
            <v>KIRSTY LAWLER</v>
          </cell>
          <cell r="F667" t="str">
            <v>D (MD)</v>
          </cell>
          <cell r="G667">
            <v>329675</v>
          </cell>
          <cell r="H667" t="str">
            <v>Mayday</v>
          </cell>
          <cell r="I667">
            <v>0.3125</v>
          </cell>
          <cell r="J667">
            <v>0.64583333333333337</v>
          </cell>
          <cell r="K667">
            <v>7.6666666666666696</v>
          </cell>
          <cell r="L667">
            <v>247.56</v>
          </cell>
          <cell r="O667" t="str">
            <v>Y</v>
          </cell>
          <cell r="P667" t="str">
            <v>N</v>
          </cell>
          <cell r="Q667" t="str">
            <v>Extra Capacity</v>
          </cell>
          <cell r="S667">
            <v>0.2</v>
          </cell>
        </row>
        <row r="668">
          <cell r="D668">
            <v>808003834</v>
          </cell>
          <cell r="E668" t="str">
            <v>KIRSTY LAWLER</v>
          </cell>
          <cell r="F668" t="str">
            <v>D (MD)</v>
          </cell>
          <cell r="G668">
            <v>329675</v>
          </cell>
          <cell r="H668" t="str">
            <v>Mayday</v>
          </cell>
          <cell r="I668">
            <v>0.64583333333333337</v>
          </cell>
          <cell r="J668">
            <v>0.85416666666666663</v>
          </cell>
          <cell r="K668">
            <v>5</v>
          </cell>
          <cell r="L668">
            <v>161.44999999999999</v>
          </cell>
          <cell r="O668" t="str">
            <v>Y</v>
          </cell>
          <cell r="P668" t="str">
            <v>N</v>
          </cell>
          <cell r="Q668" t="str">
            <v>Extra Capacity</v>
          </cell>
          <cell r="S668">
            <v>0.13</v>
          </cell>
        </row>
        <row r="669">
          <cell r="D669">
            <v>808003811</v>
          </cell>
          <cell r="E669" t="str">
            <v>LEONA CONTRERAS</v>
          </cell>
          <cell r="F669" t="str">
            <v>D (MD)</v>
          </cell>
          <cell r="H669" t="str">
            <v>Mayday</v>
          </cell>
          <cell r="I669">
            <v>0.3125</v>
          </cell>
          <cell r="J669">
            <v>0.64583333333333337</v>
          </cell>
          <cell r="K669">
            <v>7.6666666666666696</v>
          </cell>
          <cell r="L669">
            <v>247.56</v>
          </cell>
          <cell r="O669" t="str">
            <v>Y</v>
          </cell>
          <cell r="P669" t="str">
            <v>N</v>
          </cell>
          <cell r="Q669" t="str">
            <v>Extra Capacity</v>
          </cell>
          <cell r="S669">
            <v>0.2</v>
          </cell>
        </row>
        <row r="670">
          <cell r="D670">
            <v>908000316</v>
          </cell>
          <cell r="E670" t="str">
            <v>MABEL MNISI</v>
          </cell>
          <cell r="F670" t="str">
            <v>D (MD)</v>
          </cell>
          <cell r="H670" t="str">
            <v>Mayday</v>
          </cell>
          <cell r="I670">
            <v>0.57291666666666663</v>
          </cell>
          <cell r="J670">
            <v>0.89583333333333337</v>
          </cell>
          <cell r="K670">
            <v>7.4166666666666696</v>
          </cell>
          <cell r="L670">
            <v>239.48</v>
          </cell>
          <cell r="O670" t="str">
            <v>Y</v>
          </cell>
          <cell r="P670" t="str">
            <v>N</v>
          </cell>
          <cell r="Q670" t="str">
            <v>Backfill</v>
          </cell>
          <cell r="S670">
            <v>0.2</v>
          </cell>
        </row>
        <row r="671">
          <cell r="D671">
            <v>908004513</v>
          </cell>
          <cell r="E671" t="str">
            <v>MIHAELA CHIRIBAU</v>
          </cell>
          <cell r="F671" t="str">
            <v>D (Amb)</v>
          </cell>
          <cell r="G671" t="str">
            <v>742682 &amp; 746177</v>
          </cell>
          <cell r="H671" t="str">
            <v>Ambition</v>
          </cell>
          <cell r="I671">
            <v>0.29166666666666669</v>
          </cell>
          <cell r="J671">
            <v>0.75</v>
          </cell>
          <cell r="K671">
            <v>10.6666666666667</v>
          </cell>
          <cell r="L671">
            <v>417.07</v>
          </cell>
          <cell r="M671">
            <v>575.54999999999995</v>
          </cell>
          <cell r="O671" t="str">
            <v>Y</v>
          </cell>
          <cell r="P671" t="str">
            <v>N</v>
          </cell>
          <cell r="Q671" t="str">
            <v>Short Term Sick</v>
          </cell>
          <cell r="S671">
            <v>0.28000000000000003</v>
          </cell>
        </row>
        <row r="672">
          <cell r="D672">
            <v>908003330</v>
          </cell>
          <cell r="E672" t="str">
            <v>NILO DANUGO</v>
          </cell>
          <cell r="F672" t="str">
            <v>D (Ch)</v>
          </cell>
          <cell r="G672">
            <v>16658</v>
          </cell>
          <cell r="H672" t="str">
            <v>Choice</v>
          </cell>
          <cell r="I672">
            <v>0.8125</v>
          </cell>
          <cell r="J672">
            <v>0.33333333333333331</v>
          </cell>
          <cell r="K672">
            <v>11.8333333333333</v>
          </cell>
          <cell r="L672">
            <v>374.89</v>
          </cell>
          <cell r="O672" t="str">
            <v>Y</v>
          </cell>
          <cell r="P672" t="str">
            <v>N</v>
          </cell>
          <cell r="Q672" t="str">
            <v>Extra Capacity</v>
          </cell>
          <cell r="S672">
            <v>0.32</v>
          </cell>
        </row>
        <row r="673">
          <cell r="D673">
            <v>908004439</v>
          </cell>
          <cell r="E673" t="str">
            <v>PARMANUND PERYAGH</v>
          </cell>
          <cell r="F673" t="str">
            <v>D (Amb)</v>
          </cell>
          <cell r="G673">
            <v>742667</v>
          </cell>
          <cell r="H673" t="str">
            <v>Ambition</v>
          </cell>
          <cell r="I673">
            <v>0.5625</v>
          </cell>
          <cell r="J673">
            <v>0.89583333333333337</v>
          </cell>
          <cell r="K673">
            <v>7.6666666666666696</v>
          </cell>
          <cell r="L673">
            <v>299.77</v>
          </cell>
          <cell r="O673" t="str">
            <v>Y</v>
          </cell>
          <cell r="P673" t="str">
            <v>N</v>
          </cell>
          <cell r="Q673" t="str">
            <v>Annual Leave</v>
          </cell>
          <cell r="S673">
            <v>0.2</v>
          </cell>
        </row>
        <row r="674">
          <cell r="D674">
            <v>908003970</v>
          </cell>
          <cell r="E674" t="str">
            <v>PAT MUGABZA</v>
          </cell>
          <cell r="F674" t="str">
            <v>A (Ch)</v>
          </cell>
          <cell r="G674">
            <v>16667</v>
          </cell>
          <cell r="H674" t="str">
            <v>Choice</v>
          </cell>
          <cell r="I674">
            <v>0.33333333333333331</v>
          </cell>
          <cell r="J674">
            <v>0.58333333333333337</v>
          </cell>
          <cell r="K674">
            <v>5.6666666666666696</v>
          </cell>
          <cell r="L674">
            <v>62.84</v>
          </cell>
          <cell r="O674" t="str">
            <v>Y</v>
          </cell>
          <cell r="P674" t="str">
            <v>N</v>
          </cell>
          <cell r="Q674" t="str">
            <v>Specials</v>
          </cell>
          <cell r="S674">
            <v>0.15</v>
          </cell>
        </row>
        <row r="675">
          <cell r="D675">
            <v>908003976</v>
          </cell>
          <cell r="E675" t="str">
            <v>PAT MUGABZA</v>
          </cell>
          <cell r="F675" t="str">
            <v>A (Ch)</v>
          </cell>
          <cell r="G675">
            <v>16667</v>
          </cell>
          <cell r="H675" t="str">
            <v>Choice</v>
          </cell>
          <cell r="I675">
            <v>0.58333333333333337</v>
          </cell>
          <cell r="J675">
            <v>0.83333333333333337</v>
          </cell>
          <cell r="K675">
            <v>5.6666666666666696</v>
          </cell>
          <cell r="L675">
            <v>62.84</v>
          </cell>
          <cell r="O675" t="str">
            <v>Y</v>
          </cell>
          <cell r="P675" t="str">
            <v>N</v>
          </cell>
          <cell r="Q675" t="str">
            <v>Specials</v>
          </cell>
          <cell r="S675">
            <v>0.15</v>
          </cell>
        </row>
        <row r="676">
          <cell r="D676">
            <v>808006390</v>
          </cell>
          <cell r="E676" t="str">
            <v>PEGGY MAPOGO</v>
          </cell>
          <cell r="F676" t="str">
            <v>D (Ch)</v>
          </cell>
          <cell r="G676">
            <v>16660</v>
          </cell>
          <cell r="H676" t="str">
            <v>Choice</v>
          </cell>
          <cell r="I676">
            <v>0.3125</v>
          </cell>
          <cell r="J676">
            <v>0.54166666666666663</v>
          </cell>
          <cell r="K676">
            <v>5.5</v>
          </cell>
          <cell r="L676">
            <v>134.03</v>
          </cell>
          <cell r="O676" t="str">
            <v>Y</v>
          </cell>
          <cell r="P676" t="str">
            <v>N</v>
          </cell>
          <cell r="Q676" t="str">
            <v>Vacancy</v>
          </cell>
          <cell r="S676">
            <v>0.15</v>
          </cell>
        </row>
        <row r="677">
          <cell r="D677">
            <v>808003643</v>
          </cell>
          <cell r="E677" t="str">
            <v>PRICILLA SONO</v>
          </cell>
          <cell r="F677" t="str">
            <v>D (MD)</v>
          </cell>
          <cell r="G677">
            <v>329635</v>
          </cell>
          <cell r="H677" t="str">
            <v>Mayday</v>
          </cell>
          <cell r="I677">
            <v>0.3125</v>
          </cell>
          <cell r="J677">
            <v>0.64583333333333337</v>
          </cell>
          <cell r="K677">
            <v>7.6666666666666696</v>
          </cell>
          <cell r="L677">
            <v>247.56</v>
          </cell>
          <cell r="O677" t="str">
            <v>Y</v>
          </cell>
          <cell r="P677" t="str">
            <v>N</v>
          </cell>
          <cell r="Q677" t="str">
            <v>Extra Capacity</v>
          </cell>
          <cell r="S677">
            <v>0.2</v>
          </cell>
        </row>
        <row r="678">
          <cell r="D678">
            <v>808003671</v>
          </cell>
          <cell r="E678" t="str">
            <v>PRICILLA SONO</v>
          </cell>
          <cell r="F678" t="str">
            <v>D (MD)</v>
          </cell>
          <cell r="G678">
            <v>329635</v>
          </cell>
          <cell r="H678" t="str">
            <v>Mayday</v>
          </cell>
          <cell r="I678">
            <v>0.64583333333333337</v>
          </cell>
          <cell r="J678">
            <v>0.85416666666666663</v>
          </cell>
          <cell r="K678">
            <v>5</v>
          </cell>
          <cell r="L678">
            <v>161.44999999999999</v>
          </cell>
          <cell r="O678" t="str">
            <v>Y</v>
          </cell>
          <cell r="P678" t="str">
            <v>N</v>
          </cell>
          <cell r="Q678" t="str">
            <v>Extra Capacity</v>
          </cell>
          <cell r="S678">
            <v>0.13</v>
          </cell>
        </row>
        <row r="679">
          <cell r="D679">
            <v>808006225</v>
          </cell>
          <cell r="E679" t="str">
            <v>RICCA PARADA</v>
          </cell>
          <cell r="F679" t="str">
            <v>D (Ch)</v>
          </cell>
          <cell r="G679">
            <v>16667</v>
          </cell>
          <cell r="H679" t="str">
            <v>Choice</v>
          </cell>
          <cell r="I679">
            <v>0.63541666666666663</v>
          </cell>
          <cell r="J679">
            <v>0.85416666666666663</v>
          </cell>
          <cell r="K679">
            <v>5.25</v>
          </cell>
          <cell r="L679">
            <v>127.94</v>
          </cell>
          <cell r="O679" t="str">
            <v>Y</v>
          </cell>
          <cell r="P679" t="str">
            <v>N</v>
          </cell>
          <cell r="Q679" t="str">
            <v>Vacancy</v>
          </cell>
          <cell r="S679">
            <v>0.14000000000000001</v>
          </cell>
        </row>
        <row r="680">
          <cell r="D680">
            <v>908004709</v>
          </cell>
          <cell r="E680" t="str">
            <v>RICCA PARADA</v>
          </cell>
          <cell r="F680" t="str">
            <v>D (Ch)</v>
          </cell>
          <cell r="G680">
            <v>16669</v>
          </cell>
          <cell r="H680" t="str">
            <v>Choice</v>
          </cell>
          <cell r="I680">
            <v>0.32291666666666669</v>
          </cell>
          <cell r="J680">
            <v>0.58333333333333337</v>
          </cell>
          <cell r="K680">
            <v>5.9166666666666696</v>
          </cell>
          <cell r="L680">
            <v>144.19</v>
          </cell>
          <cell r="O680" t="str">
            <v>Y</v>
          </cell>
          <cell r="P680" t="str">
            <v>N</v>
          </cell>
          <cell r="Q680" t="str">
            <v>Split shift</v>
          </cell>
          <cell r="S680">
            <v>0.16</v>
          </cell>
        </row>
        <row r="681">
          <cell r="D681">
            <v>908004710</v>
          </cell>
          <cell r="E681" t="str">
            <v>RODA RAMERIZ</v>
          </cell>
          <cell r="F681" t="str">
            <v>D (Ch)</v>
          </cell>
          <cell r="G681">
            <v>16673</v>
          </cell>
          <cell r="H681" t="str">
            <v>Choice</v>
          </cell>
          <cell r="I681">
            <v>0.84375</v>
          </cell>
          <cell r="J681">
            <v>0.32291666666666669</v>
          </cell>
          <cell r="K681">
            <v>10.5</v>
          </cell>
          <cell r="L681">
            <v>332.65</v>
          </cell>
          <cell r="O681" t="str">
            <v>Y</v>
          </cell>
          <cell r="P681" t="str">
            <v>N</v>
          </cell>
          <cell r="Q681" t="str">
            <v>Vacancy</v>
          </cell>
          <cell r="S681">
            <v>0.28000000000000003</v>
          </cell>
        </row>
        <row r="682">
          <cell r="D682">
            <v>908004477</v>
          </cell>
          <cell r="E682" t="str">
            <v>SAM KELEM</v>
          </cell>
          <cell r="F682" t="str">
            <v>D (Ch)</v>
          </cell>
          <cell r="G682">
            <v>16681</v>
          </cell>
          <cell r="H682" t="str">
            <v>Choice</v>
          </cell>
          <cell r="I682">
            <v>0.875</v>
          </cell>
          <cell r="J682">
            <v>0.3125</v>
          </cell>
          <cell r="K682">
            <v>9.5</v>
          </cell>
          <cell r="L682">
            <v>300.97000000000003</v>
          </cell>
          <cell r="O682" t="str">
            <v>Y</v>
          </cell>
          <cell r="P682" t="str">
            <v>N</v>
          </cell>
          <cell r="Q682" t="str">
            <v>Extra Capacity</v>
          </cell>
          <cell r="S682">
            <v>0.25</v>
          </cell>
        </row>
        <row r="683">
          <cell r="D683">
            <v>908004441</v>
          </cell>
          <cell r="E683" t="str">
            <v>TAEL MHANGO</v>
          </cell>
          <cell r="F683" t="str">
            <v>D (Ch)</v>
          </cell>
          <cell r="G683">
            <v>16677</v>
          </cell>
          <cell r="H683" t="str">
            <v>Choice</v>
          </cell>
          <cell r="I683">
            <v>0.83333333333333337</v>
          </cell>
          <cell r="J683">
            <v>0.33333333333333331</v>
          </cell>
          <cell r="K683">
            <v>11.3333333333333</v>
          </cell>
          <cell r="L683">
            <v>359.05</v>
          </cell>
          <cell r="O683" t="str">
            <v>Y</v>
          </cell>
          <cell r="P683" t="str">
            <v>N</v>
          </cell>
          <cell r="Q683" t="str">
            <v>Short Term Sick</v>
          </cell>
          <cell r="S683">
            <v>0.3</v>
          </cell>
        </row>
        <row r="684">
          <cell r="D684">
            <v>908003175</v>
          </cell>
          <cell r="E684" t="str">
            <v>TAMBU JENA</v>
          </cell>
          <cell r="F684" t="str">
            <v>D (Ch)</v>
          </cell>
          <cell r="G684">
            <v>16660</v>
          </cell>
          <cell r="H684" t="str">
            <v>Choice</v>
          </cell>
          <cell r="I684">
            <v>0.3125</v>
          </cell>
          <cell r="J684">
            <v>0.54166666666666663</v>
          </cell>
          <cell r="K684">
            <v>5.5</v>
          </cell>
          <cell r="L684">
            <v>134.03</v>
          </cell>
          <cell r="O684" t="str">
            <v>Y</v>
          </cell>
          <cell r="P684" t="str">
            <v>N</v>
          </cell>
          <cell r="Q684" t="str">
            <v>Extra Capacity</v>
          </cell>
          <cell r="S684">
            <v>0.15</v>
          </cell>
        </row>
        <row r="685">
          <cell r="D685">
            <v>908003176</v>
          </cell>
          <cell r="E685" t="str">
            <v>TAMBU JENA / P MAPONGO</v>
          </cell>
          <cell r="F685" t="str">
            <v>D (Ch)</v>
          </cell>
          <cell r="G685">
            <v>16660</v>
          </cell>
          <cell r="H685" t="str">
            <v>Choice</v>
          </cell>
          <cell r="I685">
            <v>0.625</v>
          </cell>
          <cell r="J685">
            <v>0.85416666666666663</v>
          </cell>
          <cell r="K685">
            <v>5.5</v>
          </cell>
          <cell r="L685">
            <v>134.03</v>
          </cell>
          <cell r="O685" t="str">
            <v>Y</v>
          </cell>
          <cell r="P685" t="str">
            <v>N</v>
          </cell>
          <cell r="Q685" t="str">
            <v>Extra Capacity</v>
          </cell>
          <cell r="S685">
            <v>0.15</v>
          </cell>
        </row>
        <row r="686">
          <cell r="D686">
            <v>808003649</v>
          </cell>
          <cell r="E686" t="str">
            <v>TARA MASSIE</v>
          </cell>
          <cell r="F686" t="str">
            <v>D (MD)</v>
          </cell>
          <cell r="G686">
            <v>331689</v>
          </cell>
          <cell r="H686" t="str">
            <v>Mayday</v>
          </cell>
          <cell r="I686">
            <v>0.3125</v>
          </cell>
          <cell r="J686">
            <v>0.64583333333333337</v>
          </cell>
          <cell r="K686">
            <v>7.6666666666666696</v>
          </cell>
          <cell r="L686">
            <v>247.56</v>
          </cell>
          <cell r="O686" t="str">
            <v>Y</v>
          </cell>
          <cell r="P686" t="str">
            <v>N</v>
          </cell>
          <cell r="Q686" t="str">
            <v>Extra Capacity</v>
          </cell>
          <cell r="S686">
            <v>0.2</v>
          </cell>
        </row>
        <row r="687">
          <cell r="D687">
            <v>808003665</v>
          </cell>
          <cell r="E687" t="str">
            <v>TARA MASSIE</v>
          </cell>
          <cell r="F687" t="str">
            <v>D (MD)</v>
          </cell>
          <cell r="G687">
            <v>331689</v>
          </cell>
          <cell r="H687" t="str">
            <v>Mayday</v>
          </cell>
          <cell r="I687">
            <v>0.64583333333333337</v>
          </cell>
          <cell r="J687">
            <v>0.85416666666666663</v>
          </cell>
          <cell r="K687">
            <v>5</v>
          </cell>
          <cell r="L687">
            <v>161.44999999999999</v>
          </cell>
          <cell r="O687" t="str">
            <v>Y</v>
          </cell>
          <cell r="P687" t="str">
            <v>N</v>
          </cell>
          <cell r="Q687" t="str">
            <v>Extra Capacity</v>
          </cell>
          <cell r="S687">
            <v>0.13</v>
          </cell>
        </row>
        <row r="688">
          <cell r="D688">
            <v>908005261</v>
          </cell>
          <cell r="E688" t="str">
            <v>TEMBI NOSHA</v>
          </cell>
          <cell r="F688" t="str">
            <v>D (MD)</v>
          </cell>
          <cell r="G688">
            <v>331355</v>
          </cell>
          <cell r="H688" t="str">
            <v>Mayday</v>
          </cell>
          <cell r="I688">
            <v>0.83333333333333337</v>
          </cell>
          <cell r="J688">
            <v>0.33333333333333331</v>
          </cell>
          <cell r="K688">
            <v>11</v>
          </cell>
          <cell r="L688">
            <v>461.75</v>
          </cell>
          <cell r="O688" t="str">
            <v>Y</v>
          </cell>
          <cell r="P688" t="str">
            <v>N</v>
          </cell>
          <cell r="Q688" t="str">
            <v>Acuity</v>
          </cell>
          <cell r="S688">
            <v>0.28999999999999998</v>
          </cell>
        </row>
        <row r="689">
          <cell r="D689">
            <v>908004129</v>
          </cell>
          <cell r="E689" t="str">
            <v>VICTORIA ANIKINA</v>
          </cell>
          <cell r="F689" t="str">
            <v>D (Amb)</v>
          </cell>
          <cell r="G689">
            <v>742614</v>
          </cell>
          <cell r="H689" t="str">
            <v>Ambition</v>
          </cell>
          <cell r="I689">
            <v>0.58333333333333337</v>
          </cell>
          <cell r="J689">
            <v>0.85416666666666663</v>
          </cell>
          <cell r="K689">
            <v>6.1666666666666696</v>
          </cell>
          <cell r="L689">
            <v>241.12</v>
          </cell>
          <cell r="O689" t="str">
            <v>Y</v>
          </cell>
          <cell r="P689" t="str">
            <v>N</v>
          </cell>
          <cell r="Q689" t="str">
            <v>Extra Capacity</v>
          </cell>
          <cell r="S689">
            <v>0.16</v>
          </cell>
        </row>
        <row r="690">
          <cell r="D690">
            <v>908004711</v>
          </cell>
          <cell r="E690" t="str">
            <v>ZOE SALVEFEN</v>
          </cell>
          <cell r="F690" t="str">
            <v>D (MD)</v>
          </cell>
          <cell r="G690">
            <v>335206</v>
          </cell>
          <cell r="H690" t="str">
            <v>Mayday</v>
          </cell>
          <cell r="I690">
            <v>0.84375</v>
          </cell>
          <cell r="J690">
            <v>0.32291666666666669</v>
          </cell>
          <cell r="K690">
            <v>11.1666666666667</v>
          </cell>
          <cell r="L690">
            <v>468.74</v>
          </cell>
          <cell r="O690" t="str">
            <v>Y</v>
          </cell>
          <cell r="P690" t="str">
            <v>N</v>
          </cell>
          <cell r="Q690" t="str">
            <v>Vacancy</v>
          </cell>
          <cell r="S690">
            <v>0.3</v>
          </cell>
        </row>
        <row r="691">
          <cell r="D691">
            <v>908004442</v>
          </cell>
          <cell r="E691" t="str">
            <v>ALMA DEPENA</v>
          </cell>
          <cell r="F691" t="str">
            <v>D (Ch)</v>
          </cell>
          <cell r="G691">
            <v>16745</v>
          </cell>
          <cell r="H691" t="str">
            <v>Choice</v>
          </cell>
          <cell r="I691">
            <v>0.83333333333333337</v>
          </cell>
          <cell r="J691">
            <v>0.33333333333333331</v>
          </cell>
          <cell r="K691">
            <v>11.3333333333333</v>
          </cell>
          <cell r="L691">
            <v>359.05</v>
          </cell>
          <cell r="O691" t="str">
            <v>Y</v>
          </cell>
          <cell r="P691" t="str">
            <v>N</v>
          </cell>
          <cell r="Q691" t="str">
            <v>Short Term Sick</v>
          </cell>
          <cell r="S691">
            <v>0.3</v>
          </cell>
        </row>
        <row r="692">
          <cell r="D692">
            <v>808003806</v>
          </cell>
          <cell r="E692" t="str">
            <v>BEAUTY NGIDI</v>
          </cell>
          <cell r="F692" t="str">
            <v>D (MD)</v>
          </cell>
          <cell r="G692">
            <v>329644</v>
          </cell>
          <cell r="H692" t="str">
            <v>Mayday</v>
          </cell>
          <cell r="I692">
            <v>0.3125</v>
          </cell>
          <cell r="J692">
            <v>0.64583333333333337</v>
          </cell>
          <cell r="K692">
            <v>7.6666666666666696</v>
          </cell>
          <cell r="L692">
            <v>321.82</v>
          </cell>
          <cell r="O692" t="str">
            <v>Y</v>
          </cell>
          <cell r="P692" t="str">
            <v>N</v>
          </cell>
          <cell r="Q692" t="str">
            <v>Extra Capacity</v>
          </cell>
          <cell r="S692">
            <v>0.2</v>
          </cell>
        </row>
        <row r="693">
          <cell r="D693">
            <v>808003829</v>
          </cell>
          <cell r="E693" t="str">
            <v>BEAUTY NGIDI</v>
          </cell>
          <cell r="F693" t="str">
            <v>D (MD)</v>
          </cell>
          <cell r="G693">
            <v>329644</v>
          </cell>
          <cell r="H693" t="str">
            <v>Mayday</v>
          </cell>
          <cell r="I693">
            <v>0.64583333333333337</v>
          </cell>
          <cell r="J693">
            <v>0.85416666666666663</v>
          </cell>
          <cell r="K693">
            <v>5</v>
          </cell>
          <cell r="L693">
            <v>209.89</v>
          </cell>
          <cell r="O693" t="str">
            <v>Y</v>
          </cell>
          <cell r="P693" t="str">
            <v>N</v>
          </cell>
          <cell r="Q693" t="str">
            <v>Extra Capacity</v>
          </cell>
          <cell r="S693">
            <v>0.13</v>
          </cell>
        </row>
        <row r="694">
          <cell r="D694">
            <v>908003179</v>
          </cell>
          <cell r="E694" t="str">
            <v>BIDDY CHAFESUKA</v>
          </cell>
          <cell r="F694" t="str">
            <v>D (Ch)</v>
          </cell>
          <cell r="G694">
            <v>16660</v>
          </cell>
          <cell r="H694" t="str">
            <v>Choice</v>
          </cell>
          <cell r="I694">
            <v>0.35416666666666669</v>
          </cell>
          <cell r="J694">
            <v>0.85416666666666663</v>
          </cell>
          <cell r="K694">
            <v>11.3333333333333</v>
          </cell>
          <cell r="L694">
            <v>359.05</v>
          </cell>
          <cell r="O694" t="str">
            <v>Y</v>
          </cell>
          <cell r="P694" t="str">
            <v>N</v>
          </cell>
          <cell r="Q694" t="str">
            <v>Extra Capacity</v>
          </cell>
          <cell r="S694">
            <v>0.3</v>
          </cell>
        </row>
        <row r="695">
          <cell r="D695">
            <v>808003644</v>
          </cell>
          <cell r="E695" t="str">
            <v>BRIGHTNESS NDEBELE</v>
          </cell>
          <cell r="F695" t="str">
            <v>D (MD)</v>
          </cell>
          <cell r="H695" t="str">
            <v>Mayday</v>
          </cell>
          <cell r="I695">
            <v>0.3125</v>
          </cell>
          <cell r="J695">
            <v>0.64583333333333337</v>
          </cell>
          <cell r="K695">
            <v>7.6666666666666696</v>
          </cell>
          <cell r="L695">
            <v>321.82</v>
          </cell>
          <cell r="O695" t="str">
            <v>Y</v>
          </cell>
          <cell r="P695" t="str">
            <v>N</v>
          </cell>
          <cell r="Q695" t="str">
            <v>Extra Capacity</v>
          </cell>
          <cell r="S695">
            <v>0.2</v>
          </cell>
        </row>
        <row r="696">
          <cell r="D696">
            <v>808003672</v>
          </cell>
          <cell r="E696" t="str">
            <v>BRIGHTNESS NDEBELE</v>
          </cell>
          <cell r="F696" t="str">
            <v>D (MD)</v>
          </cell>
          <cell r="H696" t="str">
            <v>Mayday</v>
          </cell>
          <cell r="I696">
            <v>0.64583333333333337</v>
          </cell>
          <cell r="J696">
            <v>0.85416666666666663</v>
          </cell>
          <cell r="K696">
            <v>5</v>
          </cell>
          <cell r="L696">
            <v>209.89</v>
          </cell>
          <cell r="O696" t="str">
            <v>Y</v>
          </cell>
          <cell r="P696" t="str">
            <v>N</v>
          </cell>
          <cell r="Q696" t="str">
            <v>Extra Capacity</v>
          </cell>
          <cell r="S696">
            <v>0.13</v>
          </cell>
        </row>
        <row r="697">
          <cell r="D697">
            <v>808005628</v>
          </cell>
          <cell r="E697" t="str">
            <v xml:space="preserve">CHARMANE UCIANO </v>
          </cell>
          <cell r="F697" t="str">
            <v>D (Ch)</v>
          </cell>
          <cell r="H697" t="str">
            <v>Choice</v>
          </cell>
          <cell r="I697">
            <v>0.84375</v>
          </cell>
          <cell r="J697">
            <v>0.3125</v>
          </cell>
          <cell r="K697">
            <v>10.25</v>
          </cell>
          <cell r="L697">
            <v>324.73</v>
          </cell>
          <cell r="O697" t="str">
            <v>Y</v>
          </cell>
          <cell r="P697" t="str">
            <v>N</v>
          </cell>
          <cell r="Q697" t="str">
            <v>Vacancy</v>
          </cell>
          <cell r="S697">
            <v>0.27</v>
          </cell>
        </row>
        <row r="698">
          <cell r="D698">
            <v>908004119</v>
          </cell>
          <cell r="E698" t="str">
            <v>COLLEN SIBANDA</v>
          </cell>
          <cell r="F698" t="str">
            <v>D (Ch)</v>
          </cell>
          <cell r="G698">
            <v>16667</v>
          </cell>
          <cell r="H698" t="str">
            <v>Choice</v>
          </cell>
          <cell r="I698">
            <v>0.3125</v>
          </cell>
          <cell r="J698">
            <v>0.58333333333333337</v>
          </cell>
          <cell r="K698">
            <v>6.1666666666666696</v>
          </cell>
          <cell r="L698">
            <v>195.37</v>
          </cell>
          <cell r="O698" t="str">
            <v>Y</v>
          </cell>
          <cell r="P698" t="str">
            <v>N</v>
          </cell>
          <cell r="Q698" t="str">
            <v>Extra Capacity</v>
          </cell>
          <cell r="S698">
            <v>0.16</v>
          </cell>
        </row>
        <row r="699">
          <cell r="D699">
            <v>908004965</v>
          </cell>
          <cell r="E699" t="str">
            <v>COLLEN SIBANDA</v>
          </cell>
          <cell r="F699" t="str">
            <v>D (Ch)</v>
          </cell>
          <cell r="G699">
            <v>16678</v>
          </cell>
          <cell r="H699" t="str">
            <v>Choice</v>
          </cell>
          <cell r="I699">
            <v>0.625</v>
          </cell>
          <cell r="J699">
            <v>0.875</v>
          </cell>
          <cell r="K699">
            <v>6</v>
          </cell>
          <cell r="L699">
            <v>190.09</v>
          </cell>
          <cell r="O699" t="str">
            <v>Y</v>
          </cell>
          <cell r="P699" t="str">
            <v>N</v>
          </cell>
          <cell r="Q699" t="str">
            <v>Short Term Sick</v>
          </cell>
          <cell r="S699">
            <v>0.16</v>
          </cell>
        </row>
        <row r="700">
          <cell r="D700">
            <v>808003818</v>
          </cell>
          <cell r="E700" t="str">
            <v>DIGRACIA  NAPE</v>
          </cell>
          <cell r="F700" t="str">
            <v>D (MD)</v>
          </cell>
          <cell r="G700">
            <v>329166</v>
          </cell>
          <cell r="H700" t="str">
            <v>Mayday</v>
          </cell>
          <cell r="I700">
            <v>0.3125</v>
          </cell>
          <cell r="J700">
            <v>0.64583333333333337</v>
          </cell>
          <cell r="K700">
            <v>7.6666666666666696</v>
          </cell>
          <cell r="L700">
            <v>321.82</v>
          </cell>
          <cell r="O700" t="str">
            <v>Y</v>
          </cell>
          <cell r="P700" t="str">
            <v>N</v>
          </cell>
          <cell r="Q700" t="str">
            <v>Extra Capacity</v>
          </cell>
          <cell r="S700">
            <v>0.2</v>
          </cell>
        </row>
        <row r="701">
          <cell r="D701">
            <v>908005270</v>
          </cell>
          <cell r="E701" t="str">
            <v>ELENOR PARAZO</v>
          </cell>
          <cell r="F701" t="str">
            <v>D (MD)</v>
          </cell>
          <cell r="G701">
            <v>330856</v>
          </cell>
          <cell r="H701" t="str">
            <v>Mayday</v>
          </cell>
          <cell r="I701">
            <v>0.83333333333333337</v>
          </cell>
          <cell r="J701">
            <v>0.33333333333333331</v>
          </cell>
          <cell r="K701">
            <v>11</v>
          </cell>
          <cell r="L701">
            <v>461.75</v>
          </cell>
          <cell r="O701" t="str">
            <v>Y</v>
          </cell>
          <cell r="P701" t="str">
            <v>N</v>
          </cell>
          <cell r="Q701" t="str">
            <v>Acuity</v>
          </cell>
          <cell r="S701">
            <v>0.28999999999999998</v>
          </cell>
        </row>
        <row r="702">
          <cell r="D702">
            <v>908003983</v>
          </cell>
          <cell r="E702" t="str">
            <v>GEORGE GARCIA</v>
          </cell>
          <cell r="F702" t="str">
            <v>2 Gen (All)</v>
          </cell>
          <cell r="G702" t="str">
            <v>G1446460</v>
          </cell>
          <cell r="H702" t="str">
            <v xml:space="preserve">Allied </v>
          </cell>
          <cell r="I702">
            <v>0.83333333333333337</v>
          </cell>
          <cell r="J702">
            <v>0.33333333333333331</v>
          </cell>
          <cell r="K702">
            <v>11.3333333333333</v>
          </cell>
          <cell r="L702">
            <v>145.07</v>
          </cell>
          <cell r="O702" t="str">
            <v>Y</v>
          </cell>
          <cell r="P702" t="str">
            <v>N</v>
          </cell>
          <cell r="Q702" t="str">
            <v>Specials</v>
          </cell>
          <cell r="S702">
            <v>0.3</v>
          </cell>
        </row>
        <row r="703">
          <cell r="D703">
            <v>808006512</v>
          </cell>
          <cell r="E703" t="str">
            <v>GRACE CHIKWAVA</v>
          </cell>
          <cell r="F703" t="str">
            <v>D (Ch)</v>
          </cell>
          <cell r="G703">
            <v>16676</v>
          </cell>
          <cell r="H703" t="str">
            <v>Choice</v>
          </cell>
          <cell r="I703">
            <v>0.625</v>
          </cell>
          <cell r="J703">
            <v>0.875</v>
          </cell>
          <cell r="K703">
            <v>5.75</v>
          </cell>
          <cell r="L703">
            <v>182.17</v>
          </cell>
          <cell r="O703" t="str">
            <v>Y</v>
          </cell>
          <cell r="P703" t="str">
            <v>N</v>
          </cell>
          <cell r="Q703" t="str">
            <v>Long Term Sick</v>
          </cell>
          <cell r="S703">
            <v>0.15</v>
          </cell>
        </row>
        <row r="704">
          <cell r="D704">
            <v>908004880</v>
          </cell>
          <cell r="E704" t="str">
            <v>GRACE CHIKWAVA</v>
          </cell>
          <cell r="F704" t="str">
            <v>D (Ch)</v>
          </cell>
          <cell r="G704">
            <v>16676</v>
          </cell>
          <cell r="H704" t="str">
            <v>Choice</v>
          </cell>
          <cell r="I704">
            <v>0.29166666666666669</v>
          </cell>
          <cell r="J704">
            <v>0.54166666666666663</v>
          </cell>
          <cell r="K704">
            <v>5.75</v>
          </cell>
          <cell r="L704">
            <v>182.17</v>
          </cell>
          <cell r="O704" t="str">
            <v>Y</v>
          </cell>
          <cell r="P704" t="str">
            <v>N</v>
          </cell>
          <cell r="Q704" t="str">
            <v>Short Term Sick</v>
          </cell>
          <cell r="S704">
            <v>0.15</v>
          </cell>
        </row>
        <row r="705">
          <cell r="D705">
            <v>908004121</v>
          </cell>
          <cell r="E705" t="str">
            <v>HILDA SHANGE</v>
          </cell>
          <cell r="F705" t="str">
            <v>D (Ch)</v>
          </cell>
          <cell r="G705">
            <v>16807</v>
          </cell>
          <cell r="H705" t="str">
            <v>Choice</v>
          </cell>
          <cell r="I705">
            <v>0.8125</v>
          </cell>
          <cell r="J705">
            <v>0.33333333333333331</v>
          </cell>
          <cell r="K705">
            <v>11.8333333333333</v>
          </cell>
          <cell r="L705">
            <v>374.89</v>
          </cell>
          <cell r="O705" t="str">
            <v>Y</v>
          </cell>
          <cell r="P705" t="str">
            <v>N</v>
          </cell>
          <cell r="Q705" t="str">
            <v>Extra Capacity</v>
          </cell>
          <cell r="S705">
            <v>0.32</v>
          </cell>
        </row>
        <row r="706">
          <cell r="D706">
            <v>908004963</v>
          </cell>
          <cell r="E706" t="str">
            <v>IOAN GALATANU</v>
          </cell>
          <cell r="F706" t="str">
            <v>D (Amb)</v>
          </cell>
          <cell r="G706">
            <v>742664</v>
          </cell>
          <cell r="H706" t="str">
            <v>Ambition</v>
          </cell>
          <cell r="I706">
            <v>0.54166666666666663</v>
          </cell>
          <cell r="J706">
            <v>0.83333333333333337</v>
          </cell>
          <cell r="K706">
            <v>6.6666666666666696</v>
          </cell>
          <cell r="L706">
            <v>338.87</v>
          </cell>
          <cell r="O706" t="str">
            <v>Y</v>
          </cell>
          <cell r="P706" t="str">
            <v>N</v>
          </cell>
          <cell r="Q706" t="str">
            <v>Extra Capacity</v>
          </cell>
          <cell r="S706">
            <v>0.18</v>
          </cell>
        </row>
        <row r="707">
          <cell r="D707">
            <v>908005237</v>
          </cell>
          <cell r="E707" t="str">
            <v>JANE DUNSMURE</v>
          </cell>
          <cell r="F707" t="str">
            <v>D/5 (PS)</v>
          </cell>
          <cell r="H707" t="str">
            <v>Pinnacle Staffing</v>
          </cell>
          <cell r="I707">
            <v>0.84375</v>
          </cell>
          <cell r="J707">
            <v>0.32291666666666669</v>
          </cell>
          <cell r="K707">
            <v>10.5</v>
          </cell>
          <cell r="L707">
            <v>231.91</v>
          </cell>
          <cell r="O707" t="str">
            <v>Y</v>
          </cell>
          <cell r="P707" t="str">
            <v>N</v>
          </cell>
          <cell r="Q707" t="str">
            <v>Vacancy</v>
          </cell>
          <cell r="S707">
            <v>0.28000000000000003</v>
          </cell>
        </row>
        <row r="708">
          <cell r="D708">
            <v>908003123</v>
          </cell>
          <cell r="E708" t="str">
            <v>JASON WENT</v>
          </cell>
          <cell r="F708" t="str">
            <v>D / 5 General (</v>
          </cell>
          <cell r="G708" t="str">
            <v>604-149828</v>
          </cell>
          <cell r="H708" t="str">
            <v>Blue Arrow</v>
          </cell>
          <cell r="I708">
            <v>0.82291666666666663</v>
          </cell>
          <cell r="J708">
            <v>0.34375</v>
          </cell>
          <cell r="K708">
            <v>11.5</v>
          </cell>
          <cell r="L708">
            <v>252.36</v>
          </cell>
          <cell r="O708" t="str">
            <v>Y</v>
          </cell>
          <cell r="P708" t="str">
            <v>N</v>
          </cell>
          <cell r="Q708" t="str">
            <v>Vacancy</v>
          </cell>
          <cell r="S708">
            <v>0.31</v>
          </cell>
        </row>
        <row r="709">
          <cell r="D709">
            <v>808003812</v>
          </cell>
          <cell r="E709" t="str">
            <v>JEAN NGONA</v>
          </cell>
          <cell r="F709" t="str">
            <v>D (MD)</v>
          </cell>
          <cell r="H709" t="str">
            <v>Mayday</v>
          </cell>
          <cell r="I709">
            <v>0.3125</v>
          </cell>
          <cell r="J709">
            <v>0.64583333333333337</v>
          </cell>
          <cell r="K709">
            <v>7.6666666666666696</v>
          </cell>
          <cell r="L709">
            <v>321.82</v>
          </cell>
          <cell r="O709" t="str">
            <v>Y</v>
          </cell>
          <cell r="P709" t="str">
            <v>N</v>
          </cell>
          <cell r="Q709" t="str">
            <v>Extra Capacity</v>
          </cell>
          <cell r="S709">
            <v>0.2</v>
          </cell>
        </row>
        <row r="710">
          <cell r="D710">
            <v>808003835</v>
          </cell>
          <cell r="E710" t="str">
            <v>JEAN NGONA</v>
          </cell>
          <cell r="F710" t="str">
            <v>D (MD)</v>
          </cell>
          <cell r="H710" t="str">
            <v>Mayday</v>
          </cell>
          <cell r="I710">
            <v>0.64583333333333337</v>
          </cell>
          <cell r="J710">
            <v>0.85416666666666663</v>
          </cell>
          <cell r="K710">
            <v>5</v>
          </cell>
          <cell r="L710">
            <v>209.89</v>
          </cell>
          <cell r="O710" t="str">
            <v>Y</v>
          </cell>
          <cell r="P710" t="str">
            <v>N</v>
          </cell>
          <cell r="Q710" t="str">
            <v>Extra Capacity</v>
          </cell>
          <cell r="S710">
            <v>0.13</v>
          </cell>
        </row>
        <row r="711">
          <cell r="D711">
            <v>908005281</v>
          </cell>
          <cell r="E711" t="str">
            <v>JESSICA BELLAMY</v>
          </cell>
          <cell r="F711" t="str">
            <v>D (MD)</v>
          </cell>
          <cell r="G711">
            <v>331694</v>
          </cell>
          <cell r="H711" t="str">
            <v>Mayday</v>
          </cell>
          <cell r="I711">
            <v>0.875</v>
          </cell>
          <cell r="J711">
            <v>0.3125</v>
          </cell>
          <cell r="K711">
            <v>10.1666666666667</v>
          </cell>
          <cell r="L711">
            <v>426.77</v>
          </cell>
          <cell r="O711" t="str">
            <v>Y</v>
          </cell>
          <cell r="P711" t="str">
            <v>N</v>
          </cell>
          <cell r="Q711" t="str">
            <v>Short Term Sick</v>
          </cell>
          <cell r="S711">
            <v>0.27</v>
          </cell>
        </row>
        <row r="712">
          <cell r="D712">
            <v>808005174</v>
          </cell>
          <cell r="E712" t="str">
            <v>JOHANNA HATUIKULIPI</v>
          </cell>
          <cell r="F712" t="str">
            <v>D (MD)</v>
          </cell>
          <cell r="G712">
            <v>330423</v>
          </cell>
          <cell r="H712" t="str">
            <v>Mayday</v>
          </cell>
          <cell r="I712">
            <v>0.625</v>
          </cell>
          <cell r="J712">
            <v>0.875</v>
          </cell>
          <cell r="K712">
            <v>5.6666666666666696</v>
          </cell>
          <cell r="L712">
            <v>237.87</v>
          </cell>
          <cell r="O712" t="str">
            <v>Y</v>
          </cell>
          <cell r="P712" t="str">
            <v>N</v>
          </cell>
          <cell r="Q712" t="str">
            <v>Vacancy</v>
          </cell>
          <cell r="S712">
            <v>0.15</v>
          </cell>
        </row>
        <row r="713">
          <cell r="D713">
            <v>908004262</v>
          </cell>
          <cell r="E713" t="str">
            <v>JOHANNA HATUIKULIPI</v>
          </cell>
          <cell r="F713" t="str">
            <v>D (MD)</v>
          </cell>
          <cell r="G713">
            <v>330419</v>
          </cell>
          <cell r="H713" t="str">
            <v>Mayday</v>
          </cell>
          <cell r="I713">
            <v>0.3125</v>
          </cell>
          <cell r="J713">
            <v>0.5625</v>
          </cell>
          <cell r="K713">
            <v>5.6666666666666696</v>
          </cell>
          <cell r="L713">
            <v>237.87</v>
          </cell>
          <cell r="O713" t="str">
            <v>Y</v>
          </cell>
          <cell r="P713" t="str">
            <v>N</v>
          </cell>
          <cell r="Q713" t="str">
            <v>Backfill</v>
          </cell>
          <cell r="S713">
            <v>0.15</v>
          </cell>
        </row>
        <row r="714">
          <cell r="D714">
            <v>908004975</v>
          </cell>
          <cell r="E714" t="str">
            <v>JOSEPH BASS</v>
          </cell>
          <cell r="F714" t="str">
            <v>D (MD)</v>
          </cell>
          <cell r="G714">
            <v>331072</v>
          </cell>
          <cell r="H714" t="str">
            <v>Mayday</v>
          </cell>
          <cell r="I714">
            <v>0.875</v>
          </cell>
          <cell r="J714">
            <v>0.3125</v>
          </cell>
          <cell r="K714">
            <v>10.1666666666667</v>
          </cell>
          <cell r="L714">
            <v>426.77</v>
          </cell>
          <cell r="O714" t="str">
            <v>Y</v>
          </cell>
          <cell r="P714" t="str">
            <v>N</v>
          </cell>
          <cell r="Q714" t="str">
            <v>Short Term Sick</v>
          </cell>
          <cell r="S714">
            <v>0.27</v>
          </cell>
        </row>
        <row r="715">
          <cell r="D715">
            <v>908004866</v>
          </cell>
          <cell r="E715" t="str">
            <v>KATHY CHIDAVA</v>
          </cell>
          <cell r="F715" t="str">
            <v>D (Ch)</v>
          </cell>
          <cell r="G715">
            <v>16740</v>
          </cell>
          <cell r="H715" t="str">
            <v>Choice</v>
          </cell>
          <cell r="I715">
            <v>0.83333333333333337</v>
          </cell>
          <cell r="J715">
            <v>0.33333333333333331</v>
          </cell>
          <cell r="K715">
            <v>11.3333333333333</v>
          </cell>
          <cell r="L715">
            <v>359.05</v>
          </cell>
          <cell r="O715" t="str">
            <v>Y</v>
          </cell>
          <cell r="P715" t="str">
            <v>N</v>
          </cell>
          <cell r="Q715" t="str">
            <v>Extra Capacity</v>
          </cell>
          <cell r="S715">
            <v>0.3</v>
          </cell>
        </row>
        <row r="716">
          <cell r="D716">
            <v>808006223</v>
          </cell>
          <cell r="E716" t="str">
            <v>KERRI GALLOWAY</v>
          </cell>
          <cell r="F716" t="str">
            <v>D (MD)</v>
          </cell>
          <cell r="H716" t="str">
            <v>Mayday</v>
          </cell>
          <cell r="I716">
            <v>0.32291666666666669</v>
          </cell>
          <cell r="J716">
            <v>0.54166666666666663</v>
          </cell>
          <cell r="K716">
            <v>5.25</v>
          </cell>
          <cell r="L716">
            <v>220.38</v>
          </cell>
          <cell r="O716" t="str">
            <v>Y</v>
          </cell>
          <cell r="P716" t="str">
            <v>N</v>
          </cell>
          <cell r="Q716" t="str">
            <v>Vacancy</v>
          </cell>
          <cell r="S716">
            <v>0.14000000000000001</v>
          </cell>
        </row>
        <row r="717">
          <cell r="D717">
            <v>908004337</v>
          </cell>
          <cell r="E717" t="str">
            <v>KERRI GALLOWAY</v>
          </cell>
          <cell r="F717" t="str">
            <v>D (MD)</v>
          </cell>
          <cell r="H717" t="str">
            <v>Mayday</v>
          </cell>
          <cell r="I717">
            <v>0.63541666666666663</v>
          </cell>
          <cell r="J717">
            <v>0.85416666666666663</v>
          </cell>
          <cell r="K717">
            <v>5.25</v>
          </cell>
          <cell r="L717">
            <v>220.38</v>
          </cell>
          <cell r="O717" t="str">
            <v>Y</v>
          </cell>
          <cell r="P717" t="str">
            <v>N</v>
          </cell>
          <cell r="Q717" t="str">
            <v>Study Leave</v>
          </cell>
          <cell r="S717">
            <v>0.14000000000000001</v>
          </cell>
        </row>
        <row r="718">
          <cell r="D718">
            <v>808003650</v>
          </cell>
          <cell r="E718" t="str">
            <v>KIRSTY LAWLER</v>
          </cell>
          <cell r="F718" t="str">
            <v>D (MD)</v>
          </cell>
          <cell r="G718">
            <v>329672</v>
          </cell>
          <cell r="H718" t="str">
            <v>Mayday</v>
          </cell>
          <cell r="I718">
            <v>0.3125</v>
          </cell>
          <cell r="J718">
            <v>0.64583333333333337</v>
          </cell>
          <cell r="K718">
            <v>7.6666666666666696</v>
          </cell>
          <cell r="L718">
            <v>321.82</v>
          </cell>
          <cell r="O718" t="str">
            <v>Y</v>
          </cell>
          <cell r="P718" t="str">
            <v>N</v>
          </cell>
          <cell r="Q718" t="str">
            <v>Extra Capacity</v>
          </cell>
          <cell r="S718">
            <v>0.2</v>
          </cell>
        </row>
        <row r="719">
          <cell r="D719">
            <v>908004122</v>
          </cell>
          <cell r="E719" t="str">
            <v>LETECIA MENIANO</v>
          </cell>
          <cell r="F719" t="str">
            <v>D (Ch)</v>
          </cell>
          <cell r="G719">
            <v>16658</v>
          </cell>
          <cell r="H719" t="str">
            <v>Choice</v>
          </cell>
          <cell r="I719">
            <v>0.8125</v>
          </cell>
          <cell r="J719">
            <v>0.33333333333333331</v>
          </cell>
          <cell r="K719">
            <v>11.8333333333333</v>
          </cell>
          <cell r="L719">
            <v>374.89</v>
          </cell>
          <cell r="O719" t="str">
            <v>Y</v>
          </cell>
          <cell r="P719" t="str">
            <v>N</v>
          </cell>
          <cell r="Q719" t="str">
            <v>Extra Capacity</v>
          </cell>
          <cell r="S719">
            <v>0.32</v>
          </cell>
        </row>
        <row r="720">
          <cell r="D720">
            <v>908005234</v>
          </cell>
          <cell r="E720" t="str">
            <v>LORENZO BAHILLO</v>
          </cell>
          <cell r="F720" t="str">
            <v>Band 5 (DN)</v>
          </cell>
          <cell r="G720">
            <v>18908</v>
          </cell>
          <cell r="H720" t="str">
            <v>Direct Nursing</v>
          </cell>
          <cell r="I720">
            <v>0.83333333333333337</v>
          </cell>
          <cell r="J720">
            <v>0.33333333333333331</v>
          </cell>
          <cell r="K720">
            <v>11</v>
          </cell>
          <cell r="L720">
            <v>251.68</v>
          </cell>
          <cell r="O720" t="str">
            <v>Y</v>
          </cell>
          <cell r="P720" t="str">
            <v>N</v>
          </cell>
          <cell r="Q720" t="str">
            <v>Short Term Sick</v>
          </cell>
          <cell r="S720">
            <v>0.28999999999999998</v>
          </cell>
        </row>
        <row r="721">
          <cell r="D721">
            <v>908003121</v>
          </cell>
          <cell r="E721" t="str">
            <v>MABEL MNISI</v>
          </cell>
          <cell r="F721" t="str">
            <v>D (MD)</v>
          </cell>
          <cell r="H721" t="str">
            <v>Mayday</v>
          </cell>
          <cell r="I721">
            <v>0.58333333333333337</v>
          </cell>
          <cell r="J721">
            <v>0.84375</v>
          </cell>
          <cell r="K721">
            <v>6</v>
          </cell>
          <cell r="L721">
            <v>251.86</v>
          </cell>
          <cell r="O721" t="str">
            <v>Y</v>
          </cell>
          <cell r="P721" t="str">
            <v>N</v>
          </cell>
          <cell r="Q721" t="str">
            <v>Vacancy</v>
          </cell>
          <cell r="S721">
            <v>0.16</v>
          </cell>
        </row>
        <row r="722">
          <cell r="D722">
            <v>808003638</v>
          </cell>
          <cell r="E722" t="str">
            <v>PAT DUBE</v>
          </cell>
          <cell r="F722" t="str">
            <v>D (MD)</v>
          </cell>
          <cell r="H722" t="str">
            <v>Mayday</v>
          </cell>
          <cell r="I722">
            <v>0.3125</v>
          </cell>
          <cell r="J722">
            <v>0.64583333333333337</v>
          </cell>
          <cell r="K722">
            <v>7.6666666666666696</v>
          </cell>
          <cell r="L722">
            <v>321.82</v>
          </cell>
          <cell r="O722" t="str">
            <v>Y</v>
          </cell>
          <cell r="P722" t="str">
            <v>N</v>
          </cell>
          <cell r="Q722" t="str">
            <v>Extra Capacity</v>
          </cell>
          <cell r="S722">
            <v>0.2</v>
          </cell>
        </row>
        <row r="723">
          <cell r="D723">
            <v>808003666</v>
          </cell>
          <cell r="E723" t="str">
            <v>PAT DUBE</v>
          </cell>
          <cell r="F723" t="str">
            <v>D (MD)</v>
          </cell>
          <cell r="H723" t="str">
            <v>Mayday</v>
          </cell>
          <cell r="I723">
            <v>0.64583333333333337</v>
          </cell>
          <cell r="J723">
            <v>0.85416666666666663</v>
          </cell>
          <cell r="K723">
            <v>5</v>
          </cell>
          <cell r="L723">
            <v>209.89</v>
          </cell>
          <cell r="O723" t="str">
            <v>Y</v>
          </cell>
          <cell r="P723" t="str">
            <v>N</v>
          </cell>
          <cell r="Q723" t="str">
            <v>Extra Capacity</v>
          </cell>
          <cell r="S723">
            <v>0.13</v>
          </cell>
        </row>
        <row r="724">
          <cell r="D724">
            <v>908004972</v>
          </cell>
          <cell r="E724" t="str">
            <v>PAT MUGABZA / m speelman</v>
          </cell>
          <cell r="F724" t="str">
            <v>A (Ch)</v>
          </cell>
          <cell r="G724" t="str">
            <v>16667/16860</v>
          </cell>
          <cell r="H724" t="str">
            <v>Choice</v>
          </cell>
          <cell r="I724">
            <v>0.83333333333333337</v>
          </cell>
          <cell r="J724">
            <v>0.33333333333333331</v>
          </cell>
          <cell r="K724">
            <v>11.3333333333333</v>
          </cell>
          <cell r="L724">
            <v>167.58</v>
          </cell>
          <cell r="O724" t="str">
            <v>Y</v>
          </cell>
          <cell r="P724" t="str">
            <v>N</v>
          </cell>
          <cell r="Q724" t="str">
            <v>Short Term Sick</v>
          </cell>
          <cell r="S724">
            <v>0.3</v>
          </cell>
        </row>
        <row r="725">
          <cell r="D725">
            <v>808005626</v>
          </cell>
          <cell r="E725" t="str">
            <v>PEGGY MAPOGO</v>
          </cell>
          <cell r="F725" t="str">
            <v>D (Ch)</v>
          </cell>
          <cell r="G725">
            <v>16666</v>
          </cell>
          <cell r="H725" t="str">
            <v>Choice</v>
          </cell>
          <cell r="I725">
            <v>0.64583333333333337</v>
          </cell>
          <cell r="J725">
            <v>0.85416666666666663</v>
          </cell>
          <cell r="K725">
            <v>5</v>
          </cell>
          <cell r="L725">
            <v>158.41</v>
          </cell>
          <cell r="O725" t="str">
            <v>Y</v>
          </cell>
          <cell r="P725" t="str">
            <v>N</v>
          </cell>
          <cell r="Q725" t="str">
            <v>Vacancy</v>
          </cell>
          <cell r="S725">
            <v>0.13</v>
          </cell>
        </row>
        <row r="726">
          <cell r="D726">
            <v>908004886</v>
          </cell>
          <cell r="E726" t="str">
            <v>PEGGY MAPOGO</v>
          </cell>
          <cell r="F726" t="str">
            <v>D (Ch)</v>
          </cell>
          <cell r="G726">
            <v>16666</v>
          </cell>
          <cell r="H726" t="str">
            <v>Choice</v>
          </cell>
          <cell r="I726">
            <v>0.3125</v>
          </cell>
          <cell r="J726">
            <v>0.64583333333333337</v>
          </cell>
          <cell r="K726">
            <v>7.5</v>
          </cell>
          <cell r="L726">
            <v>237.61</v>
          </cell>
          <cell r="O726" t="str">
            <v>Y</v>
          </cell>
          <cell r="P726" t="str">
            <v>N</v>
          </cell>
          <cell r="Q726" t="str">
            <v>Vacancy</v>
          </cell>
          <cell r="S726">
            <v>0.2</v>
          </cell>
        </row>
        <row r="727">
          <cell r="D727">
            <v>908003622</v>
          </cell>
          <cell r="E727" t="str">
            <v>RAY THWALA</v>
          </cell>
          <cell r="F727" t="str">
            <v>A (Ch)</v>
          </cell>
          <cell r="G727">
            <v>16662</v>
          </cell>
          <cell r="H727" t="str">
            <v>Choice</v>
          </cell>
          <cell r="I727">
            <v>0.8125</v>
          </cell>
          <cell r="J727">
            <v>0.33333333333333331</v>
          </cell>
          <cell r="K727">
            <v>11.5</v>
          </cell>
          <cell r="L727">
            <v>170.05</v>
          </cell>
          <cell r="O727" t="str">
            <v>Y</v>
          </cell>
          <cell r="P727" t="str">
            <v>N</v>
          </cell>
          <cell r="Q727" t="str">
            <v>Vacancy</v>
          </cell>
          <cell r="S727">
            <v>0.31</v>
          </cell>
        </row>
        <row r="728">
          <cell r="D728">
            <v>908004480</v>
          </cell>
          <cell r="E728" t="str">
            <v>RODA RAMERIZ</v>
          </cell>
          <cell r="F728" t="str">
            <v>D (Ch)</v>
          </cell>
          <cell r="G728">
            <v>16681</v>
          </cell>
          <cell r="H728" t="str">
            <v>Choice</v>
          </cell>
          <cell r="I728">
            <v>0.875</v>
          </cell>
          <cell r="J728">
            <v>0.3125</v>
          </cell>
          <cell r="K728">
            <v>9.5</v>
          </cell>
          <cell r="L728">
            <v>300.97000000000003</v>
          </cell>
          <cell r="O728" t="str">
            <v>Y</v>
          </cell>
          <cell r="P728" t="str">
            <v>N</v>
          </cell>
          <cell r="Q728" t="str">
            <v>Extra Capacity</v>
          </cell>
          <cell r="S728">
            <v>0.25</v>
          </cell>
        </row>
        <row r="729">
          <cell r="D729">
            <v>808005629</v>
          </cell>
          <cell r="E729" t="str">
            <v>ROMMEL MAQUEDA</v>
          </cell>
          <cell r="F729" t="str">
            <v>D (Ch)</v>
          </cell>
          <cell r="H729" t="str">
            <v>Choice</v>
          </cell>
          <cell r="I729">
            <v>0.84375</v>
          </cell>
          <cell r="J729">
            <v>0.3125</v>
          </cell>
          <cell r="K729">
            <v>10.25</v>
          </cell>
          <cell r="L729">
            <v>324.73</v>
          </cell>
          <cell r="O729" t="str">
            <v>Y</v>
          </cell>
          <cell r="P729" t="str">
            <v>N</v>
          </cell>
          <cell r="Q729" t="str">
            <v>Vacancy</v>
          </cell>
          <cell r="S729">
            <v>0.27</v>
          </cell>
        </row>
        <row r="730">
          <cell r="D730">
            <v>808006660</v>
          </cell>
          <cell r="E730" t="str">
            <v>RUTH MILMINE</v>
          </cell>
          <cell r="F730" t="str">
            <v>D (Amb)</v>
          </cell>
          <cell r="G730">
            <v>744936</v>
          </cell>
          <cell r="H730" t="str">
            <v>Ambition</v>
          </cell>
          <cell r="I730">
            <v>0.375</v>
          </cell>
          <cell r="J730">
            <v>0.58333333333333337</v>
          </cell>
          <cell r="K730">
            <v>5</v>
          </cell>
          <cell r="L730">
            <v>254.15</v>
          </cell>
          <cell r="O730" t="str">
            <v>Y</v>
          </cell>
          <cell r="P730" t="str">
            <v>N</v>
          </cell>
          <cell r="Q730" t="str">
            <v>Vacancy</v>
          </cell>
          <cell r="S730">
            <v>0.13</v>
          </cell>
        </row>
        <row r="731">
          <cell r="D731">
            <v>908004869</v>
          </cell>
          <cell r="E731" t="str">
            <v>RUTH MILMINE</v>
          </cell>
          <cell r="F731" t="str">
            <v>D (Amb)</v>
          </cell>
          <cell r="G731">
            <v>744934</v>
          </cell>
          <cell r="H731" t="str">
            <v>Ambition</v>
          </cell>
          <cell r="I731">
            <v>0.60416666666666663</v>
          </cell>
          <cell r="J731">
            <v>0.85416666666666663</v>
          </cell>
          <cell r="K731">
            <v>5.6666666666666696</v>
          </cell>
          <cell r="L731">
            <v>288.04000000000002</v>
          </cell>
          <cell r="O731" t="str">
            <v>Y</v>
          </cell>
          <cell r="P731" t="str">
            <v>N</v>
          </cell>
          <cell r="Q731" t="str">
            <v>Extra Capacity</v>
          </cell>
          <cell r="S731">
            <v>0.15</v>
          </cell>
        </row>
        <row r="732">
          <cell r="D732">
            <v>908004865</v>
          </cell>
          <cell r="E732" t="str">
            <v>SAM KELEM</v>
          </cell>
          <cell r="F732" t="str">
            <v>D (Ch)</v>
          </cell>
          <cell r="G732">
            <v>16668</v>
          </cell>
          <cell r="H732" t="str">
            <v>Choice</v>
          </cell>
          <cell r="I732">
            <v>0.83333333333333337</v>
          </cell>
          <cell r="J732">
            <v>0.33333333333333331</v>
          </cell>
          <cell r="K732">
            <v>11.3333333333333</v>
          </cell>
          <cell r="L732">
            <v>359.05</v>
          </cell>
          <cell r="O732" t="str">
            <v>Y</v>
          </cell>
          <cell r="P732" t="str">
            <v>N</v>
          </cell>
          <cell r="Q732" t="str">
            <v>Extra Capacity</v>
          </cell>
          <cell r="S732">
            <v>0.3</v>
          </cell>
        </row>
        <row r="733">
          <cell r="D733">
            <v>908005201</v>
          </cell>
          <cell r="E733" t="str">
            <v>SAVETREE PANIS</v>
          </cell>
          <cell r="F733" t="str">
            <v>D (MD)</v>
          </cell>
          <cell r="G733">
            <v>331065</v>
          </cell>
          <cell r="H733" t="str">
            <v>Mayday</v>
          </cell>
          <cell r="I733">
            <v>0.3125</v>
          </cell>
          <cell r="J733">
            <v>0.85416666666666663</v>
          </cell>
          <cell r="K733">
            <v>12.3333333333333</v>
          </cell>
          <cell r="L733">
            <v>517.72</v>
          </cell>
          <cell r="O733" t="str">
            <v>Y</v>
          </cell>
          <cell r="P733" t="str">
            <v>N</v>
          </cell>
          <cell r="Q733" t="str">
            <v>On-Call</v>
          </cell>
          <cell r="S733">
            <v>0.33</v>
          </cell>
        </row>
        <row r="734">
          <cell r="D734">
            <v>908004478</v>
          </cell>
          <cell r="E734" t="str">
            <v>TAMBU JENA</v>
          </cell>
          <cell r="F734" t="str">
            <v>D (Ch)</v>
          </cell>
          <cell r="G734">
            <v>16681</v>
          </cell>
          <cell r="H734" t="str">
            <v>Choice</v>
          </cell>
          <cell r="I734">
            <v>0.29166666666666669</v>
          </cell>
          <cell r="J734">
            <v>0.625</v>
          </cell>
          <cell r="K734">
            <v>7.5</v>
          </cell>
          <cell r="L734">
            <v>237.61</v>
          </cell>
          <cell r="O734" t="str">
            <v>Y</v>
          </cell>
          <cell r="P734" t="str">
            <v>N</v>
          </cell>
          <cell r="Q734" t="str">
            <v>Extra Capacity</v>
          </cell>
          <cell r="S734">
            <v>0.2</v>
          </cell>
        </row>
        <row r="735">
          <cell r="D735">
            <v>908004479</v>
          </cell>
          <cell r="E735" t="str">
            <v>TAMBU JENA</v>
          </cell>
          <cell r="F735" t="str">
            <v>D (Ch)</v>
          </cell>
          <cell r="G735">
            <v>16681</v>
          </cell>
          <cell r="H735" t="str">
            <v>Choice</v>
          </cell>
          <cell r="I735">
            <v>0.625</v>
          </cell>
          <cell r="J735">
            <v>0.89583333333333337</v>
          </cell>
          <cell r="K735">
            <v>6.1666666666666696</v>
          </cell>
          <cell r="L735">
            <v>195.37</v>
          </cell>
          <cell r="O735" t="str">
            <v>Y</v>
          </cell>
          <cell r="P735" t="str">
            <v>N</v>
          </cell>
          <cell r="Q735" t="str">
            <v>Extra Capacity</v>
          </cell>
          <cell r="S735">
            <v>0.16</v>
          </cell>
        </row>
        <row r="736">
          <cell r="D736">
            <v>908004483</v>
          </cell>
          <cell r="E736" t="str">
            <v>ALMA DEPENA</v>
          </cell>
          <cell r="F736" t="str">
            <v>D (Ch)</v>
          </cell>
          <cell r="G736">
            <v>16751</v>
          </cell>
          <cell r="H736" t="str">
            <v>Choice</v>
          </cell>
          <cell r="I736">
            <v>0.875</v>
          </cell>
          <cell r="J736">
            <v>0.3125</v>
          </cell>
          <cell r="K736">
            <v>10.1666666666667</v>
          </cell>
          <cell r="L736">
            <v>396.42</v>
          </cell>
          <cell r="O736" t="str">
            <v>Y</v>
          </cell>
          <cell r="P736" t="str">
            <v>N</v>
          </cell>
          <cell r="Q736" t="str">
            <v>Extra Capacity</v>
          </cell>
          <cell r="S736">
            <v>0.27</v>
          </cell>
        </row>
        <row r="737">
          <cell r="D737">
            <v>808003693</v>
          </cell>
          <cell r="E737" t="str">
            <v>ATINUKE OKE-OLATUNDE</v>
          </cell>
          <cell r="F737" t="str">
            <v>D (MD)</v>
          </cell>
          <cell r="H737" t="str">
            <v>Mayday</v>
          </cell>
          <cell r="I737">
            <v>0.83333333333333337</v>
          </cell>
          <cell r="J737">
            <v>0.33333333333333331</v>
          </cell>
          <cell r="K737">
            <v>11.3333333333333</v>
          </cell>
          <cell r="L737">
            <v>585.53</v>
          </cell>
          <cell r="O737" t="str">
            <v>Y</v>
          </cell>
          <cell r="P737" t="str">
            <v>N</v>
          </cell>
          <cell r="Q737" t="str">
            <v>Extra Capacity</v>
          </cell>
          <cell r="S737">
            <v>0.3</v>
          </cell>
        </row>
        <row r="738">
          <cell r="D738">
            <v>808003807</v>
          </cell>
          <cell r="E738" t="str">
            <v>BEAUTY NGIDI</v>
          </cell>
          <cell r="F738" t="str">
            <v>D (MD)</v>
          </cell>
          <cell r="G738">
            <v>329644</v>
          </cell>
          <cell r="H738" t="str">
            <v>Mayday</v>
          </cell>
          <cell r="I738">
            <v>0.3125</v>
          </cell>
          <cell r="J738">
            <v>0.64583333333333337</v>
          </cell>
          <cell r="K738">
            <v>7.6666666666666696</v>
          </cell>
          <cell r="L738">
            <v>396.09</v>
          </cell>
          <cell r="O738" t="str">
            <v>Y</v>
          </cell>
          <cell r="P738" t="str">
            <v>N</v>
          </cell>
          <cell r="Q738" t="str">
            <v>Extra Capacity</v>
          </cell>
          <cell r="S738">
            <v>0.2</v>
          </cell>
        </row>
        <row r="739">
          <cell r="D739">
            <v>808003836</v>
          </cell>
          <cell r="E739" t="str">
            <v>BEAUTY NGIDI</v>
          </cell>
          <cell r="F739" t="str">
            <v>D (MD)</v>
          </cell>
          <cell r="G739">
            <v>329644</v>
          </cell>
          <cell r="H739" t="str">
            <v>Mayday</v>
          </cell>
          <cell r="I739">
            <v>0.64583333333333337</v>
          </cell>
          <cell r="J739">
            <v>0.85416666666666663</v>
          </cell>
          <cell r="K739">
            <v>5</v>
          </cell>
          <cell r="L739">
            <v>258.32</v>
          </cell>
          <cell r="O739" t="str">
            <v>Y</v>
          </cell>
          <cell r="P739" t="str">
            <v>N</v>
          </cell>
          <cell r="Q739" t="str">
            <v>Extra Capacity</v>
          </cell>
          <cell r="S739">
            <v>0.13</v>
          </cell>
        </row>
        <row r="740">
          <cell r="D740">
            <v>808003645</v>
          </cell>
          <cell r="E740" t="str">
            <v>BRIGHTNESS NDEBELE</v>
          </cell>
          <cell r="F740" t="str">
            <v>D (MD)</v>
          </cell>
          <cell r="H740" t="str">
            <v>Mayday</v>
          </cell>
          <cell r="I740">
            <v>0.3125</v>
          </cell>
          <cell r="J740">
            <v>0.64583333333333337</v>
          </cell>
          <cell r="K740">
            <v>7.6666666666666696</v>
          </cell>
          <cell r="L740">
            <v>396.09</v>
          </cell>
          <cell r="O740" t="str">
            <v>Y</v>
          </cell>
          <cell r="P740" t="str">
            <v>N</v>
          </cell>
          <cell r="Q740" t="str">
            <v>Extra Capacity</v>
          </cell>
          <cell r="S740">
            <v>0.2</v>
          </cell>
        </row>
        <row r="741">
          <cell r="D741">
            <v>808003673</v>
          </cell>
          <cell r="E741" t="str">
            <v>BRIGHTNESS NDEBELE</v>
          </cell>
          <cell r="F741" t="str">
            <v>D (MD)</v>
          </cell>
          <cell r="H741" t="str">
            <v>Mayday</v>
          </cell>
          <cell r="I741">
            <v>0.64583333333333337</v>
          </cell>
          <cell r="J741">
            <v>0.85416666666666663</v>
          </cell>
          <cell r="K741">
            <v>5</v>
          </cell>
          <cell r="L741">
            <v>258.32</v>
          </cell>
          <cell r="O741" t="str">
            <v>Y</v>
          </cell>
          <cell r="P741" t="str">
            <v>N</v>
          </cell>
          <cell r="Q741" t="str">
            <v>Extra Capacity</v>
          </cell>
          <cell r="S741">
            <v>0.13</v>
          </cell>
        </row>
        <row r="742">
          <cell r="D742">
            <v>908004481</v>
          </cell>
          <cell r="E742" t="str">
            <v>CYNTHIA DELMO/ nilo danugo</v>
          </cell>
          <cell r="F742" t="str">
            <v>D (Ch)</v>
          </cell>
          <cell r="G742">
            <v>16950</v>
          </cell>
          <cell r="H742" t="str">
            <v>Choice</v>
          </cell>
          <cell r="I742">
            <v>0.29166666666666669</v>
          </cell>
          <cell r="J742">
            <v>0.625</v>
          </cell>
          <cell r="K742">
            <v>7.5</v>
          </cell>
          <cell r="L742">
            <v>292.44</v>
          </cell>
          <cell r="O742" t="str">
            <v>Y</v>
          </cell>
          <cell r="P742" t="str">
            <v>N</v>
          </cell>
          <cell r="Q742" t="str">
            <v>Extra Capacity</v>
          </cell>
          <cell r="S742">
            <v>0.2</v>
          </cell>
        </row>
        <row r="743">
          <cell r="D743">
            <v>908004482</v>
          </cell>
          <cell r="E743" t="str">
            <v>CYNTHIA DELMO/ nilo danugo</v>
          </cell>
          <cell r="F743" t="str">
            <v>D (Ch)</v>
          </cell>
          <cell r="G743">
            <v>16950</v>
          </cell>
          <cell r="H743" t="str">
            <v>Choice</v>
          </cell>
          <cell r="I743">
            <v>0.625</v>
          </cell>
          <cell r="J743">
            <v>0.89583333333333337</v>
          </cell>
          <cell r="K743">
            <v>6.1666666666666696</v>
          </cell>
          <cell r="L743">
            <v>240.45</v>
          </cell>
          <cell r="O743" t="str">
            <v>Y</v>
          </cell>
          <cell r="P743" t="str">
            <v>N</v>
          </cell>
          <cell r="Q743" t="str">
            <v>Extra Capacity</v>
          </cell>
          <cell r="S743">
            <v>0.16</v>
          </cell>
        </row>
        <row r="744">
          <cell r="D744">
            <v>808003813</v>
          </cell>
          <cell r="E744" t="str">
            <v>DIGRACIA  NAPE</v>
          </cell>
          <cell r="F744" t="str">
            <v>D (MD)</v>
          </cell>
          <cell r="G744">
            <v>329165</v>
          </cell>
          <cell r="H744" t="str">
            <v>Mayday</v>
          </cell>
          <cell r="I744">
            <v>0.3125</v>
          </cell>
          <cell r="J744">
            <v>0.64583333333333337</v>
          </cell>
          <cell r="K744">
            <v>7.6666666666666696</v>
          </cell>
          <cell r="L744">
            <v>396.09</v>
          </cell>
          <cell r="O744" t="str">
            <v>Y</v>
          </cell>
          <cell r="P744" t="str">
            <v>N</v>
          </cell>
          <cell r="Q744" t="str">
            <v>Extra Capacity</v>
          </cell>
          <cell r="S744">
            <v>0.2</v>
          </cell>
        </row>
        <row r="745">
          <cell r="D745">
            <v>908003984</v>
          </cell>
          <cell r="E745" t="str">
            <v>GEORGE GARCIA</v>
          </cell>
          <cell r="F745" t="str">
            <v>2 Gen (All)</v>
          </cell>
          <cell r="G745" t="str">
            <v>G1446460</v>
          </cell>
          <cell r="H745" t="str">
            <v xml:space="preserve">Allied </v>
          </cell>
          <cell r="I745">
            <v>0.83333333333333337</v>
          </cell>
          <cell r="J745">
            <v>0.33333333333333331</v>
          </cell>
          <cell r="K745">
            <v>11.3333333333333</v>
          </cell>
          <cell r="L745">
            <v>181.33</v>
          </cell>
          <cell r="O745" t="str">
            <v>Y</v>
          </cell>
          <cell r="P745" t="str">
            <v>N</v>
          </cell>
          <cell r="Q745" t="str">
            <v>Specials</v>
          </cell>
          <cell r="S745">
            <v>0.3</v>
          </cell>
        </row>
        <row r="746">
          <cell r="D746">
            <v>908004871</v>
          </cell>
          <cell r="E746" t="str">
            <v>GRACE CHIKWAVA</v>
          </cell>
          <cell r="F746" t="str">
            <v>D (Ch)</v>
          </cell>
          <cell r="G746">
            <v>16739</v>
          </cell>
          <cell r="H746" t="str">
            <v>Choice</v>
          </cell>
          <cell r="I746">
            <v>0.3125</v>
          </cell>
          <cell r="J746">
            <v>0.85416666666666663</v>
          </cell>
          <cell r="K746">
            <v>12.3333333333333</v>
          </cell>
          <cell r="L746">
            <v>480.9</v>
          </cell>
          <cell r="O746" t="str">
            <v>Y</v>
          </cell>
          <cell r="P746" t="str">
            <v>N</v>
          </cell>
          <cell r="Q746" t="str">
            <v>Extra Capacity</v>
          </cell>
          <cell r="S746">
            <v>0.33</v>
          </cell>
        </row>
        <row r="747">
          <cell r="D747">
            <v>908004124</v>
          </cell>
          <cell r="E747" t="str">
            <v>HILDA SHANGE</v>
          </cell>
          <cell r="F747" t="str">
            <v>D (Ch)</v>
          </cell>
          <cell r="H747" t="str">
            <v>Choice</v>
          </cell>
          <cell r="I747">
            <v>0.8125</v>
          </cell>
          <cell r="J747">
            <v>0.33333333333333331</v>
          </cell>
          <cell r="K747">
            <v>11.8333333333333</v>
          </cell>
          <cell r="L747">
            <v>461.41</v>
          </cell>
          <cell r="O747" t="str">
            <v>Y</v>
          </cell>
          <cell r="P747" t="str">
            <v>N</v>
          </cell>
          <cell r="Q747" t="str">
            <v>Extra Capacity</v>
          </cell>
          <cell r="S747">
            <v>0.32</v>
          </cell>
        </row>
        <row r="748">
          <cell r="D748">
            <v>908005280</v>
          </cell>
          <cell r="E748" t="str">
            <v>JANET BANNISTER</v>
          </cell>
          <cell r="F748" t="str">
            <v>D (MD)</v>
          </cell>
          <cell r="H748" t="str">
            <v>Mayday</v>
          </cell>
          <cell r="I748">
            <v>0.83333333333333337</v>
          </cell>
          <cell r="J748">
            <v>0.33333333333333331</v>
          </cell>
          <cell r="K748">
            <v>11.3333333333333</v>
          </cell>
          <cell r="L748">
            <v>585.53</v>
          </cell>
          <cell r="O748" t="str">
            <v>Y</v>
          </cell>
          <cell r="P748" t="str">
            <v>N</v>
          </cell>
          <cell r="Q748" t="str">
            <v>On-Call</v>
          </cell>
          <cell r="S748">
            <v>0.3</v>
          </cell>
        </row>
        <row r="749">
          <cell r="D749">
            <v>908003128</v>
          </cell>
          <cell r="E749" t="str">
            <v>JASON WENT</v>
          </cell>
          <cell r="F749" t="str">
            <v>D / 5 General (</v>
          </cell>
          <cell r="G749" t="str">
            <v>604-149829</v>
          </cell>
          <cell r="H749" t="str">
            <v>Blue Arrow</v>
          </cell>
          <cell r="I749">
            <v>0.82291666666666663</v>
          </cell>
          <cell r="J749">
            <v>0.34375</v>
          </cell>
          <cell r="K749">
            <v>11.5</v>
          </cell>
          <cell r="L749">
            <v>310.58999999999997</v>
          </cell>
          <cell r="O749" t="str">
            <v>Y</v>
          </cell>
          <cell r="P749" t="str">
            <v>N</v>
          </cell>
          <cell r="Q749" t="str">
            <v>Maternity Leave</v>
          </cell>
          <cell r="S749">
            <v>0.31</v>
          </cell>
        </row>
        <row r="750">
          <cell r="D750">
            <v>908004120</v>
          </cell>
          <cell r="E750" t="str">
            <v>JOANNE BUSS</v>
          </cell>
          <cell r="F750" t="str">
            <v>D (MD)</v>
          </cell>
          <cell r="G750">
            <v>330941</v>
          </cell>
          <cell r="H750" t="str">
            <v>Mayday</v>
          </cell>
          <cell r="I750">
            <v>0.3125</v>
          </cell>
          <cell r="J750">
            <v>0.58333333333333337</v>
          </cell>
          <cell r="K750">
            <v>6.1666666666666696</v>
          </cell>
          <cell r="L750">
            <v>318.58999999999997</v>
          </cell>
          <cell r="O750" t="str">
            <v>Y</v>
          </cell>
          <cell r="P750" t="str">
            <v>N</v>
          </cell>
          <cell r="Q750" t="str">
            <v>Extra Capacity</v>
          </cell>
          <cell r="S750">
            <v>0.16</v>
          </cell>
        </row>
        <row r="751">
          <cell r="D751">
            <v>908003185</v>
          </cell>
          <cell r="E751" t="str">
            <v>JOHANNA HATUIKULIPI</v>
          </cell>
          <cell r="F751" t="str">
            <v>D (MD)</v>
          </cell>
          <cell r="G751">
            <v>330420</v>
          </cell>
          <cell r="H751" t="str">
            <v>Mayday</v>
          </cell>
          <cell r="I751">
            <v>0.3125</v>
          </cell>
          <cell r="J751">
            <v>0.54166666666666663</v>
          </cell>
          <cell r="K751">
            <v>5.5</v>
          </cell>
          <cell r="L751">
            <v>284.14999999999998</v>
          </cell>
          <cell r="O751" t="str">
            <v>Y</v>
          </cell>
          <cell r="P751" t="str">
            <v>N</v>
          </cell>
          <cell r="Q751" t="str">
            <v>Extra Capacity</v>
          </cell>
          <cell r="S751">
            <v>0.15</v>
          </cell>
        </row>
        <row r="752">
          <cell r="D752">
            <v>908004867</v>
          </cell>
          <cell r="E752" t="str">
            <v>KAREN STRUDWICK</v>
          </cell>
          <cell r="F752" t="str">
            <v>D (Ch)</v>
          </cell>
          <cell r="G752">
            <v>16668</v>
          </cell>
          <cell r="H752" t="str">
            <v>Choice</v>
          </cell>
          <cell r="I752">
            <v>0.83333333333333337</v>
          </cell>
          <cell r="J752">
            <v>0.33333333333333331</v>
          </cell>
          <cell r="K752">
            <v>11.3333333333333</v>
          </cell>
          <cell r="L752">
            <v>441.91</v>
          </cell>
          <cell r="O752" t="str">
            <v>Y</v>
          </cell>
          <cell r="P752" t="str">
            <v>N</v>
          </cell>
          <cell r="Q752" t="str">
            <v>Extra Capacity</v>
          </cell>
          <cell r="S752">
            <v>0.3</v>
          </cell>
        </row>
        <row r="753">
          <cell r="D753">
            <v>908003124</v>
          </cell>
          <cell r="E753" t="str">
            <v>KERRI GALLOWAY</v>
          </cell>
          <cell r="F753" t="str">
            <v>D (MD)</v>
          </cell>
          <cell r="G753">
            <v>329683</v>
          </cell>
          <cell r="H753" t="str">
            <v>Mayday</v>
          </cell>
          <cell r="I753">
            <v>0.32291666666666669</v>
          </cell>
          <cell r="J753">
            <v>0.54166666666666663</v>
          </cell>
          <cell r="K753">
            <v>5.25</v>
          </cell>
          <cell r="L753">
            <v>271.24</v>
          </cell>
          <cell r="O753" t="str">
            <v>Y</v>
          </cell>
          <cell r="P753" t="str">
            <v>N</v>
          </cell>
          <cell r="Q753" t="str">
            <v>Vacancy</v>
          </cell>
          <cell r="S753">
            <v>0.14000000000000001</v>
          </cell>
        </row>
        <row r="754">
          <cell r="D754">
            <v>908004336</v>
          </cell>
          <cell r="E754" t="str">
            <v>KERRI GALLOWAY</v>
          </cell>
          <cell r="F754" t="str">
            <v>D (MD)</v>
          </cell>
          <cell r="G754">
            <v>329686</v>
          </cell>
          <cell r="H754" t="str">
            <v>Mayday</v>
          </cell>
          <cell r="I754">
            <v>0.63541666666666663</v>
          </cell>
          <cell r="J754">
            <v>0.85416666666666663</v>
          </cell>
          <cell r="K754">
            <v>5.25</v>
          </cell>
          <cell r="L754">
            <v>271.24</v>
          </cell>
          <cell r="O754" t="str">
            <v>Y</v>
          </cell>
          <cell r="P754" t="str">
            <v>N</v>
          </cell>
          <cell r="Q754" t="str">
            <v>Study Leave</v>
          </cell>
          <cell r="S754">
            <v>0.14000000000000001</v>
          </cell>
        </row>
        <row r="755">
          <cell r="D755">
            <v>808003819</v>
          </cell>
          <cell r="E755" t="str">
            <v>KIRSTY LAWLER</v>
          </cell>
          <cell r="F755" t="str">
            <v>D (MD)</v>
          </cell>
          <cell r="G755">
            <v>329667</v>
          </cell>
          <cell r="H755" t="str">
            <v>Mayday</v>
          </cell>
          <cell r="I755">
            <v>0.3125</v>
          </cell>
          <cell r="J755">
            <v>0.64583333333333337</v>
          </cell>
          <cell r="K755">
            <v>7.6666666666666696</v>
          </cell>
          <cell r="L755">
            <v>396.09</v>
          </cell>
          <cell r="O755" t="str">
            <v>Y</v>
          </cell>
          <cell r="P755" t="str">
            <v>N</v>
          </cell>
          <cell r="Q755" t="str">
            <v>Extra Capacity</v>
          </cell>
          <cell r="S755">
            <v>0.2</v>
          </cell>
        </row>
        <row r="756">
          <cell r="D756">
            <v>908004443</v>
          </cell>
          <cell r="E756" t="str">
            <v>LETECIA MENIANO</v>
          </cell>
          <cell r="F756" t="str">
            <v>D (Ch)</v>
          </cell>
          <cell r="G756">
            <v>16677</v>
          </cell>
          <cell r="H756" t="str">
            <v>Choice</v>
          </cell>
          <cell r="I756">
            <v>0.83333333333333337</v>
          </cell>
          <cell r="J756">
            <v>0.33333333333333331</v>
          </cell>
          <cell r="K756">
            <v>11.3333333333333</v>
          </cell>
          <cell r="L756">
            <v>441.91</v>
          </cell>
          <cell r="O756" t="str">
            <v>Y</v>
          </cell>
          <cell r="P756" t="str">
            <v>N</v>
          </cell>
          <cell r="Q756" t="str">
            <v>Short Term Sick</v>
          </cell>
          <cell r="S756">
            <v>0.3</v>
          </cell>
        </row>
        <row r="757">
          <cell r="D757">
            <v>908004125</v>
          </cell>
          <cell r="E757" t="str">
            <v>OMAR SENGHORE</v>
          </cell>
          <cell r="F757" t="str">
            <v>D (MD)</v>
          </cell>
          <cell r="G757">
            <v>329657</v>
          </cell>
          <cell r="H757" t="str">
            <v>Mayday</v>
          </cell>
          <cell r="I757">
            <v>0.8125</v>
          </cell>
          <cell r="J757">
            <v>0.33333333333333331</v>
          </cell>
          <cell r="K757">
            <v>11.8333333333333</v>
          </cell>
          <cell r="L757">
            <v>611.36</v>
          </cell>
          <cell r="O757" t="str">
            <v>Y</v>
          </cell>
          <cell r="P757" t="str">
            <v>N</v>
          </cell>
          <cell r="Q757" t="str">
            <v>Extra Capacity</v>
          </cell>
          <cell r="S757">
            <v>0.32</v>
          </cell>
        </row>
        <row r="758">
          <cell r="D758">
            <v>808003639</v>
          </cell>
          <cell r="E758" t="str">
            <v>PAT DUBE</v>
          </cell>
          <cell r="F758" t="str">
            <v>D (MD)</v>
          </cell>
          <cell r="H758" t="str">
            <v>Mayday</v>
          </cell>
          <cell r="I758">
            <v>0.3125</v>
          </cell>
          <cell r="J758">
            <v>0.64583333333333337</v>
          </cell>
          <cell r="K758">
            <v>7.6666666666666696</v>
          </cell>
          <cell r="L758">
            <v>396.09</v>
          </cell>
          <cell r="O758" t="str">
            <v>Y</v>
          </cell>
          <cell r="P758" t="str">
            <v>N</v>
          </cell>
          <cell r="Q758" t="str">
            <v>Extra Capacity</v>
          </cell>
          <cell r="S758">
            <v>0.2</v>
          </cell>
        </row>
        <row r="759">
          <cell r="D759">
            <v>808003667</v>
          </cell>
          <cell r="E759" t="str">
            <v>PAT DUBE</v>
          </cell>
          <cell r="F759" t="str">
            <v>D (MD)</v>
          </cell>
          <cell r="H759" t="str">
            <v>Mayday</v>
          </cell>
          <cell r="I759">
            <v>0.64583333333333337</v>
          </cell>
          <cell r="J759">
            <v>0.85416666666666663</v>
          </cell>
          <cell r="K759">
            <v>5</v>
          </cell>
          <cell r="L759">
            <v>258.32</v>
          </cell>
          <cell r="O759" t="str">
            <v>Y</v>
          </cell>
          <cell r="P759" t="str">
            <v>N</v>
          </cell>
          <cell r="Q759" t="str">
            <v>Extra Capacity</v>
          </cell>
          <cell r="S759">
            <v>0.13</v>
          </cell>
        </row>
        <row r="760">
          <cell r="D760">
            <v>908004872</v>
          </cell>
          <cell r="E760" t="str">
            <v>PEGGY MAPOGO</v>
          </cell>
          <cell r="F760" t="str">
            <v>D (Ch)</v>
          </cell>
          <cell r="G760">
            <v>16739</v>
          </cell>
          <cell r="H760" t="str">
            <v>Choice</v>
          </cell>
          <cell r="I760">
            <v>0.3125</v>
          </cell>
          <cell r="J760">
            <v>0.85416666666666663</v>
          </cell>
          <cell r="K760">
            <v>12.3333333333333</v>
          </cell>
          <cell r="L760">
            <v>480.9</v>
          </cell>
          <cell r="O760" t="str">
            <v>Y</v>
          </cell>
          <cell r="P760" t="str">
            <v>N</v>
          </cell>
          <cell r="Q760" t="str">
            <v>Extra Capacity</v>
          </cell>
          <cell r="S760">
            <v>0.33</v>
          </cell>
        </row>
        <row r="761">
          <cell r="D761">
            <v>808006551</v>
          </cell>
          <cell r="E761" t="str">
            <v>RICCA PARADA</v>
          </cell>
          <cell r="F761" t="str">
            <v>D (Ch)</v>
          </cell>
          <cell r="G761">
            <v>16675</v>
          </cell>
          <cell r="H761" t="str">
            <v>Choice</v>
          </cell>
          <cell r="I761">
            <v>0.60416666666666663</v>
          </cell>
          <cell r="J761">
            <v>0.8125</v>
          </cell>
          <cell r="K761">
            <v>5</v>
          </cell>
          <cell r="L761">
            <v>194.96</v>
          </cell>
          <cell r="O761" t="str">
            <v>Y</v>
          </cell>
          <cell r="P761" t="str">
            <v>N</v>
          </cell>
          <cell r="Q761" t="str">
            <v>Vacancy</v>
          </cell>
          <cell r="S761">
            <v>0.13</v>
          </cell>
        </row>
        <row r="762">
          <cell r="D762">
            <v>908003978</v>
          </cell>
          <cell r="E762" t="str">
            <v>RICHARD JAMBAYA</v>
          </cell>
          <cell r="F762" t="str">
            <v>D (Ch)</v>
          </cell>
          <cell r="G762">
            <v>16738</v>
          </cell>
          <cell r="H762" t="str">
            <v>Choice</v>
          </cell>
          <cell r="I762">
            <v>0.5625</v>
          </cell>
          <cell r="J762">
            <v>0.83333333333333337</v>
          </cell>
          <cell r="K762">
            <v>6.1666666666666696</v>
          </cell>
          <cell r="L762">
            <v>240.45</v>
          </cell>
          <cell r="O762" t="str">
            <v>Y</v>
          </cell>
          <cell r="P762" t="str">
            <v>N</v>
          </cell>
          <cell r="Q762" t="str">
            <v>Specials</v>
          </cell>
          <cell r="S762">
            <v>0.16</v>
          </cell>
        </row>
        <row r="763">
          <cell r="D763">
            <v>908004868</v>
          </cell>
          <cell r="E763" t="str">
            <v>SAM KELEM</v>
          </cell>
          <cell r="F763" t="str">
            <v>D (Ch)</v>
          </cell>
          <cell r="G763">
            <v>16668</v>
          </cell>
          <cell r="H763" t="str">
            <v>Choice</v>
          </cell>
          <cell r="I763">
            <v>0.83333333333333337</v>
          </cell>
          <cell r="J763">
            <v>0.33333333333333331</v>
          </cell>
          <cell r="K763">
            <v>11.3333333333333</v>
          </cell>
          <cell r="L763">
            <v>441.91</v>
          </cell>
          <cell r="O763" t="str">
            <v>Y</v>
          </cell>
          <cell r="P763" t="str">
            <v>N</v>
          </cell>
          <cell r="Q763" t="str">
            <v>Extra Capacity</v>
          </cell>
          <cell r="S763">
            <v>0.3</v>
          </cell>
        </row>
        <row r="764">
          <cell r="D764">
            <v>808005092</v>
          </cell>
          <cell r="E764" t="str">
            <v>SEREELETSO MAITIYO</v>
          </cell>
          <cell r="F764" t="str">
            <v>D (Ch)</v>
          </cell>
          <cell r="H764" t="str">
            <v>Choice</v>
          </cell>
          <cell r="I764">
            <v>0.60416666666666663</v>
          </cell>
          <cell r="J764">
            <v>0.8125</v>
          </cell>
          <cell r="K764">
            <v>5</v>
          </cell>
          <cell r="L764">
            <v>194.96</v>
          </cell>
          <cell r="O764" t="str">
            <v>Y</v>
          </cell>
          <cell r="P764" t="str">
            <v>N</v>
          </cell>
          <cell r="Q764" t="str">
            <v>Vacancy</v>
          </cell>
          <cell r="S764">
            <v>0.13</v>
          </cell>
        </row>
        <row r="765">
          <cell r="D765">
            <v>908004964</v>
          </cell>
          <cell r="E765" t="str">
            <v>TAMBU JENA</v>
          </cell>
          <cell r="F765" t="str">
            <v>D (Ch)</v>
          </cell>
          <cell r="G765">
            <v>16674</v>
          </cell>
          <cell r="H765" t="str">
            <v>Choice</v>
          </cell>
          <cell r="I765">
            <v>0.32291666666666669</v>
          </cell>
          <cell r="J765">
            <v>0.84375</v>
          </cell>
          <cell r="K765">
            <v>11.5</v>
          </cell>
          <cell r="L765">
            <v>448.41</v>
          </cell>
          <cell r="O765" t="str">
            <v>Y</v>
          </cell>
          <cell r="P765" t="str">
            <v>N</v>
          </cell>
          <cell r="Q765" t="str">
            <v>Short Term Sick</v>
          </cell>
          <cell r="S765">
            <v>0.31</v>
          </cell>
        </row>
        <row r="766">
          <cell r="D766">
            <v>808003855</v>
          </cell>
          <cell r="E766" t="str">
            <v>TEMBE NGIDI mabel minisi</v>
          </cell>
          <cell r="F766" t="str">
            <v>D (MD)</v>
          </cell>
          <cell r="G766">
            <v>330515</v>
          </cell>
          <cell r="H766" t="str">
            <v>Mayday</v>
          </cell>
          <cell r="I766">
            <v>0.83333333333333337</v>
          </cell>
          <cell r="J766">
            <v>0.33333333333333331</v>
          </cell>
          <cell r="K766">
            <v>11.3333333333333</v>
          </cell>
          <cell r="L766">
            <v>585.53</v>
          </cell>
          <cell r="O766" t="str">
            <v>Y</v>
          </cell>
          <cell r="P766" t="str">
            <v>N</v>
          </cell>
          <cell r="Q766" t="str">
            <v>Extra Capacity</v>
          </cell>
          <cell r="S766">
            <v>0.3</v>
          </cell>
        </row>
        <row r="767">
          <cell r="D767">
            <v>908005273</v>
          </cell>
          <cell r="E767" t="str">
            <v>TONDERA MAKAZA</v>
          </cell>
          <cell r="F767" t="str">
            <v>A (Ch)</v>
          </cell>
          <cell r="G767">
            <v>16667</v>
          </cell>
          <cell r="H767" t="str">
            <v>Choice</v>
          </cell>
          <cell r="I767">
            <v>0.83333333333333337</v>
          </cell>
          <cell r="J767">
            <v>0.33333333333333331</v>
          </cell>
          <cell r="K767">
            <v>11.3333333333333</v>
          </cell>
          <cell r="L767">
            <v>209.48</v>
          </cell>
          <cell r="O767" t="str">
            <v>Y</v>
          </cell>
          <cell r="P767" t="str">
            <v>N</v>
          </cell>
          <cell r="Q767" t="str">
            <v>On-Call</v>
          </cell>
          <cell r="S767">
            <v>0.3</v>
          </cell>
        </row>
        <row r="768">
          <cell r="D768">
            <v>908004486</v>
          </cell>
          <cell r="E768" t="str">
            <v>ALMA DEPENA</v>
          </cell>
          <cell r="F768" t="str">
            <v>D (Ch)</v>
          </cell>
          <cell r="G768">
            <v>16751</v>
          </cell>
          <cell r="H768" t="str">
            <v>Choice</v>
          </cell>
          <cell r="I768">
            <v>0.875</v>
          </cell>
          <cell r="J768">
            <v>0.3125</v>
          </cell>
          <cell r="K768">
            <v>10.1666666666667</v>
          </cell>
          <cell r="L768">
            <v>322.08999999999997</v>
          </cell>
          <cell r="O768" t="str">
            <v>Y</v>
          </cell>
          <cell r="P768" t="str">
            <v>N</v>
          </cell>
          <cell r="Q768" t="str">
            <v>Extra Capacity</v>
          </cell>
          <cell r="S768">
            <v>0.27</v>
          </cell>
        </row>
        <row r="769">
          <cell r="D769">
            <v>908000909</v>
          </cell>
          <cell r="E769" t="str">
            <v>ANNA BONNERUP</v>
          </cell>
          <cell r="F769" t="str">
            <v>D / 5 General (</v>
          </cell>
          <cell r="G769" t="str">
            <v>604-150146</v>
          </cell>
          <cell r="H769" t="str">
            <v>Blue Arrow</v>
          </cell>
          <cell r="I769">
            <v>0.3125</v>
          </cell>
          <cell r="J769">
            <v>0.54166666666666663</v>
          </cell>
          <cell r="K769">
            <v>5.5</v>
          </cell>
          <cell r="L769">
            <v>92.84</v>
          </cell>
          <cell r="O769" t="str">
            <v>Y</v>
          </cell>
          <cell r="P769" t="str">
            <v>N</v>
          </cell>
          <cell r="Q769" t="str">
            <v>Vacancy</v>
          </cell>
          <cell r="S769">
            <v>0.15</v>
          </cell>
        </row>
        <row r="770">
          <cell r="D770">
            <v>908003492</v>
          </cell>
          <cell r="E770" t="str">
            <v>ANNA BONNERUP</v>
          </cell>
          <cell r="F770" t="str">
            <v>D / 5 General (</v>
          </cell>
          <cell r="G770" t="str">
            <v>604-150146</v>
          </cell>
          <cell r="H770" t="str">
            <v>Blue Arrow</v>
          </cell>
          <cell r="I770">
            <v>0.625</v>
          </cell>
          <cell r="J770">
            <v>0.85416666666666663</v>
          </cell>
          <cell r="K770">
            <v>5.5</v>
          </cell>
          <cell r="L770">
            <v>92.84</v>
          </cell>
          <cell r="O770" t="str">
            <v>Y</v>
          </cell>
          <cell r="P770" t="str">
            <v>N</v>
          </cell>
          <cell r="Q770" t="str">
            <v>Vacancy</v>
          </cell>
          <cell r="S770">
            <v>0.15</v>
          </cell>
        </row>
        <row r="771">
          <cell r="D771">
            <v>908005021</v>
          </cell>
          <cell r="E771" t="str">
            <v>BONNIE TWALA</v>
          </cell>
          <cell r="F771" t="str">
            <v>D (MD)</v>
          </cell>
          <cell r="G771">
            <v>744943</v>
          </cell>
          <cell r="H771" t="str">
            <v>Mayday</v>
          </cell>
          <cell r="I771">
            <v>0.84375</v>
          </cell>
          <cell r="J771">
            <v>0.32291666666666669</v>
          </cell>
          <cell r="K771">
            <v>10.5</v>
          </cell>
          <cell r="L771">
            <v>440.76</v>
          </cell>
          <cell r="O771" t="str">
            <v>Y</v>
          </cell>
          <cell r="P771" t="str">
            <v>N</v>
          </cell>
          <cell r="Q771" t="str">
            <v>Backfill</v>
          </cell>
          <cell r="S771">
            <v>0.28000000000000003</v>
          </cell>
        </row>
        <row r="772">
          <cell r="D772">
            <v>808003870</v>
          </cell>
          <cell r="E772" t="str">
            <v>BRIGHTNESS NDEBELE</v>
          </cell>
          <cell r="F772" t="str">
            <v>D (MD)</v>
          </cell>
          <cell r="G772">
            <v>330969</v>
          </cell>
          <cell r="H772" t="str">
            <v>Mayday</v>
          </cell>
          <cell r="I772">
            <v>0.3125</v>
          </cell>
          <cell r="J772">
            <v>0.64583333333333337</v>
          </cell>
          <cell r="K772">
            <v>7.6666666666666696</v>
          </cell>
          <cell r="L772">
            <v>247.56</v>
          </cell>
          <cell r="O772" t="str">
            <v>Y</v>
          </cell>
          <cell r="P772" t="str">
            <v>N</v>
          </cell>
          <cell r="Q772" t="str">
            <v>Extra Capacity</v>
          </cell>
          <cell r="S772">
            <v>0.2</v>
          </cell>
        </row>
        <row r="773">
          <cell r="D773">
            <v>808003898</v>
          </cell>
          <cell r="E773" t="str">
            <v>BRIGHTNESS NDEBELE</v>
          </cell>
          <cell r="F773" t="str">
            <v>D (MD)</v>
          </cell>
          <cell r="G773">
            <v>330969</v>
          </cell>
          <cell r="H773" t="str">
            <v>Mayday</v>
          </cell>
          <cell r="I773">
            <v>0.64583333333333337</v>
          </cell>
          <cell r="J773">
            <v>0.85416666666666663</v>
          </cell>
          <cell r="K773">
            <v>5</v>
          </cell>
          <cell r="L773">
            <v>161.44999999999999</v>
          </cell>
          <cell r="O773" t="str">
            <v>Y</v>
          </cell>
          <cell r="P773" t="str">
            <v>N</v>
          </cell>
          <cell r="Q773" t="str">
            <v>Extra Capacity</v>
          </cell>
          <cell r="S773">
            <v>0.13</v>
          </cell>
        </row>
        <row r="774">
          <cell r="D774">
            <v>808003912</v>
          </cell>
          <cell r="E774" t="str">
            <v>CARL HIBBERT</v>
          </cell>
          <cell r="F774" t="str">
            <v>D (Ch)</v>
          </cell>
          <cell r="H774" t="str">
            <v>Choice</v>
          </cell>
          <cell r="I774">
            <v>0.83333333333333337</v>
          </cell>
          <cell r="J774">
            <v>0.33333333333333331</v>
          </cell>
          <cell r="K774">
            <v>11.3333333333333</v>
          </cell>
          <cell r="L774">
            <v>359.05</v>
          </cell>
          <cell r="O774" t="str">
            <v>Y</v>
          </cell>
          <cell r="P774" t="str">
            <v>N</v>
          </cell>
          <cell r="Q774" t="str">
            <v>Extra Capacity</v>
          </cell>
          <cell r="S774">
            <v>0.3</v>
          </cell>
        </row>
        <row r="775">
          <cell r="D775">
            <v>908004873</v>
          </cell>
          <cell r="E775" t="str">
            <v>GRACE CHIKWAVA</v>
          </cell>
          <cell r="F775" t="str">
            <v>D (Ch)</v>
          </cell>
          <cell r="G775">
            <v>16739</v>
          </cell>
          <cell r="H775" t="str">
            <v>Choice</v>
          </cell>
          <cell r="I775">
            <v>0.3125</v>
          </cell>
          <cell r="J775">
            <v>0.85416666666666663</v>
          </cell>
          <cell r="K775">
            <v>12.3333333333333</v>
          </cell>
          <cell r="L775">
            <v>300.56</v>
          </cell>
          <cell r="O775" t="str">
            <v>Y</v>
          </cell>
          <cell r="P775" t="str">
            <v>N</v>
          </cell>
          <cell r="Q775" t="str">
            <v>Extra Capacity</v>
          </cell>
          <cell r="S775">
            <v>0.33</v>
          </cell>
        </row>
        <row r="776">
          <cell r="D776">
            <v>808006033</v>
          </cell>
          <cell r="E776" t="str">
            <v>JANE DUNSMURE</v>
          </cell>
          <cell r="F776" t="str">
            <v>D/5 (PS)</v>
          </cell>
          <cell r="H776" t="str">
            <v>Pinnacle Staffing</v>
          </cell>
          <cell r="I776">
            <v>0.88541666666666663</v>
          </cell>
          <cell r="J776">
            <v>0.27083333333333331</v>
          </cell>
          <cell r="K776">
            <v>8.9166666666666696</v>
          </cell>
          <cell r="L776">
            <v>196.94</v>
          </cell>
          <cell r="O776" t="str">
            <v>Y</v>
          </cell>
          <cell r="P776" t="str">
            <v>N</v>
          </cell>
          <cell r="Q776" t="str">
            <v>Vacancy</v>
          </cell>
          <cell r="S776">
            <v>0.24</v>
          </cell>
        </row>
        <row r="777">
          <cell r="D777">
            <v>808003750</v>
          </cell>
          <cell r="E777" t="str">
            <v>JEAN NGONA</v>
          </cell>
          <cell r="F777" t="str">
            <v>D (MD)</v>
          </cell>
          <cell r="H777" t="str">
            <v>Mayday</v>
          </cell>
          <cell r="I777">
            <v>0.625</v>
          </cell>
          <cell r="J777">
            <v>0.85416666666666663</v>
          </cell>
          <cell r="K777">
            <v>5.5</v>
          </cell>
          <cell r="L777">
            <v>177.59</v>
          </cell>
          <cell r="O777" t="str">
            <v>Y</v>
          </cell>
          <cell r="P777" t="str">
            <v>N</v>
          </cell>
          <cell r="Q777" t="str">
            <v>Extra Capacity</v>
          </cell>
          <cell r="S777">
            <v>0.15</v>
          </cell>
        </row>
        <row r="778">
          <cell r="D778">
            <v>908004634</v>
          </cell>
          <cell r="E778" t="str">
            <v>JEAN NGONA</v>
          </cell>
          <cell r="F778" t="str">
            <v>D (MD)</v>
          </cell>
          <cell r="H778" t="str">
            <v>Mayday</v>
          </cell>
          <cell r="I778">
            <v>0.3125</v>
          </cell>
          <cell r="J778">
            <v>0.625</v>
          </cell>
          <cell r="K778">
            <v>7.1666666666666696</v>
          </cell>
          <cell r="L778">
            <v>231.41</v>
          </cell>
          <cell r="O778" t="str">
            <v>Y</v>
          </cell>
          <cell r="P778" t="str">
            <v>N</v>
          </cell>
          <cell r="Q778" t="str">
            <v>Vacancy</v>
          </cell>
          <cell r="S778">
            <v>0.19</v>
          </cell>
        </row>
        <row r="779">
          <cell r="D779">
            <v>808003778</v>
          </cell>
          <cell r="E779" t="str">
            <v>JESSICA BELLAMY</v>
          </cell>
          <cell r="F779" t="str">
            <v>D (MD)</v>
          </cell>
          <cell r="G779">
            <v>331692</v>
          </cell>
          <cell r="H779" t="str">
            <v>Mayday</v>
          </cell>
          <cell r="I779">
            <v>0.83333333333333337</v>
          </cell>
          <cell r="J779">
            <v>0.33333333333333331</v>
          </cell>
          <cell r="K779">
            <v>11.3333333333333</v>
          </cell>
          <cell r="L779">
            <v>475.74</v>
          </cell>
          <cell r="O779" t="str">
            <v>Y</v>
          </cell>
          <cell r="P779" t="str">
            <v>N</v>
          </cell>
          <cell r="Q779" t="str">
            <v>Extra Capacity</v>
          </cell>
          <cell r="S779">
            <v>0.3</v>
          </cell>
        </row>
        <row r="780">
          <cell r="D780">
            <v>808003771</v>
          </cell>
          <cell r="E780" t="str">
            <v>JOY MABITLE</v>
          </cell>
          <cell r="F780" t="str">
            <v>D (MD)</v>
          </cell>
          <cell r="G780">
            <v>341589</v>
          </cell>
          <cell r="H780" t="str">
            <v>Mayday</v>
          </cell>
          <cell r="I780">
            <v>0.83333333333333337</v>
          </cell>
          <cell r="J780">
            <v>0.33333333333333331</v>
          </cell>
          <cell r="K780">
            <v>11.3333333333333</v>
          </cell>
          <cell r="L780">
            <v>475.74</v>
          </cell>
          <cell r="O780" t="str">
            <v>Y</v>
          </cell>
          <cell r="P780" t="str">
            <v>N</v>
          </cell>
          <cell r="Q780" t="str">
            <v>Extra Capacity</v>
          </cell>
          <cell r="S780">
            <v>0.3</v>
          </cell>
        </row>
        <row r="781">
          <cell r="D781">
            <v>908004616</v>
          </cell>
          <cell r="E781" t="str">
            <v>KAREN VAUGHAN</v>
          </cell>
          <cell r="F781" t="str">
            <v>D General (Orio</v>
          </cell>
          <cell r="G781" t="str">
            <v>Invsd Smt checked</v>
          </cell>
          <cell r="H781" t="str">
            <v>Orion</v>
          </cell>
          <cell r="I781">
            <v>0.33333333333333331</v>
          </cell>
          <cell r="J781">
            <v>0.75</v>
          </cell>
          <cell r="K781">
            <v>9.5</v>
          </cell>
          <cell r="L781">
            <v>172.14</v>
          </cell>
          <cell r="O781" t="str">
            <v>Y</v>
          </cell>
          <cell r="P781" t="str">
            <v>N</v>
          </cell>
          <cell r="Q781" t="str">
            <v>Vacancy</v>
          </cell>
          <cell r="S781">
            <v>0.25</v>
          </cell>
        </row>
        <row r="782">
          <cell r="D782">
            <v>908004484</v>
          </cell>
          <cell r="E782" t="str">
            <v>MAVIS SIBANDA</v>
          </cell>
          <cell r="F782" t="str">
            <v>D (Ch)</v>
          </cell>
          <cell r="G782">
            <v>16809</v>
          </cell>
          <cell r="H782" t="str">
            <v>Choice</v>
          </cell>
          <cell r="I782">
            <v>0.29166666666666669</v>
          </cell>
          <cell r="J782">
            <v>0.625</v>
          </cell>
          <cell r="K782">
            <v>7.5</v>
          </cell>
          <cell r="L782">
            <v>182.78</v>
          </cell>
          <cell r="O782" t="str">
            <v>Y</v>
          </cell>
          <cell r="P782" t="str">
            <v>N</v>
          </cell>
          <cell r="Q782" t="str">
            <v>Extra Capacity</v>
          </cell>
          <cell r="S782">
            <v>0.2</v>
          </cell>
        </row>
        <row r="783">
          <cell r="D783">
            <v>808003919</v>
          </cell>
          <cell r="E783" t="str">
            <v>NATHI ZULU</v>
          </cell>
          <cell r="F783" t="str">
            <v>D (MD)</v>
          </cell>
          <cell r="G783">
            <v>330903</v>
          </cell>
          <cell r="H783" t="str">
            <v>Mayday</v>
          </cell>
          <cell r="I783">
            <v>0.83333333333333337</v>
          </cell>
          <cell r="J783">
            <v>0.33333333333333331</v>
          </cell>
          <cell r="K783">
            <v>11.3333333333333</v>
          </cell>
          <cell r="L783">
            <v>475.74</v>
          </cell>
          <cell r="O783" t="str">
            <v>Y</v>
          </cell>
          <cell r="P783" t="str">
            <v>N</v>
          </cell>
          <cell r="Q783" t="str">
            <v>Extra Capacity</v>
          </cell>
          <cell r="S783">
            <v>0.3</v>
          </cell>
        </row>
        <row r="784">
          <cell r="D784">
            <v>808005639</v>
          </cell>
          <cell r="E784" t="str">
            <v>NILO DANUGO</v>
          </cell>
          <cell r="F784" t="str">
            <v>D (Ch)</v>
          </cell>
          <cell r="G784">
            <v>16732</v>
          </cell>
          <cell r="H784" t="str">
            <v>Choice</v>
          </cell>
          <cell r="I784">
            <v>0.84375</v>
          </cell>
          <cell r="J784">
            <v>0.3125</v>
          </cell>
          <cell r="K784">
            <v>10.25</v>
          </cell>
          <cell r="L784">
            <v>324.73</v>
          </cell>
          <cell r="O784" t="str">
            <v>Y</v>
          </cell>
          <cell r="P784" t="str">
            <v>N</v>
          </cell>
          <cell r="Q784" t="str">
            <v>Vacancy</v>
          </cell>
          <cell r="S784">
            <v>0.27</v>
          </cell>
        </row>
        <row r="785">
          <cell r="D785">
            <v>908005226</v>
          </cell>
          <cell r="E785" t="str">
            <v>NURENI AKAPO</v>
          </cell>
          <cell r="F785" t="str">
            <v>D (Amb)</v>
          </cell>
          <cell r="G785">
            <v>744929</v>
          </cell>
          <cell r="H785" t="str">
            <v>Ambition</v>
          </cell>
          <cell r="I785">
            <v>0.83333333333333337</v>
          </cell>
          <cell r="J785">
            <v>0.32291666666666669</v>
          </cell>
          <cell r="K785">
            <v>10.75</v>
          </cell>
          <cell r="L785">
            <v>546.41999999999996</v>
          </cell>
          <cell r="O785" t="str">
            <v>Y</v>
          </cell>
          <cell r="P785" t="str">
            <v>N</v>
          </cell>
          <cell r="Q785" t="str">
            <v>Short Term Sick</v>
          </cell>
          <cell r="S785">
            <v>0.28999999999999998</v>
          </cell>
        </row>
        <row r="786">
          <cell r="D786">
            <v>908005252</v>
          </cell>
          <cell r="E786" t="str">
            <v>OLGA NYAMAYARO</v>
          </cell>
          <cell r="F786" t="str">
            <v>D (MD)</v>
          </cell>
          <cell r="G786">
            <v>331681</v>
          </cell>
          <cell r="H786" t="str">
            <v>Mayday</v>
          </cell>
          <cell r="I786">
            <v>0.8125</v>
          </cell>
          <cell r="J786">
            <v>0.33333333333333331</v>
          </cell>
          <cell r="K786">
            <v>11.8333333333333</v>
          </cell>
          <cell r="L786">
            <v>496.73</v>
          </cell>
          <cell r="O786" t="str">
            <v>Y</v>
          </cell>
          <cell r="P786" t="str">
            <v>N</v>
          </cell>
          <cell r="Q786" t="str">
            <v>Extra Capacity</v>
          </cell>
          <cell r="S786">
            <v>0.32</v>
          </cell>
        </row>
        <row r="787">
          <cell r="D787">
            <v>908004353</v>
          </cell>
          <cell r="E787" t="str">
            <v>PARMANUND PERYAGH</v>
          </cell>
          <cell r="F787" t="str">
            <v>D (Amb)</v>
          </cell>
          <cell r="G787">
            <v>744937</v>
          </cell>
          <cell r="H787" t="str">
            <v>Ambition</v>
          </cell>
          <cell r="I787">
            <v>0.3125</v>
          </cell>
          <cell r="J787">
            <v>0.89583333333333337</v>
          </cell>
          <cell r="K787">
            <v>13.3333333333333</v>
          </cell>
          <cell r="L787">
            <v>521.33000000000004</v>
          </cell>
          <cell r="O787" t="str">
            <v>Y</v>
          </cell>
          <cell r="P787" t="str">
            <v>N</v>
          </cell>
          <cell r="Q787" t="str">
            <v>Under Established</v>
          </cell>
          <cell r="S787">
            <v>0.36</v>
          </cell>
        </row>
        <row r="788">
          <cell r="D788">
            <v>908006387</v>
          </cell>
          <cell r="E788" t="str">
            <v>RACHEL OBERDOFF</v>
          </cell>
          <cell r="F788" t="str">
            <v>D (MD)</v>
          </cell>
          <cell r="G788">
            <v>331351</v>
          </cell>
          <cell r="H788" t="str">
            <v>Mayday</v>
          </cell>
          <cell r="I788">
            <v>0.60416666666666663</v>
          </cell>
          <cell r="J788">
            <v>0.85416666666666663</v>
          </cell>
          <cell r="K788">
            <v>6</v>
          </cell>
          <cell r="L788">
            <v>193.74</v>
          </cell>
          <cell r="O788" t="str">
            <v>Y</v>
          </cell>
          <cell r="P788" t="str">
            <v>N</v>
          </cell>
          <cell r="Q788" t="str">
            <v>Acuity</v>
          </cell>
          <cell r="S788">
            <v>0.16</v>
          </cell>
        </row>
        <row r="789">
          <cell r="D789">
            <v>908000910</v>
          </cell>
          <cell r="E789" t="str">
            <v>RICCA PARADA</v>
          </cell>
          <cell r="F789" t="str">
            <v>D (Ch)</v>
          </cell>
          <cell r="G789">
            <v>16754</v>
          </cell>
          <cell r="H789" t="str">
            <v>Choice</v>
          </cell>
          <cell r="I789">
            <v>0.3125</v>
          </cell>
          <cell r="J789">
            <v>0.54166666666666663</v>
          </cell>
          <cell r="K789">
            <v>5.5</v>
          </cell>
          <cell r="L789">
            <v>134.03</v>
          </cell>
          <cell r="O789" t="str">
            <v>Y</v>
          </cell>
          <cell r="P789" t="str">
            <v>N</v>
          </cell>
          <cell r="Q789" t="str">
            <v>Vacancy</v>
          </cell>
          <cell r="S789">
            <v>0.15</v>
          </cell>
        </row>
        <row r="790">
          <cell r="D790">
            <v>908003493</v>
          </cell>
          <cell r="E790" t="str">
            <v>RICCA PARADA</v>
          </cell>
          <cell r="F790" t="str">
            <v>D (Ch)</v>
          </cell>
          <cell r="G790">
            <v>16754</v>
          </cell>
          <cell r="H790" t="str">
            <v>Choice</v>
          </cell>
          <cell r="I790">
            <v>0.625</v>
          </cell>
          <cell r="J790">
            <v>0.85416666666666663</v>
          </cell>
          <cell r="K790">
            <v>5.5</v>
          </cell>
          <cell r="L790">
            <v>134.03</v>
          </cell>
          <cell r="O790" t="str">
            <v>Y</v>
          </cell>
          <cell r="P790" t="str">
            <v>N</v>
          </cell>
          <cell r="Q790" t="str">
            <v>Vacancy</v>
          </cell>
          <cell r="S790">
            <v>0.15</v>
          </cell>
        </row>
        <row r="791">
          <cell r="D791">
            <v>908005092</v>
          </cell>
          <cell r="E791" t="str">
            <v>ROJIMON VARUGHE</v>
          </cell>
          <cell r="F791" t="str">
            <v>D (Amb)</v>
          </cell>
          <cell r="G791">
            <v>744933</v>
          </cell>
          <cell r="H791" t="str">
            <v>Ambition</v>
          </cell>
          <cell r="I791">
            <v>0.83333333333333337</v>
          </cell>
          <cell r="J791">
            <v>0.33333333333333331</v>
          </cell>
          <cell r="K791">
            <v>11.3333333333333</v>
          </cell>
          <cell r="L791">
            <v>576.07000000000005</v>
          </cell>
          <cell r="O791" t="str">
            <v>Y</v>
          </cell>
          <cell r="P791" t="str">
            <v>N</v>
          </cell>
          <cell r="Q791" t="str">
            <v>Extra Capacity</v>
          </cell>
          <cell r="S791">
            <v>0.3</v>
          </cell>
        </row>
        <row r="792">
          <cell r="D792">
            <v>908004485</v>
          </cell>
          <cell r="E792" t="str">
            <v>SUSAN MCENTIRE</v>
          </cell>
          <cell r="F792" t="str">
            <v>D (Amb)</v>
          </cell>
          <cell r="H792" t="str">
            <v>Ambition</v>
          </cell>
          <cell r="I792">
            <v>0.5625</v>
          </cell>
          <cell r="J792">
            <v>0.89583333333333337</v>
          </cell>
          <cell r="K792">
            <v>7.5</v>
          </cell>
          <cell r="L792">
            <v>293.25</v>
          </cell>
          <cell r="O792" t="str">
            <v>Y</v>
          </cell>
          <cell r="P792" t="str">
            <v>N</v>
          </cell>
          <cell r="Q792" t="str">
            <v>Extra Capacity</v>
          </cell>
          <cell r="S792">
            <v>0.2</v>
          </cell>
        </row>
        <row r="793">
          <cell r="D793">
            <v>908002884</v>
          </cell>
          <cell r="E793" t="str">
            <v>TAMBU JENA</v>
          </cell>
          <cell r="F793" t="str">
            <v>D (Ch)</v>
          </cell>
          <cell r="G793">
            <v>16732</v>
          </cell>
          <cell r="H793" t="str">
            <v>Choice</v>
          </cell>
          <cell r="I793">
            <v>0.5625</v>
          </cell>
          <cell r="J793">
            <v>0.89583333333333337</v>
          </cell>
          <cell r="K793">
            <v>7.6666666666666696</v>
          </cell>
          <cell r="L793">
            <v>186.84</v>
          </cell>
          <cell r="O793" t="str">
            <v>Y</v>
          </cell>
          <cell r="P793" t="str">
            <v>N</v>
          </cell>
          <cell r="Q793" t="str">
            <v>Vacancy</v>
          </cell>
          <cell r="S793">
            <v>0.2</v>
          </cell>
        </row>
        <row r="794">
          <cell r="D794">
            <v>908004107</v>
          </cell>
          <cell r="E794" t="str">
            <v>TAMBU JENA</v>
          </cell>
          <cell r="F794" t="str">
            <v>D (Ch)</v>
          </cell>
          <cell r="G794">
            <v>16732</v>
          </cell>
          <cell r="H794" t="str">
            <v>Choice</v>
          </cell>
          <cell r="I794">
            <v>0.30208333333333331</v>
          </cell>
          <cell r="J794">
            <v>0.5625</v>
          </cell>
          <cell r="K794">
            <v>6.25</v>
          </cell>
          <cell r="L794">
            <v>152.31</v>
          </cell>
          <cell r="O794" t="str">
            <v>Y</v>
          </cell>
          <cell r="P794" t="str">
            <v>N</v>
          </cell>
          <cell r="Q794" t="str">
            <v>Short Term Sick</v>
          </cell>
          <cell r="S794">
            <v>0.17</v>
          </cell>
        </row>
        <row r="795">
          <cell r="D795">
            <v>808003863</v>
          </cell>
          <cell r="E795" t="str">
            <v>TARA MASSIE</v>
          </cell>
          <cell r="F795" t="str">
            <v>D (MD)</v>
          </cell>
          <cell r="G795">
            <v>331690</v>
          </cell>
          <cell r="H795" t="str">
            <v>Mayday</v>
          </cell>
          <cell r="I795">
            <v>0.3125</v>
          </cell>
          <cell r="J795">
            <v>0.64583333333333337</v>
          </cell>
          <cell r="K795">
            <v>7.6666666666666696</v>
          </cell>
          <cell r="L795">
            <v>247.56</v>
          </cell>
          <cell r="O795" t="str">
            <v>Y</v>
          </cell>
          <cell r="P795" t="str">
            <v>N</v>
          </cell>
          <cell r="Q795" t="str">
            <v>Extra Capacity</v>
          </cell>
          <cell r="S795">
            <v>0.2</v>
          </cell>
        </row>
        <row r="796">
          <cell r="D796">
            <v>808003891</v>
          </cell>
          <cell r="E796" t="str">
            <v>TARA MASSIE</v>
          </cell>
          <cell r="F796" t="str">
            <v>D (MD)</v>
          </cell>
          <cell r="G796">
            <v>331690</v>
          </cell>
          <cell r="H796" t="str">
            <v>Mayday</v>
          </cell>
          <cell r="I796">
            <v>0.64583333333333337</v>
          </cell>
          <cell r="J796">
            <v>0.85416666666666663</v>
          </cell>
          <cell r="K796">
            <v>5</v>
          </cell>
          <cell r="L796">
            <v>161.44999999999999</v>
          </cell>
          <cell r="O796" t="str">
            <v>Y</v>
          </cell>
          <cell r="P796" t="str">
            <v>N</v>
          </cell>
          <cell r="Q796" t="str">
            <v>Extra Capacity</v>
          </cell>
          <cell r="S796">
            <v>0.13</v>
          </cell>
        </row>
        <row r="797">
          <cell r="D797">
            <v>908005254</v>
          </cell>
          <cell r="E797" t="str">
            <v>TARRIO MASWANISE</v>
          </cell>
          <cell r="F797" t="str">
            <v>D (Amb)</v>
          </cell>
          <cell r="G797">
            <v>744946</v>
          </cell>
          <cell r="H797" t="str">
            <v>Ambition</v>
          </cell>
          <cell r="I797">
            <v>0.8125</v>
          </cell>
          <cell r="J797">
            <v>0.33333333333333331</v>
          </cell>
          <cell r="K797">
            <v>11.8333333333333</v>
          </cell>
          <cell r="L797">
            <v>601.49</v>
          </cell>
          <cell r="O797" t="str">
            <v>Y</v>
          </cell>
          <cell r="P797" t="str">
            <v>N</v>
          </cell>
          <cell r="Q797" t="str">
            <v>Extra Capacity</v>
          </cell>
          <cell r="S797">
            <v>0.32</v>
          </cell>
        </row>
        <row r="798">
          <cell r="D798">
            <v>908005161</v>
          </cell>
          <cell r="E798" t="str">
            <v>THEMBE NHOSE</v>
          </cell>
          <cell r="F798" t="str">
            <v>D (MD)</v>
          </cell>
          <cell r="G798">
            <v>330917</v>
          </cell>
          <cell r="H798" t="str">
            <v>Mayday</v>
          </cell>
          <cell r="I798">
            <v>0.875</v>
          </cell>
          <cell r="J798">
            <v>0.30208333333333331</v>
          </cell>
          <cell r="K798">
            <v>9.9166666666666696</v>
          </cell>
          <cell r="L798">
            <v>416.27</v>
          </cell>
          <cell r="O798" t="str">
            <v>Y</v>
          </cell>
          <cell r="P798" t="str">
            <v>N</v>
          </cell>
          <cell r="Q798" t="str">
            <v>Vacancy</v>
          </cell>
          <cell r="S798">
            <v>0.26</v>
          </cell>
        </row>
        <row r="799">
          <cell r="D799">
            <v>908004615</v>
          </cell>
          <cell r="E799" t="str">
            <v>TOM OSBOURNE</v>
          </cell>
          <cell r="F799" t="str">
            <v>D General (Orio</v>
          </cell>
          <cell r="G799" t="str">
            <v>Invsd Smt checked</v>
          </cell>
          <cell r="H799" t="str">
            <v>Orion</v>
          </cell>
          <cell r="I799">
            <v>0.33333333333333331</v>
          </cell>
          <cell r="J799">
            <v>0.75</v>
          </cell>
          <cell r="K799">
            <v>9.5</v>
          </cell>
          <cell r="L799">
            <v>172.14</v>
          </cell>
          <cell r="O799" t="str">
            <v>Y</v>
          </cell>
          <cell r="P799" t="str">
            <v>N</v>
          </cell>
          <cell r="Q799" t="str">
            <v>Vacancy</v>
          </cell>
          <cell r="S799">
            <v>0.25</v>
          </cell>
        </row>
        <row r="800">
          <cell r="D800">
            <v>908002341</v>
          </cell>
          <cell r="E800" t="str">
            <v>TRUDY BRENNAN</v>
          </cell>
          <cell r="F800" t="str">
            <v>D (Amb)</v>
          </cell>
          <cell r="G800">
            <v>744930</v>
          </cell>
          <cell r="H800" t="str">
            <v>Ambition</v>
          </cell>
          <cell r="I800">
            <v>0.83333333333333337</v>
          </cell>
          <cell r="J800">
            <v>0.32291666666666669</v>
          </cell>
          <cell r="K800">
            <v>10.75</v>
          </cell>
          <cell r="L800">
            <v>546.41999999999996</v>
          </cell>
          <cell r="O800" t="str">
            <v>Y</v>
          </cell>
          <cell r="P800" t="str">
            <v>N</v>
          </cell>
          <cell r="Q800" t="str">
            <v>Vacancy</v>
          </cell>
          <cell r="S800">
            <v>0.28999999999999998</v>
          </cell>
        </row>
        <row r="801">
          <cell r="D801">
            <v>908005450</v>
          </cell>
          <cell r="E801" t="str">
            <v>TRUST CHIWUNDURA</v>
          </cell>
          <cell r="F801" t="str">
            <v>A (Ch)</v>
          </cell>
          <cell r="G801">
            <v>16737</v>
          </cell>
          <cell r="H801" t="str">
            <v>Choice</v>
          </cell>
          <cell r="I801">
            <v>0.84375</v>
          </cell>
          <cell r="J801">
            <v>0.3125</v>
          </cell>
          <cell r="K801">
            <v>10.25</v>
          </cell>
          <cell r="L801">
            <v>151.56</v>
          </cell>
          <cell r="O801" t="str">
            <v>Y</v>
          </cell>
          <cell r="P801" t="str">
            <v>N</v>
          </cell>
          <cell r="Q801" t="str">
            <v>On-Call</v>
          </cell>
          <cell r="S801">
            <v>0.27</v>
          </cell>
        </row>
        <row r="802">
          <cell r="D802">
            <v>908002521</v>
          </cell>
          <cell r="E802" t="str">
            <v>ANNA BONNERUP</v>
          </cell>
          <cell r="F802" t="str">
            <v>D / 5 General (</v>
          </cell>
          <cell r="G802" t="str">
            <v>604-150146</v>
          </cell>
          <cell r="H802" t="str">
            <v>Blue Arrow</v>
          </cell>
          <cell r="I802">
            <v>0.3125</v>
          </cell>
          <cell r="J802">
            <v>0.54166666666666663</v>
          </cell>
          <cell r="K802">
            <v>5.5</v>
          </cell>
          <cell r="L802">
            <v>92.84</v>
          </cell>
          <cell r="O802" t="str">
            <v>Y</v>
          </cell>
          <cell r="P802" t="str">
            <v>N</v>
          </cell>
          <cell r="Q802" t="str">
            <v>Vacancy</v>
          </cell>
          <cell r="S802">
            <v>0.15</v>
          </cell>
        </row>
        <row r="803">
          <cell r="D803">
            <v>908003512</v>
          </cell>
          <cell r="E803" t="str">
            <v>CARL HIBBERT</v>
          </cell>
          <cell r="F803" t="str">
            <v>D (Ch)</v>
          </cell>
          <cell r="G803">
            <v>16754</v>
          </cell>
          <cell r="H803" t="str">
            <v>Choice</v>
          </cell>
          <cell r="I803">
            <v>0.83333333333333337</v>
          </cell>
          <cell r="J803">
            <v>0.33333333333333331</v>
          </cell>
          <cell r="K803">
            <v>11.3333333333333</v>
          </cell>
          <cell r="L803">
            <v>359.05</v>
          </cell>
          <cell r="O803" t="str">
            <v>Y</v>
          </cell>
          <cell r="P803" t="str">
            <v>N</v>
          </cell>
          <cell r="Q803" t="str">
            <v>Vacancy</v>
          </cell>
          <cell r="S803">
            <v>0.3</v>
          </cell>
        </row>
        <row r="804">
          <cell r="D804">
            <v>808005051</v>
          </cell>
          <cell r="E804" t="str">
            <v>CHRIS STULAR</v>
          </cell>
          <cell r="F804" t="str">
            <v>D General (Orio</v>
          </cell>
          <cell r="G804" t="str">
            <v>Invsd Smt checked</v>
          </cell>
          <cell r="H804" t="str">
            <v>Orion</v>
          </cell>
          <cell r="I804">
            <v>0.33333333333333331</v>
          </cell>
          <cell r="J804">
            <v>0.75</v>
          </cell>
          <cell r="K804">
            <v>9.5</v>
          </cell>
          <cell r="L804">
            <v>172.14</v>
          </cell>
          <cell r="O804" t="str">
            <v>Y</v>
          </cell>
          <cell r="P804" t="str">
            <v>N</v>
          </cell>
          <cell r="Q804" t="str">
            <v>Vacancy</v>
          </cell>
          <cell r="S804">
            <v>0.25</v>
          </cell>
        </row>
        <row r="805">
          <cell r="D805">
            <v>908005100</v>
          </cell>
          <cell r="E805" t="str">
            <v>DIAGRET MGANDELE</v>
          </cell>
          <cell r="F805" t="str">
            <v>D (MD)</v>
          </cell>
          <cell r="G805">
            <v>330617</v>
          </cell>
          <cell r="H805" t="str">
            <v>Mayday</v>
          </cell>
          <cell r="I805">
            <v>0.3125</v>
          </cell>
          <cell r="J805">
            <v>0.85416666666666663</v>
          </cell>
          <cell r="K805">
            <v>12.3333333333333</v>
          </cell>
          <cell r="L805">
            <v>398.24</v>
          </cell>
          <cell r="O805" t="str">
            <v>Y</v>
          </cell>
          <cell r="P805" t="str">
            <v>N</v>
          </cell>
          <cell r="Q805" t="str">
            <v>Extra Capacity</v>
          </cell>
          <cell r="S805">
            <v>0.33</v>
          </cell>
        </row>
        <row r="806">
          <cell r="D806">
            <v>808003899</v>
          </cell>
          <cell r="E806" t="str">
            <v>DIGRACIA  NAPE</v>
          </cell>
          <cell r="F806" t="str">
            <v>D (MD)</v>
          </cell>
          <cell r="G806">
            <v>330911</v>
          </cell>
          <cell r="H806" t="str">
            <v>Mayday</v>
          </cell>
          <cell r="I806">
            <v>0.52083333333333337</v>
          </cell>
          <cell r="J806">
            <v>0.85416666666666663</v>
          </cell>
          <cell r="K806">
            <v>7.6666666666666696</v>
          </cell>
          <cell r="L806">
            <v>247.56</v>
          </cell>
          <cell r="O806" t="str">
            <v>Y</v>
          </cell>
          <cell r="P806" t="str">
            <v>N</v>
          </cell>
          <cell r="Q806" t="str">
            <v>Extra Capacity</v>
          </cell>
          <cell r="S806">
            <v>0.2</v>
          </cell>
        </row>
        <row r="807">
          <cell r="D807">
            <v>908005035</v>
          </cell>
          <cell r="E807" t="str">
            <v>DORICA MUNJERI</v>
          </cell>
          <cell r="F807" t="str">
            <v>A (Ch)</v>
          </cell>
          <cell r="G807">
            <v>16738</v>
          </cell>
          <cell r="H807" t="str">
            <v>Choice</v>
          </cell>
          <cell r="I807">
            <v>0.58333333333333337</v>
          </cell>
          <cell r="J807">
            <v>0.83333333333333337</v>
          </cell>
          <cell r="K807">
            <v>5.6666666666666696</v>
          </cell>
          <cell r="L807">
            <v>62.84</v>
          </cell>
          <cell r="O807" t="str">
            <v>Y</v>
          </cell>
          <cell r="P807" t="str">
            <v>N</v>
          </cell>
          <cell r="Q807" t="str">
            <v>Specials</v>
          </cell>
          <cell r="S807">
            <v>0.15</v>
          </cell>
        </row>
        <row r="808">
          <cell r="D808">
            <v>908005037</v>
          </cell>
          <cell r="E808" t="str">
            <v>DORICA MUNJERI</v>
          </cell>
          <cell r="F808" t="str">
            <v>A (Ch)</v>
          </cell>
          <cell r="G808">
            <v>16738</v>
          </cell>
          <cell r="H808" t="str">
            <v>Choice</v>
          </cell>
          <cell r="I808">
            <v>0.33333333333333331</v>
          </cell>
          <cell r="J808">
            <v>0.58333333333333337</v>
          </cell>
          <cell r="K808">
            <v>5.6666666666666696</v>
          </cell>
          <cell r="L808">
            <v>62.84</v>
          </cell>
          <cell r="O808" t="str">
            <v>Y</v>
          </cell>
          <cell r="P808" t="str">
            <v>N</v>
          </cell>
          <cell r="Q808" t="str">
            <v>Specials</v>
          </cell>
          <cell r="S808">
            <v>0.15</v>
          </cell>
        </row>
        <row r="809">
          <cell r="D809">
            <v>808003871</v>
          </cell>
          <cell r="E809" t="str">
            <v>ELENITA ARENAS</v>
          </cell>
          <cell r="F809" t="str">
            <v>D (MD)</v>
          </cell>
          <cell r="H809" t="str">
            <v>Mayday</v>
          </cell>
          <cell r="I809">
            <v>0.3125</v>
          </cell>
          <cell r="J809">
            <v>0.64583333333333337</v>
          </cell>
          <cell r="K809">
            <v>7.6666666666666696</v>
          </cell>
          <cell r="L809">
            <v>247.56</v>
          </cell>
          <cell r="O809" t="str">
            <v>Y</v>
          </cell>
          <cell r="P809" t="str">
            <v>N</v>
          </cell>
          <cell r="Q809" t="str">
            <v>Extra Capacity</v>
          </cell>
          <cell r="S809">
            <v>0.2</v>
          </cell>
        </row>
        <row r="810">
          <cell r="D810">
            <v>908005445</v>
          </cell>
          <cell r="E810" t="str">
            <v>ELLEN FLETCHER</v>
          </cell>
          <cell r="F810" t="str">
            <v>D (Amb)</v>
          </cell>
          <cell r="G810">
            <v>744945</v>
          </cell>
          <cell r="H810" t="str">
            <v>Ambition</v>
          </cell>
          <cell r="I810">
            <v>0.625</v>
          </cell>
          <cell r="J810">
            <v>0.85416666666666663</v>
          </cell>
          <cell r="K810">
            <v>5.5</v>
          </cell>
          <cell r="L810">
            <v>215.05</v>
          </cell>
          <cell r="O810" t="str">
            <v>Y</v>
          </cell>
          <cell r="P810" t="str">
            <v>N</v>
          </cell>
          <cell r="Q810" t="str">
            <v>Short Term Sick</v>
          </cell>
          <cell r="S810">
            <v>0.15</v>
          </cell>
        </row>
        <row r="811">
          <cell r="D811">
            <v>908005095</v>
          </cell>
          <cell r="E811" t="str">
            <v>FATIMA UMARU</v>
          </cell>
          <cell r="F811" t="str">
            <v>D (MD)</v>
          </cell>
          <cell r="G811">
            <v>331075</v>
          </cell>
          <cell r="H811" t="str">
            <v>Mayday</v>
          </cell>
          <cell r="I811">
            <v>0.83333333333333337</v>
          </cell>
          <cell r="J811">
            <v>0.33333333333333331</v>
          </cell>
          <cell r="K811">
            <v>11.3333333333333</v>
          </cell>
          <cell r="L811">
            <v>475.74</v>
          </cell>
          <cell r="O811" t="str">
            <v>Y</v>
          </cell>
          <cell r="P811" t="str">
            <v>N</v>
          </cell>
          <cell r="Q811" t="str">
            <v>Extra Capacity</v>
          </cell>
          <cell r="S811">
            <v>0.3</v>
          </cell>
        </row>
        <row r="812">
          <cell r="D812">
            <v>908004487</v>
          </cell>
          <cell r="E812" t="str">
            <v>GRACE CHIKWAVA</v>
          </cell>
          <cell r="F812" t="str">
            <v>D (Ch)</v>
          </cell>
          <cell r="H812" t="str">
            <v>Choice</v>
          </cell>
          <cell r="I812">
            <v>0.29166666666666669</v>
          </cell>
          <cell r="J812">
            <v>0.875</v>
          </cell>
          <cell r="K812">
            <v>13.3333333333333</v>
          </cell>
          <cell r="L812">
            <v>324.93</v>
          </cell>
          <cell r="O812" t="str">
            <v>Y</v>
          </cell>
          <cell r="P812" t="str">
            <v>N</v>
          </cell>
          <cell r="Q812" t="str">
            <v>Extra Capacity</v>
          </cell>
          <cell r="S812">
            <v>0.36</v>
          </cell>
        </row>
        <row r="813">
          <cell r="D813">
            <v>908003281</v>
          </cell>
          <cell r="E813" t="str">
            <v>HILDA SHANGE</v>
          </cell>
          <cell r="F813" t="str">
            <v>D (Ch)</v>
          </cell>
          <cell r="G813">
            <v>16804</v>
          </cell>
          <cell r="H813" t="str">
            <v>Choice</v>
          </cell>
          <cell r="I813">
            <v>0.83333333333333337</v>
          </cell>
          <cell r="J813">
            <v>0.33333333333333331</v>
          </cell>
          <cell r="K813">
            <v>11.3333333333333</v>
          </cell>
          <cell r="L813">
            <v>359.05</v>
          </cell>
          <cell r="O813" t="str">
            <v>Y</v>
          </cell>
          <cell r="P813" t="str">
            <v>N</v>
          </cell>
          <cell r="Q813" t="str">
            <v>Under Established</v>
          </cell>
          <cell r="S813">
            <v>0.3</v>
          </cell>
        </row>
        <row r="814">
          <cell r="D814">
            <v>808003779</v>
          </cell>
          <cell r="E814" t="str">
            <v>JESSICA BELLAMY</v>
          </cell>
          <cell r="F814" t="str">
            <v>D (MD)</v>
          </cell>
          <cell r="G814">
            <v>331693</v>
          </cell>
          <cell r="H814" t="str">
            <v>Mayday</v>
          </cell>
          <cell r="I814">
            <v>0.83333333333333337</v>
          </cell>
          <cell r="J814">
            <v>0.33333333333333331</v>
          </cell>
          <cell r="K814">
            <v>11.3333333333333</v>
          </cell>
          <cell r="L814">
            <v>475.74</v>
          </cell>
          <cell r="O814" t="str">
            <v>Y</v>
          </cell>
          <cell r="P814" t="str">
            <v>N</v>
          </cell>
          <cell r="Q814" t="str">
            <v>Extra Capacity</v>
          </cell>
          <cell r="S814">
            <v>0.3</v>
          </cell>
        </row>
        <row r="815">
          <cell r="D815">
            <v>808003772</v>
          </cell>
          <cell r="E815" t="str">
            <v>JOY MABITLE</v>
          </cell>
          <cell r="F815" t="str">
            <v>D (MD)</v>
          </cell>
          <cell r="G815">
            <v>343849</v>
          </cell>
          <cell r="H815" t="str">
            <v>Mayday</v>
          </cell>
          <cell r="I815">
            <v>0.83333333333333337</v>
          </cell>
          <cell r="J815">
            <v>0.33333333333333331</v>
          </cell>
          <cell r="K815">
            <v>11.3333333333333</v>
          </cell>
          <cell r="L815">
            <v>475.74</v>
          </cell>
          <cell r="O815" t="str">
            <v>Y</v>
          </cell>
          <cell r="P815" t="str">
            <v>N</v>
          </cell>
          <cell r="Q815" t="str">
            <v>Extra Capacity</v>
          </cell>
          <cell r="S815">
            <v>0.3</v>
          </cell>
        </row>
        <row r="816">
          <cell r="D816">
            <v>908004618</v>
          </cell>
          <cell r="E816" t="str">
            <v>KAREN VAUGHAN</v>
          </cell>
          <cell r="F816" t="str">
            <v>D General (Orio</v>
          </cell>
          <cell r="G816" t="str">
            <v>Invsd Smt checked</v>
          </cell>
          <cell r="H816" t="str">
            <v>Orion</v>
          </cell>
          <cell r="I816">
            <v>0.33333333333333331</v>
          </cell>
          <cell r="J816">
            <v>0.54166666666666663</v>
          </cell>
          <cell r="K816">
            <v>5</v>
          </cell>
          <cell r="L816">
            <v>90.6</v>
          </cell>
          <cell r="O816" t="str">
            <v>Y</v>
          </cell>
          <cell r="P816" t="str">
            <v>N</v>
          </cell>
          <cell r="Q816" t="str">
            <v>Vacancy</v>
          </cell>
          <cell r="S816">
            <v>0.13</v>
          </cell>
        </row>
        <row r="817">
          <cell r="D817">
            <v>808006013</v>
          </cell>
          <cell r="E817" t="str">
            <v>KATHY CHIDAVA</v>
          </cell>
          <cell r="F817" t="str">
            <v>D (Ch)</v>
          </cell>
          <cell r="G817">
            <v>16791</v>
          </cell>
          <cell r="H817" t="str">
            <v>Choice</v>
          </cell>
          <cell r="I817">
            <v>0.88541666666666663</v>
          </cell>
          <cell r="J817">
            <v>0.30208333333333331</v>
          </cell>
          <cell r="K817">
            <v>9</v>
          </cell>
          <cell r="L817">
            <v>285.13</v>
          </cell>
          <cell r="O817" t="str">
            <v>Y</v>
          </cell>
          <cell r="P817" t="str">
            <v>N</v>
          </cell>
          <cell r="Q817" t="str">
            <v>Vacancy</v>
          </cell>
          <cell r="S817">
            <v>0.24</v>
          </cell>
        </row>
        <row r="818">
          <cell r="D818">
            <v>908005702</v>
          </cell>
          <cell r="E818" t="str">
            <v>KATIE KEAVENEY</v>
          </cell>
          <cell r="F818" t="str">
            <v>D (MD)</v>
          </cell>
          <cell r="G818">
            <v>330888</v>
          </cell>
          <cell r="H818" t="str">
            <v>Mayday</v>
          </cell>
          <cell r="I818">
            <v>0.3125</v>
          </cell>
          <cell r="J818">
            <v>0.85416666666666663</v>
          </cell>
          <cell r="K818">
            <v>12.3333333333333</v>
          </cell>
          <cell r="L818">
            <v>398.24</v>
          </cell>
          <cell r="O818" t="str">
            <v>Y</v>
          </cell>
          <cell r="P818" t="str">
            <v>N</v>
          </cell>
          <cell r="Q818" t="str">
            <v>Nurse Moved</v>
          </cell>
          <cell r="S818">
            <v>0.33</v>
          </cell>
        </row>
        <row r="819">
          <cell r="D819">
            <v>808003864</v>
          </cell>
          <cell r="E819" t="str">
            <v>MELISSA SMITH</v>
          </cell>
          <cell r="F819" t="str">
            <v>D/5 (PS)</v>
          </cell>
          <cell r="H819" t="str">
            <v>Pinnacle Staffing</v>
          </cell>
          <cell r="I819">
            <v>0.3125</v>
          </cell>
          <cell r="J819">
            <v>0.64583333333333337</v>
          </cell>
          <cell r="K819">
            <v>7.6666666666666696</v>
          </cell>
          <cell r="L819">
            <v>130.26</v>
          </cell>
          <cell r="O819" t="str">
            <v>Y</v>
          </cell>
          <cell r="P819" t="str">
            <v>N</v>
          </cell>
          <cell r="Q819" t="str">
            <v>Extra Capacity</v>
          </cell>
          <cell r="S819">
            <v>0.2</v>
          </cell>
        </row>
        <row r="820">
          <cell r="D820">
            <v>908004489</v>
          </cell>
          <cell r="E820" t="str">
            <v>NATHI ZULU</v>
          </cell>
          <cell r="F820" t="str">
            <v>D (MD)</v>
          </cell>
          <cell r="G820">
            <v>330902</v>
          </cell>
          <cell r="H820" t="str">
            <v>Mayday</v>
          </cell>
          <cell r="I820">
            <v>0.875</v>
          </cell>
          <cell r="J820">
            <v>0.3125</v>
          </cell>
          <cell r="K820">
            <v>10.1666666666667</v>
          </cell>
          <cell r="L820">
            <v>426.77</v>
          </cell>
          <cell r="O820" t="str">
            <v>Y</v>
          </cell>
          <cell r="P820" t="str">
            <v>N</v>
          </cell>
          <cell r="Q820" t="str">
            <v>Extra Capacity</v>
          </cell>
          <cell r="S820">
            <v>0.27</v>
          </cell>
        </row>
        <row r="821">
          <cell r="D821">
            <v>908005282</v>
          </cell>
          <cell r="E821" t="str">
            <v>NORLITA MUNOZ</v>
          </cell>
          <cell r="F821" t="str">
            <v>D (MD)</v>
          </cell>
          <cell r="G821">
            <v>330895</v>
          </cell>
          <cell r="H821" t="str">
            <v>Mayday</v>
          </cell>
          <cell r="I821">
            <v>0.83333333333333337</v>
          </cell>
          <cell r="J821">
            <v>0.33333333333333331</v>
          </cell>
          <cell r="K821">
            <v>11.3333333333333</v>
          </cell>
          <cell r="L821">
            <v>475.74</v>
          </cell>
          <cell r="O821" t="str">
            <v>Y</v>
          </cell>
          <cell r="P821" t="str">
            <v>N</v>
          </cell>
          <cell r="Q821" t="str">
            <v>Extra Capacity</v>
          </cell>
          <cell r="S821">
            <v>0.3</v>
          </cell>
        </row>
        <row r="822">
          <cell r="D822">
            <v>908005094</v>
          </cell>
          <cell r="E822" t="str">
            <v>OLGA NYAMAYARO</v>
          </cell>
          <cell r="F822" t="str">
            <v>D (MD)</v>
          </cell>
          <cell r="G822">
            <v>331069</v>
          </cell>
          <cell r="H822" t="str">
            <v>Mayday</v>
          </cell>
          <cell r="I822">
            <v>0.83333333333333337</v>
          </cell>
          <cell r="J822">
            <v>0.33333333333333331</v>
          </cell>
          <cell r="K822">
            <v>11.3333333333333</v>
          </cell>
          <cell r="L822">
            <v>475.74</v>
          </cell>
          <cell r="O822" t="str">
            <v>Y</v>
          </cell>
          <cell r="P822" t="str">
            <v>N</v>
          </cell>
          <cell r="Q822" t="str">
            <v>Extra Capacity</v>
          </cell>
          <cell r="S822">
            <v>0.3</v>
          </cell>
        </row>
        <row r="823">
          <cell r="D823">
            <v>808003892</v>
          </cell>
          <cell r="E823" t="str">
            <v>RODRIGO RINGOR</v>
          </cell>
          <cell r="F823" t="str">
            <v>D (Amb)</v>
          </cell>
          <cell r="G823">
            <v>744939</v>
          </cell>
          <cell r="H823" t="str">
            <v>Ambition</v>
          </cell>
          <cell r="I823">
            <v>0.52083333333333337</v>
          </cell>
          <cell r="J823">
            <v>0.85416666666666663</v>
          </cell>
          <cell r="K823">
            <v>7.6666666666666696</v>
          </cell>
          <cell r="L823">
            <v>299.77</v>
          </cell>
          <cell r="O823" t="str">
            <v>Y</v>
          </cell>
          <cell r="P823" t="str">
            <v>N</v>
          </cell>
          <cell r="Q823" t="str">
            <v>Extra Capacity</v>
          </cell>
          <cell r="S823">
            <v>0.2</v>
          </cell>
        </row>
        <row r="824">
          <cell r="D824">
            <v>808006458</v>
          </cell>
          <cell r="E824" t="str">
            <v>SHAUN MCKEE</v>
          </cell>
          <cell r="F824" t="str">
            <v>D (Amb)</v>
          </cell>
          <cell r="G824">
            <v>744942</v>
          </cell>
          <cell r="H824" t="str">
            <v>Ambition</v>
          </cell>
          <cell r="I824">
            <v>0.625</v>
          </cell>
          <cell r="J824">
            <v>0.85416666666666663</v>
          </cell>
          <cell r="K824">
            <v>5.5</v>
          </cell>
          <cell r="L824">
            <v>215.05</v>
          </cell>
          <cell r="O824" t="str">
            <v>Y</v>
          </cell>
          <cell r="P824" t="str">
            <v>N</v>
          </cell>
          <cell r="Q824" t="str">
            <v>Vacancy</v>
          </cell>
          <cell r="S824">
            <v>0.15</v>
          </cell>
        </row>
        <row r="825">
          <cell r="D825">
            <v>908005101</v>
          </cell>
          <cell r="E825" t="str">
            <v>SPECIAL DOKOCERA</v>
          </cell>
          <cell r="F825" t="str">
            <v>D (Amb)</v>
          </cell>
          <cell r="G825">
            <v>744932</v>
          </cell>
          <cell r="H825" t="str">
            <v>Ambition</v>
          </cell>
          <cell r="I825">
            <v>0.3125</v>
          </cell>
          <cell r="J825">
            <v>0.85416666666666663</v>
          </cell>
          <cell r="K825">
            <v>12.3333333333333</v>
          </cell>
          <cell r="L825">
            <v>482.23</v>
          </cell>
          <cell r="O825" t="str">
            <v>Y</v>
          </cell>
          <cell r="P825" t="str">
            <v>N</v>
          </cell>
          <cell r="Q825" t="str">
            <v>Extra Capacity</v>
          </cell>
          <cell r="S825">
            <v>0.33</v>
          </cell>
        </row>
        <row r="826">
          <cell r="D826">
            <v>908004619</v>
          </cell>
          <cell r="E826" t="str">
            <v>TOM OSBOURNE</v>
          </cell>
          <cell r="F826" t="str">
            <v>D General (Orio</v>
          </cell>
          <cell r="G826" t="str">
            <v>Invsd Smt checked</v>
          </cell>
          <cell r="H826" t="str">
            <v>Orion</v>
          </cell>
          <cell r="I826">
            <v>0.33333333333333331</v>
          </cell>
          <cell r="J826">
            <v>0.54166666666666663</v>
          </cell>
          <cell r="K826">
            <v>5</v>
          </cell>
          <cell r="L826">
            <v>90.6</v>
          </cell>
          <cell r="O826" t="str">
            <v>Y</v>
          </cell>
          <cell r="P826" t="str">
            <v>N</v>
          </cell>
          <cell r="Q826" t="str">
            <v>Vacancy</v>
          </cell>
          <cell r="S826">
            <v>0.13</v>
          </cell>
        </row>
        <row r="827">
          <cell r="D827">
            <v>908005036</v>
          </cell>
          <cell r="E827" t="str">
            <v>TRUST CHIWUNDURA</v>
          </cell>
          <cell r="F827" t="str">
            <v>A (Ch)</v>
          </cell>
          <cell r="G827">
            <v>16738</v>
          </cell>
          <cell r="H827" t="str">
            <v>Choice</v>
          </cell>
          <cell r="I827">
            <v>0.83333333333333337</v>
          </cell>
          <cell r="J827">
            <v>0.33333333333333331</v>
          </cell>
          <cell r="K827">
            <v>11.3333333333333</v>
          </cell>
          <cell r="L827">
            <v>167.58</v>
          </cell>
          <cell r="O827" t="str">
            <v>Y</v>
          </cell>
          <cell r="P827" t="str">
            <v>N</v>
          </cell>
          <cell r="Q827" t="str">
            <v>Specials</v>
          </cell>
          <cell r="S827">
            <v>0.3</v>
          </cell>
        </row>
        <row r="828">
          <cell r="D828">
            <v>808003920</v>
          </cell>
          <cell r="E828" t="str">
            <v>ZOE SALVEFEN</v>
          </cell>
          <cell r="F828" t="str">
            <v>D (MD)</v>
          </cell>
          <cell r="G828">
            <v>336562</v>
          </cell>
          <cell r="H828" t="str">
            <v>Mayday</v>
          </cell>
          <cell r="I828">
            <v>0.83333333333333337</v>
          </cell>
          <cell r="J828">
            <v>0.33333333333333331</v>
          </cell>
          <cell r="K828">
            <v>11.3333333333333</v>
          </cell>
          <cell r="L828">
            <v>475.74</v>
          </cell>
          <cell r="O828" t="str">
            <v>Y</v>
          </cell>
          <cell r="P828" t="str">
            <v>N</v>
          </cell>
          <cell r="Q828" t="str">
            <v>Extra Capacity</v>
          </cell>
          <cell r="S828">
            <v>0.3</v>
          </cell>
        </row>
        <row r="829">
          <cell r="D829">
            <v>908003524</v>
          </cell>
          <cell r="E829" t="str">
            <v>CARL HIBBERT</v>
          </cell>
          <cell r="F829" t="str">
            <v>D (Ch)</v>
          </cell>
          <cell r="G829">
            <v>16754</v>
          </cell>
          <cell r="H829" t="str">
            <v>Choice</v>
          </cell>
          <cell r="I829">
            <v>0.83333333333333337</v>
          </cell>
          <cell r="J829">
            <v>0.33333333333333331</v>
          </cell>
          <cell r="K829">
            <v>11.3333333333333</v>
          </cell>
          <cell r="L829">
            <v>359.05</v>
          </cell>
          <cell r="O829" t="str">
            <v>Y</v>
          </cell>
          <cell r="P829" t="str">
            <v>N</v>
          </cell>
          <cell r="Q829" t="str">
            <v>Vacancy</v>
          </cell>
          <cell r="S829">
            <v>0.3</v>
          </cell>
        </row>
        <row r="830">
          <cell r="D830">
            <v>808005052</v>
          </cell>
          <cell r="E830" t="str">
            <v>CHRIS STULAR</v>
          </cell>
          <cell r="F830" t="str">
            <v>D General (Orio</v>
          </cell>
          <cell r="G830" t="str">
            <v>Invsd Smt checked</v>
          </cell>
          <cell r="H830" t="str">
            <v>Orion</v>
          </cell>
          <cell r="I830">
            <v>0.33333333333333331</v>
          </cell>
          <cell r="J830">
            <v>0.75</v>
          </cell>
          <cell r="K830">
            <v>9.5</v>
          </cell>
          <cell r="L830">
            <v>172.14</v>
          </cell>
          <cell r="O830" t="str">
            <v>Y</v>
          </cell>
          <cell r="P830" t="str">
            <v>N</v>
          </cell>
          <cell r="Q830" t="str">
            <v>Vacancy</v>
          </cell>
          <cell r="S830">
            <v>0.25</v>
          </cell>
        </row>
        <row r="831">
          <cell r="D831">
            <v>908001194</v>
          </cell>
          <cell r="E831" t="str">
            <v>COLLEN SIBANDA</v>
          </cell>
          <cell r="F831" t="str">
            <v>D (Ch)</v>
          </cell>
          <cell r="G831">
            <v>16744</v>
          </cell>
          <cell r="H831" t="str">
            <v>Choice</v>
          </cell>
          <cell r="I831">
            <v>0.625</v>
          </cell>
          <cell r="J831">
            <v>0.875</v>
          </cell>
          <cell r="K831">
            <v>5.75</v>
          </cell>
          <cell r="L831">
            <v>140.13</v>
          </cell>
          <cell r="O831" t="str">
            <v>Y</v>
          </cell>
          <cell r="P831" t="str">
            <v>N</v>
          </cell>
          <cell r="Q831" t="str">
            <v>Vacancy</v>
          </cell>
          <cell r="S831">
            <v>0.15</v>
          </cell>
        </row>
        <row r="832">
          <cell r="D832">
            <v>908005578</v>
          </cell>
          <cell r="E832" t="str">
            <v>ELENITA ARENAS</v>
          </cell>
          <cell r="F832" t="str">
            <v>D (Amb)</v>
          </cell>
          <cell r="G832">
            <v>745048</v>
          </cell>
          <cell r="H832" t="str">
            <v>Ambition</v>
          </cell>
          <cell r="I832">
            <v>0.3125</v>
          </cell>
          <cell r="J832">
            <v>0.625</v>
          </cell>
          <cell r="K832">
            <v>7</v>
          </cell>
          <cell r="L832">
            <v>273.7</v>
          </cell>
          <cell r="O832" t="str">
            <v>Y</v>
          </cell>
          <cell r="P832" t="str">
            <v>N</v>
          </cell>
          <cell r="Q832" t="str">
            <v>Acuity</v>
          </cell>
          <cell r="S832">
            <v>0.19</v>
          </cell>
        </row>
        <row r="833">
          <cell r="D833">
            <v>908005579</v>
          </cell>
          <cell r="E833" t="str">
            <v>ELENITA ARENAS</v>
          </cell>
          <cell r="F833" t="str">
            <v>D (Amb)</v>
          </cell>
          <cell r="G833">
            <v>745048</v>
          </cell>
          <cell r="H833" t="str">
            <v>Ambition</v>
          </cell>
          <cell r="I833">
            <v>0.625</v>
          </cell>
          <cell r="J833">
            <v>0.89583333333333337</v>
          </cell>
          <cell r="K833">
            <v>6.1666666666666696</v>
          </cell>
          <cell r="L833">
            <v>241.12</v>
          </cell>
          <cell r="O833" t="str">
            <v>Y</v>
          </cell>
          <cell r="P833" t="str">
            <v>N</v>
          </cell>
          <cell r="Q833" t="str">
            <v>Acuity</v>
          </cell>
          <cell r="S833">
            <v>0.16</v>
          </cell>
        </row>
        <row r="834">
          <cell r="D834">
            <v>908004718</v>
          </cell>
          <cell r="E834" t="str">
            <v>EMMA FLIT-ELY</v>
          </cell>
          <cell r="F834" t="str">
            <v>D (Ch)</v>
          </cell>
          <cell r="G834">
            <v>16745</v>
          </cell>
          <cell r="H834" t="str">
            <v>Choice</v>
          </cell>
          <cell r="I834">
            <v>0.3125</v>
          </cell>
          <cell r="J834">
            <v>0.60416666666666663</v>
          </cell>
          <cell r="K834">
            <v>6.6666666666666696</v>
          </cell>
          <cell r="L834">
            <v>162.47</v>
          </cell>
          <cell r="O834" t="str">
            <v>Y</v>
          </cell>
          <cell r="P834" t="str">
            <v>N</v>
          </cell>
          <cell r="Q834" t="str">
            <v>Short Term Sick</v>
          </cell>
          <cell r="S834">
            <v>0.18</v>
          </cell>
        </row>
        <row r="835">
          <cell r="D835">
            <v>908005684</v>
          </cell>
          <cell r="E835" t="str">
            <v>FIONA DURKIN-GREER</v>
          </cell>
          <cell r="F835" t="str">
            <v>D (Amb)</v>
          </cell>
          <cell r="G835">
            <v>746132</v>
          </cell>
          <cell r="H835" t="str">
            <v>Ambition</v>
          </cell>
          <cell r="I835">
            <v>0.625</v>
          </cell>
          <cell r="J835">
            <v>0.85416666666666663</v>
          </cell>
          <cell r="K835">
            <v>5.5</v>
          </cell>
          <cell r="L835">
            <v>215.05</v>
          </cell>
          <cell r="O835" t="str">
            <v>Y</v>
          </cell>
          <cell r="P835" t="str">
            <v>N</v>
          </cell>
          <cell r="Q835" t="str">
            <v>Extra Capacity</v>
          </cell>
          <cell r="S835">
            <v>0.15</v>
          </cell>
        </row>
        <row r="836">
          <cell r="D836">
            <v>908005695</v>
          </cell>
          <cell r="E836" t="str">
            <v>GEORGINA MAFISA</v>
          </cell>
          <cell r="F836" t="str">
            <v>A (MD)</v>
          </cell>
          <cell r="G836">
            <v>331066</v>
          </cell>
          <cell r="H836" t="str">
            <v>Mayday</v>
          </cell>
          <cell r="I836">
            <v>0.83333333333333337</v>
          </cell>
          <cell r="J836">
            <v>0.33333333333333331</v>
          </cell>
          <cell r="K836">
            <v>11</v>
          </cell>
          <cell r="L836">
            <v>170.72</v>
          </cell>
          <cell r="O836" t="str">
            <v>Y</v>
          </cell>
          <cell r="P836" t="str">
            <v>N</v>
          </cell>
          <cell r="Q836" t="str">
            <v>Extra Capacity</v>
          </cell>
          <cell r="S836">
            <v>0.28999999999999998</v>
          </cell>
        </row>
        <row r="837">
          <cell r="D837">
            <v>908004490</v>
          </cell>
          <cell r="E837" t="str">
            <v>GRACE CHIKWAVA</v>
          </cell>
          <cell r="F837" t="str">
            <v>D (Ch)</v>
          </cell>
          <cell r="G837">
            <v>16751</v>
          </cell>
          <cell r="H837" t="str">
            <v>Choice</v>
          </cell>
          <cell r="I837">
            <v>0.29166666666666669</v>
          </cell>
          <cell r="J837">
            <v>0.625</v>
          </cell>
          <cell r="K837">
            <v>7.5</v>
          </cell>
          <cell r="L837">
            <v>182.78</v>
          </cell>
          <cell r="O837" t="str">
            <v>Y</v>
          </cell>
          <cell r="P837" t="str">
            <v>N</v>
          </cell>
          <cell r="Q837" t="str">
            <v>Extra Capacity</v>
          </cell>
          <cell r="S837">
            <v>0.2</v>
          </cell>
        </row>
        <row r="838">
          <cell r="D838">
            <v>908003285</v>
          </cell>
          <cell r="E838" t="str">
            <v>HILDA SHANGE</v>
          </cell>
          <cell r="F838" t="str">
            <v>D (Ch)</v>
          </cell>
          <cell r="G838">
            <v>16804</v>
          </cell>
          <cell r="H838" t="str">
            <v>Choice</v>
          </cell>
          <cell r="I838">
            <v>0.83333333333333337</v>
          </cell>
          <cell r="J838">
            <v>0.33333333333333331</v>
          </cell>
          <cell r="K838">
            <v>11.3333333333333</v>
          </cell>
          <cell r="L838">
            <v>359.05</v>
          </cell>
          <cell r="O838" t="str">
            <v>Y</v>
          </cell>
          <cell r="P838" t="str">
            <v>N</v>
          </cell>
          <cell r="Q838" t="str">
            <v>Under Established</v>
          </cell>
          <cell r="S838">
            <v>0.3</v>
          </cell>
        </row>
        <row r="839">
          <cell r="D839">
            <v>908001113</v>
          </cell>
          <cell r="E839" t="str">
            <v>JANE DUNSMURE</v>
          </cell>
          <cell r="F839" t="str">
            <v>D/5 (PS)</v>
          </cell>
          <cell r="H839" t="str">
            <v>Pinnacle Staffing</v>
          </cell>
          <cell r="I839">
            <v>0.875</v>
          </cell>
          <cell r="J839">
            <v>0.30208333333333331</v>
          </cell>
          <cell r="K839">
            <v>9.9166666666666696</v>
          </cell>
          <cell r="L839">
            <v>219.03</v>
          </cell>
          <cell r="O839" t="str">
            <v>Y</v>
          </cell>
          <cell r="P839" t="str">
            <v>N</v>
          </cell>
          <cell r="Q839" t="str">
            <v>Vacancy</v>
          </cell>
          <cell r="S839">
            <v>0.26</v>
          </cell>
        </row>
        <row r="840">
          <cell r="D840">
            <v>908002558</v>
          </cell>
          <cell r="E840" t="str">
            <v>JASMINE ESGUERRA</v>
          </cell>
          <cell r="F840" t="str">
            <v>D (Ch)</v>
          </cell>
          <cell r="G840">
            <v>16743</v>
          </cell>
          <cell r="H840" t="str">
            <v>Choice</v>
          </cell>
          <cell r="I840">
            <v>0.79166666666666663</v>
          </cell>
          <cell r="J840">
            <v>0.3125</v>
          </cell>
          <cell r="K840">
            <v>10.5</v>
          </cell>
          <cell r="L840">
            <v>332.65</v>
          </cell>
          <cell r="O840" t="str">
            <v>Y</v>
          </cell>
          <cell r="P840" t="str">
            <v>N</v>
          </cell>
          <cell r="Q840" t="str">
            <v>Vacancy</v>
          </cell>
          <cell r="S840">
            <v>0.28000000000000003</v>
          </cell>
        </row>
        <row r="841">
          <cell r="D841">
            <v>908004636</v>
          </cell>
          <cell r="E841" t="str">
            <v>JEAN NGONA</v>
          </cell>
          <cell r="F841" t="str">
            <v>D (MD)</v>
          </cell>
          <cell r="G841">
            <v>333822</v>
          </cell>
          <cell r="H841" t="str">
            <v>Mayday</v>
          </cell>
          <cell r="I841">
            <v>0.3125</v>
          </cell>
          <cell r="J841">
            <v>0.625</v>
          </cell>
          <cell r="K841">
            <v>7.1666666666666696</v>
          </cell>
          <cell r="L841">
            <v>231.41</v>
          </cell>
          <cell r="O841" t="str">
            <v>Y</v>
          </cell>
          <cell r="P841" t="str">
            <v>N</v>
          </cell>
          <cell r="Q841" t="str">
            <v>Vacancy</v>
          </cell>
          <cell r="S841">
            <v>0.19</v>
          </cell>
        </row>
        <row r="842">
          <cell r="D842">
            <v>908004491</v>
          </cell>
          <cell r="E842" t="str">
            <v>JOAN LEWIS</v>
          </cell>
          <cell r="F842" t="str">
            <v>D (MD)</v>
          </cell>
          <cell r="G842">
            <v>331679</v>
          </cell>
          <cell r="H842" t="str">
            <v>Mayday</v>
          </cell>
          <cell r="I842">
            <v>0.5625</v>
          </cell>
          <cell r="J842">
            <v>0.875</v>
          </cell>
          <cell r="K842">
            <v>7.1666666666666696</v>
          </cell>
          <cell r="L842">
            <v>231.41</v>
          </cell>
          <cell r="O842" t="str">
            <v>Y</v>
          </cell>
          <cell r="P842" t="str">
            <v>N</v>
          </cell>
          <cell r="Q842" t="str">
            <v>Extra Capacity</v>
          </cell>
          <cell r="S842">
            <v>0.19</v>
          </cell>
        </row>
        <row r="843">
          <cell r="D843">
            <v>808003780</v>
          </cell>
          <cell r="E843" t="str">
            <v>JOY MABITLE (N Zulu)</v>
          </cell>
          <cell r="F843" t="str">
            <v>D (MD)</v>
          </cell>
          <cell r="G843">
            <v>330906</v>
          </cell>
          <cell r="H843" t="str">
            <v>Mayday</v>
          </cell>
          <cell r="I843">
            <v>0.83333333333333337</v>
          </cell>
          <cell r="J843">
            <v>0.33333333333333331</v>
          </cell>
          <cell r="K843">
            <v>11.3333333333333</v>
          </cell>
          <cell r="L843">
            <v>475.74</v>
          </cell>
          <cell r="O843" t="str">
            <v>Y</v>
          </cell>
          <cell r="P843" t="str">
            <v>N</v>
          </cell>
          <cell r="Q843" t="str">
            <v>Extra Capacity</v>
          </cell>
          <cell r="S843">
            <v>0.3</v>
          </cell>
        </row>
        <row r="844">
          <cell r="D844">
            <v>908004622</v>
          </cell>
          <cell r="E844" t="str">
            <v>KAREN VAUGHAN</v>
          </cell>
          <cell r="F844" t="str">
            <v>D General (Orio</v>
          </cell>
          <cell r="G844" t="str">
            <v>Invsd Smt checked</v>
          </cell>
          <cell r="H844" t="str">
            <v>Orion</v>
          </cell>
          <cell r="I844">
            <v>0.54166666666666663</v>
          </cell>
          <cell r="J844">
            <v>0.75</v>
          </cell>
          <cell r="K844">
            <v>5</v>
          </cell>
          <cell r="L844">
            <v>90.6</v>
          </cell>
          <cell r="O844" t="str">
            <v>Y</v>
          </cell>
          <cell r="P844" t="str">
            <v>N</v>
          </cell>
          <cell r="Q844" t="str">
            <v>Vacancy</v>
          </cell>
          <cell r="S844">
            <v>0.13</v>
          </cell>
        </row>
        <row r="845">
          <cell r="D845">
            <v>908004492</v>
          </cell>
          <cell r="E845" t="str">
            <v>KATHY CHIDAVA</v>
          </cell>
          <cell r="F845" t="str">
            <v>D (Ch)</v>
          </cell>
          <cell r="G845">
            <v>16809</v>
          </cell>
          <cell r="H845" t="str">
            <v>Choice</v>
          </cell>
          <cell r="I845">
            <v>0.875</v>
          </cell>
          <cell r="J845">
            <v>0.3125</v>
          </cell>
          <cell r="K845">
            <v>9.5</v>
          </cell>
          <cell r="L845">
            <v>300.97000000000003</v>
          </cell>
          <cell r="O845" t="str">
            <v>Y</v>
          </cell>
          <cell r="P845" t="str">
            <v>N</v>
          </cell>
          <cell r="Q845" t="str">
            <v>Extra Capacity</v>
          </cell>
          <cell r="S845">
            <v>0.25</v>
          </cell>
        </row>
        <row r="846">
          <cell r="D846">
            <v>908004349</v>
          </cell>
          <cell r="E846" t="str">
            <v>KATIE KEAVENEY</v>
          </cell>
          <cell r="F846" t="str">
            <v>D (MD)</v>
          </cell>
          <cell r="G846">
            <v>330890</v>
          </cell>
          <cell r="H846" t="str">
            <v>Mayday</v>
          </cell>
          <cell r="I846">
            <v>0.3125</v>
          </cell>
          <cell r="J846">
            <v>0.5625</v>
          </cell>
          <cell r="K846">
            <v>5.6666666666666696</v>
          </cell>
          <cell r="L846">
            <v>182.98</v>
          </cell>
          <cell r="O846" t="str">
            <v>Y</v>
          </cell>
          <cell r="P846" t="str">
            <v>N</v>
          </cell>
          <cell r="Q846" t="str">
            <v>Vacancy</v>
          </cell>
          <cell r="S846">
            <v>0.15</v>
          </cell>
        </row>
        <row r="847">
          <cell r="D847">
            <v>808003872</v>
          </cell>
          <cell r="E847" t="str">
            <v>KIRSTY LAWLER</v>
          </cell>
          <cell r="F847" t="str">
            <v>D (MD)</v>
          </cell>
          <cell r="G847">
            <v>331678</v>
          </cell>
          <cell r="H847" t="str">
            <v>Mayday</v>
          </cell>
          <cell r="I847">
            <v>0.3125</v>
          </cell>
          <cell r="J847">
            <v>0.64583333333333337</v>
          </cell>
          <cell r="K847">
            <v>7.6666666666666696</v>
          </cell>
          <cell r="L847">
            <v>247.56</v>
          </cell>
          <cell r="O847" t="str">
            <v>Y</v>
          </cell>
          <cell r="P847" t="str">
            <v>N</v>
          </cell>
          <cell r="Q847" t="str">
            <v>Extra Capacity</v>
          </cell>
          <cell r="S847">
            <v>0.2</v>
          </cell>
        </row>
        <row r="848">
          <cell r="D848">
            <v>808003893</v>
          </cell>
          <cell r="E848" t="str">
            <v>KIRSTY LAWLER</v>
          </cell>
          <cell r="F848" t="str">
            <v>D (MD)</v>
          </cell>
          <cell r="G848">
            <v>331678</v>
          </cell>
          <cell r="H848" t="str">
            <v>Mayday</v>
          </cell>
          <cell r="I848">
            <v>0.64583333333333337</v>
          </cell>
          <cell r="J848">
            <v>0.85416666666666663</v>
          </cell>
          <cell r="K848">
            <v>5</v>
          </cell>
          <cell r="L848">
            <v>161.44999999999999</v>
          </cell>
          <cell r="O848" t="str">
            <v>Y</v>
          </cell>
          <cell r="P848" t="str">
            <v>N</v>
          </cell>
          <cell r="Q848" t="str">
            <v>Extra Capacity</v>
          </cell>
          <cell r="S848">
            <v>0.13</v>
          </cell>
        </row>
        <row r="849">
          <cell r="D849">
            <v>908005283</v>
          </cell>
          <cell r="E849" t="str">
            <v>LEONA CONTRERAS</v>
          </cell>
          <cell r="F849" t="str">
            <v>D (MD)</v>
          </cell>
          <cell r="G849">
            <v>330897</v>
          </cell>
          <cell r="H849" t="str">
            <v>Mayday</v>
          </cell>
          <cell r="I849">
            <v>0.83333333333333337</v>
          </cell>
          <cell r="J849">
            <v>0.33333333333333331</v>
          </cell>
          <cell r="K849">
            <v>11.3333333333333</v>
          </cell>
          <cell r="L849">
            <v>475.74</v>
          </cell>
          <cell r="O849" t="str">
            <v>Y</v>
          </cell>
          <cell r="P849" t="str">
            <v>N</v>
          </cell>
          <cell r="Q849" t="str">
            <v>Extra Capacity</v>
          </cell>
          <cell r="S849">
            <v>0.3</v>
          </cell>
        </row>
        <row r="850">
          <cell r="D850">
            <v>908006390</v>
          </cell>
          <cell r="E850" t="str">
            <v>LISA LANDICHIO</v>
          </cell>
          <cell r="F850" t="str">
            <v>D (MD)</v>
          </cell>
          <cell r="G850">
            <v>331903</v>
          </cell>
          <cell r="H850" t="str">
            <v>Mayday</v>
          </cell>
          <cell r="I850">
            <v>0.5</v>
          </cell>
          <cell r="J850">
            <v>0.85416666666666663</v>
          </cell>
          <cell r="K850">
            <v>8.1666666666666696</v>
          </cell>
          <cell r="L850">
            <v>263.7</v>
          </cell>
          <cell r="O850" t="str">
            <v>Y</v>
          </cell>
          <cell r="P850" t="str">
            <v>N</v>
          </cell>
          <cell r="Q850" t="str">
            <v>Acuity</v>
          </cell>
          <cell r="S850">
            <v>0.22</v>
          </cell>
        </row>
        <row r="851">
          <cell r="D851">
            <v>908005040</v>
          </cell>
          <cell r="E851" t="str">
            <v>MAVIS SIBANDA</v>
          </cell>
          <cell r="F851" t="str">
            <v>D (Ch)</v>
          </cell>
          <cell r="G851">
            <v>16798</v>
          </cell>
          <cell r="H851" t="str">
            <v>Choice</v>
          </cell>
          <cell r="I851">
            <v>0.33333333333333331</v>
          </cell>
          <cell r="J851">
            <v>0.58333333333333337</v>
          </cell>
          <cell r="K851">
            <v>5.6666666666666696</v>
          </cell>
          <cell r="L851">
            <v>138.1</v>
          </cell>
          <cell r="O851" t="str">
            <v>Y</v>
          </cell>
          <cell r="P851" t="str">
            <v>N</v>
          </cell>
          <cell r="Q851" t="str">
            <v>Specials</v>
          </cell>
          <cell r="S851">
            <v>0.15</v>
          </cell>
        </row>
        <row r="852">
          <cell r="D852">
            <v>908005041</v>
          </cell>
          <cell r="E852" t="str">
            <v>MAVIS SIBANDA</v>
          </cell>
          <cell r="F852" t="str">
            <v>D (Ch)</v>
          </cell>
          <cell r="G852">
            <v>16798</v>
          </cell>
          <cell r="H852" t="str">
            <v>Choice</v>
          </cell>
          <cell r="I852">
            <v>0.58333333333333337</v>
          </cell>
          <cell r="J852">
            <v>0.83333333333333337</v>
          </cell>
          <cell r="K852">
            <v>5.6666666666666696</v>
          </cell>
          <cell r="L852">
            <v>138.1</v>
          </cell>
          <cell r="O852" t="str">
            <v>Y</v>
          </cell>
          <cell r="P852" t="str">
            <v>N</v>
          </cell>
          <cell r="Q852" t="str">
            <v>Specials</v>
          </cell>
          <cell r="S852">
            <v>0.15</v>
          </cell>
        </row>
        <row r="853">
          <cell r="D853">
            <v>808003865</v>
          </cell>
          <cell r="E853" t="str">
            <v>MELISSA SMITH</v>
          </cell>
          <cell r="F853" t="str">
            <v>D/5 (PS)</v>
          </cell>
          <cell r="H853" t="str">
            <v>Pinnacle Staffing</v>
          </cell>
          <cell r="I853">
            <v>0.3125</v>
          </cell>
          <cell r="J853">
            <v>0.64583333333333337</v>
          </cell>
          <cell r="K853">
            <v>7.6666666666666696</v>
          </cell>
          <cell r="L853">
            <v>130.26</v>
          </cell>
          <cell r="O853" t="str">
            <v>Y</v>
          </cell>
          <cell r="P853" t="str">
            <v>N</v>
          </cell>
          <cell r="Q853" t="str">
            <v>Extra Capacity</v>
          </cell>
          <cell r="S853">
            <v>0.2</v>
          </cell>
        </row>
        <row r="854">
          <cell r="D854">
            <v>908003518</v>
          </cell>
          <cell r="E854" t="str">
            <v>NOLIZWI MGANDELA</v>
          </cell>
          <cell r="F854" t="str">
            <v>D (MD)</v>
          </cell>
          <cell r="G854">
            <v>330620</v>
          </cell>
          <cell r="H854" t="str">
            <v>Mayday</v>
          </cell>
          <cell r="I854">
            <v>0.3125</v>
          </cell>
          <cell r="J854">
            <v>0.54166666666666663</v>
          </cell>
          <cell r="K854">
            <v>5.5</v>
          </cell>
          <cell r="L854">
            <v>177.59</v>
          </cell>
          <cell r="O854" t="str">
            <v>Y</v>
          </cell>
          <cell r="P854" t="str">
            <v>N</v>
          </cell>
          <cell r="Q854" t="str">
            <v>Vacancy</v>
          </cell>
          <cell r="S854">
            <v>0.15</v>
          </cell>
        </row>
        <row r="855">
          <cell r="D855">
            <v>908003520</v>
          </cell>
          <cell r="E855" t="str">
            <v>NOLIZWI MGANDELA</v>
          </cell>
          <cell r="F855" t="str">
            <v>D (MD)</v>
          </cell>
          <cell r="G855">
            <v>330620</v>
          </cell>
          <cell r="H855" t="str">
            <v>Mayday</v>
          </cell>
          <cell r="I855">
            <v>0.625</v>
          </cell>
          <cell r="J855">
            <v>0.85416666666666663</v>
          </cell>
          <cell r="K855">
            <v>5.5</v>
          </cell>
          <cell r="L855">
            <v>177.59</v>
          </cell>
          <cell r="O855" t="str">
            <v>Y</v>
          </cell>
          <cell r="P855" t="str">
            <v>N</v>
          </cell>
          <cell r="Q855" t="str">
            <v>Vacancy</v>
          </cell>
          <cell r="S855">
            <v>0.15</v>
          </cell>
        </row>
        <row r="856">
          <cell r="D856">
            <v>908004883</v>
          </cell>
          <cell r="E856" t="str">
            <v>PARMANUND PERYAGH</v>
          </cell>
          <cell r="F856" t="str">
            <v>D (Amb)</v>
          </cell>
          <cell r="G856">
            <v>744935</v>
          </cell>
          <cell r="H856" t="str">
            <v>Ambition</v>
          </cell>
          <cell r="I856">
            <v>0.625</v>
          </cell>
          <cell r="J856">
            <v>0.875</v>
          </cell>
          <cell r="K856">
            <v>5.6666666666666696</v>
          </cell>
          <cell r="L856">
            <v>221.57</v>
          </cell>
          <cell r="O856" t="str">
            <v>Y</v>
          </cell>
          <cell r="P856" t="str">
            <v>N</v>
          </cell>
          <cell r="Q856" t="str">
            <v>Short Term Sick</v>
          </cell>
          <cell r="S856">
            <v>0.15</v>
          </cell>
        </row>
        <row r="857">
          <cell r="D857">
            <v>908002554</v>
          </cell>
          <cell r="E857" t="str">
            <v>PEGGY MAPOGO</v>
          </cell>
          <cell r="F857" t="str">
            <v>D (Ch)</v>
          </cell>
          <cell r="G857">
            <v>16743</v>
          </cell>
          <cell r="H857" t="str">
            <v>Choice</v>
          </cell>
          <cell r="I857">
            <v>0.3125</v>
          </cell>
          <cell r="J857">
            <v>0.5625</v>
          </cell>
          <cell r="K857">
            <v>5.6666666666666696</v>
          </cell>
          <cell r="L857">
            <v>138.1</v>
          </cell>
          <cell r="O857" t="str">
            <v>Y</v>
          </cell>
          <cell r="P857" t="str">
            <v>N</v>
          </cell>
          <cell r="Q857" t="str">
            <v>Vacancy</v>
          </cell>
          <cell r="S857">
            <v>0.15</v>
          </cell>
        </row>
        <row r="858">
          <cell r="D858">
            <v>908002555</v>
          </cell>
          <cell r="E858" t="str">
            <v>PEGGY MAPOGO</v>
          </cell>
          <cell r="F858" t="str">
            <v>D (Ch)</v>
          </cell>
          <cell r="G858">
            <v>16743</v>
          </cell>
          <cell r="H858" t="str">
            <v>Choice</v>
          </cell>
          <cell r="I858">
            <v>0.60416666666666663</v>
          </cell>
          <cell r="J858">
            <v>0.8125</v>
          </cell>
          <cell r="K858">
            <v>5</v>
          </cell>
          <cell r="L858">
            <v>121.85</v>
          </cell>
          <cell r="O858" t="str">
            <v>Y</v>
          </cell>
          <cell r="P858" t="str">
            <v>N</v>
          </cell>
          <cell r="Q858" t="str">
            <v>Vacancy</v>
          </cell>
          <cell r="S858">
            <v>0.13</v>
          </cell>
        </row>
        <row r="859">
          <cell r="D859">
            <v>808003879</v>
          </cell>
          <cell r="E859" t="str">
            <v>PRICILLA SONO</v>
          </cell>
          <cell r="F859" t="str">
            <v>D (MD)</v>
          </cell>
          <cell r="G859">
            <v>330924</v>
          </cell>
          <cell r="H859" t="str">
            <v>Mayday</v>
          </cell>
          <cell r="I859">
            <v>0.3125</v>
          </cell>
          <cell r="J859">
            <v>0.64583333333333337</v>
          </cell>
          <cell r="K859">
            <v>7.6666666666666696</v>
          </cell>
          <cell r="L859">
            <v>247.56</v>
          </cell>
          <cell r="O859" t="str">
            <v>Y</v>
          </cell>
          <cell r="P859" t="str">
            <v>N</v>
          </cell>
          <cell r="Q859" t="str">
            <v>Extra Capacity</v>
          </cell>
          <cell r="S859">
            <v>0.2</v>
          </cell>
        </row>
        <row r="860">
          <cell r="D860">
            <v>808003900</v>
          </cell>
          <cell r="E860" t="str">
            <v>PRICILLA SONO</v>
          </cell>
          <cell r="F860" t="str">
            <v>D (MD)</v>
          </cell>
          <cell r="G860">
            <v>330924</v>
          </cell>
          <cell r="H860" t="str">
            <v>Mayday</v>
          </cell>
          <cell r="I860">
            <v>0.64583333333333337</v>
          </cell>
          <cell r="J860">
            <v>0.85416666666666663</v>
          </cell>
          <cell r="K860">
            <v>5</v>
          </cell>
          <cell r="L860">
            <v>161.44999999999999</v>
          </cell>
          <cell r="O860" t="str">
            <v>Y</v>
          </cell>
          <cell r="P860" t="str">
            <v>N</v>
          </cell>
          <cell r="Q860" t="str">
            <v>Extra Capacity</v>
          </cell>
          <cell r="S860">
            <v>0.13</v>
          </cell>
        </row>
        <row r="861">
          <cell r="D861">
            <v>808003717</v>
          </cell>
          <cell r="E861" t="str">
            <v>PURITY EHREUREICH</v>
          </cell>
          <cell r="F861" t="str">
            <v>D (MD)</v>
          </cell>
          <cell r="G861">
            <v>331696</v>
          </cell>
          <cell r="H861" t="str">
            <v>Mayday</v>
          </cell>
          <cell r="I861">
            <v>0.3125</v>
          </cell>
          <cell r="J861">
            <v>0.64583333333333337</v>
          </cell>
          <cell r="K861">
            <v>7.6666666666666696</v>
          </cell>
          <cell r="L861">
            <v>247.56</v>
          </cell>
          <cell r="O861" t="str">
            <v>Y</v>
          </cell>
          <cell r="P861" t="str">
            <v>N</v>
          </cell>
          <cell r="Q861" t="str">
            <v>Extra Capacity</v>
          </cell>
          <cell r="S861">
            <v>0.2</v>
          </cell>
        </row>
        <row r="862">
          <cell r="D862">
            <v>808003759</v>
          </cell>
          <cell r="E862" t="str">
            <v>PURITY EHREUREICH</v>
          </cell>
          <cell r="F862" t="str">
            <v>D (MD)</v>
          </cell>
          <cell r="G862">
            <v>331696</v>
          </cell>
          <cell r="H862" t="str">
            <v>Mayday</v>
          </cell>
          <cell r="I862">
            <v>0.64583333333333337</v>
          </cell>
          <cell r="J862">
            <v>0.85416666666666663</v>
          </cell>
          <cell r="K862">
            <v>5</v>
          </cell>
          <cell r="L862">
            <v>161.44999999999999</v>
          </cell>
          <cell r="O862" t="str">
            <v>Y</v>
          </cell>
          <cell r="P862" t="str">
            <v>N</v>
          </cell>
          <cell r="Q862" t="str">
            <v>Extra Capacity</v>
          </cell>
          <cell r="S862">
            <v>0.13</v>
          </cell>
        </row>
        <row r="863">
          <cell r="D863">
            <v>808003921</v>
          </cell>
          <cell r="E863" t="str">
            <v>SAM KELEM</v>
          </cell>
          <cell r="F863" t="str">
            <v>D (Ch)</v>
          </cell>
          <cell r="G863">
            <v>16750</v>
          </cell>
          <cell r="H863" t="str">
            <v>Choice</v>
          </cell>
          <cell r="I863">
            <v>0.83333333333333337</v>
          </cell>
          <cell r="J863">
            <v>0.33333333333333331</v>
          </cell>
          <cell r="K863">
            <v>11.3333333333333</v>
          </cell>
          <cell r="L863">
            <v>359.05</v>
          </cell>
          <cell r="O863" t="str">
            <v>Y</v>
          </cell>
          <cell r="P863" t="str">
            <v>N</v>
          </cell>
          <cell r="Q863" t="str">
            <v>Extra Capacity</v>
          </cell>
          <cell r="S863">
            <v>0.3</v>
          </cell>
        </row>
        <row r="864">
          <cell r="D864">
            <v>908005103</v>
          </cell>
          <cell r="E864" t="str">
            <v>SPECIAL DOKOCERA</v>
          </cell>
          <cell r="F864" t="str">
            <v>D (Amb)</v>
          </cell>
          <cell r="G864">
            <v>744931</v>
          </cell>
          <cell r="H864" t="str">
            <v>Ambition</v>
          </cell>
          <cell r="I864">
            <v>0.3125</v>
          </cell>
          <cell r="J864">
            <v>0.85416666666666663</v>
          </cell>
          <cell r="K864">
            <v>12.3333333333333</v>
          </cell>
          <cell r="L864">
            <v>482.23</v>
          </cell>
          <cell r="O864" t="str">
            <v>Y</v>
          </cell>
          <cell r="P864" t="str">
            <v>N</v>
          </cell>
          <cell r="Q864" t="str">
            <v>Extra Capacity</v>
          </cell>
          <cell r="S864">
            <v>0.33</v>
          </cell>
        </row>
        <row r="865">
          <cell r="D865">
            <v>908004620</v>
          </cell>
          <cell r="E865" t="str">
            <v>TOM OSBOURNE</v>
          </cell>
          <cell r="F865" t="str">
            <v>D General (Orio</v>
          </cell>
          <cell r="G865" t="str">
            <v>Invsd Smt checked</v>
          </cell>
          <cell r="H865" t="str">
            <v>Orion</v>
          </cell>
          <cell r="I865">
            <v>0.54166666666666663</v>
          </cell>
          <cell r="J865">
            <v>0.75</v>
          </cell>
          <cell r="K865">
            <v>5</v>
          </cell>
          <cell r="L865">
            <v>90.6</v>
          </cell>
          <cell r="O865" t="str">
            <v>Y</v>
          </cell>
          <cell r="P865" t="str">
            <v>N</v>
          </cell>
          <cell r="Q865" t="str">
            <v>Vacancy</v>
          </cell>
          <cell r="S865">
            <v>0.13</v>
          </cell>
        </row>
        <row r="866">
          <cell r="D866">
            <v>908005710</v>
          </cell>
          <cell r="E866" t="str">
            <v>TRUST CHIWUNDURA</v>
          </cell>
          <cell r="F866" t="str">
            <v>A (Ch)</v>
          </cell>
          <cell r="G866">
            <v>16754</v>
          </cell>
          <cell r="H866" t="str">
            <v>Choice</v>
          </cell>
          <cell r="I866">
            <v>0.83333333333333337</v>
          </cell>
          <cell r="J866">
            <v>0.33333333333333331</v>
          </cell>
          <cell r="K866">
            <v>11.3333333333333</v>
          </cell>
          <cell r="L866">
            <v>167.58</v>
          </cell>
          <cell r="O866" t="str">
            <v>Y</v>
          </cell>
          <cell r="P866" t="str">
            <v>N</v>
          </cell>
          <cell r="Q866" t="str">
            <v>Vacancy</v>
          </cell>
          <cell r="S866">
            <v>0.3</v>
          </cell>
        </row>
        <row r="867">
          <cell r="D867">
            <v>908003525</v>
          </cell>
          <cell r="E867" t="str">
            <v>ANNA BONNERUP</v>
          </cell>
          <cell r="F867" t="str">
            <v>D / 5 General (</v>
          </cell>
          <cell r="G867" t="str">
            <v>604-150146</v>
          </cell>
          <cell r="H867" t="str">
            <v>Blue Arrow</v>
          </cell>
          <cell r="I867">
            <v>0.3125</v>
          </cell>
          <cell r="J867">
            <v>0.54166666666666663</v>
          </cell>
          <cell r="K867">
            <v>5.5</v>
          </cell>
          <cell r="L867">
            <v>92.84</v>
          </cell>
          <cell r="O867" t="str">
            <v>Y</v>
          </cell>
          <cell r="P867" t="str">
            <v>N</v>
          </cell>
          <cell r="Q867" t="str">
            <v>Vacancy</v>
          </cell>
          <cell r="S867">
            <v>0.15</v>
          </cell>
        </row>
        <row r="868">
          <cell r="D868">
            <v>908003528</v>
          </cell>
          <cell r="E868" t="str">
            <v>ANNA BONNERUP</v>
          </cell>
          <cell r="F868" t="str">
            <v>D / 5 General (</v>
          </cell>
          <cell r="G868" t="str">
            <v>604-150146</v>
          </cell>
          <cell r="H868" t="str">
            <v>Blue Arrow</v>
          </cell>
          <cell r="I868">
            <v>0.625</v>
          </cell>
          <cell r="J868">
            <v>0.85416666666666663</v>
          </cell>
          <cell r="K868">
            <v>5.5</v>
          </cell>
          <cell r="L868">
            <v>92.84</v>
          </cell>
          <cell r="O868" t="str">
            <v>Y</v>
          </cell>
          <cell r="P868" t="str">
            <v>N</v>
          </cell>
          <cell r="Q868" t="str">
            <v>Vacancy</v>
          </cell>
          <cell r="S868">
            <v>0.15</v>
          </cell>
        </row>
        <row r="869">
          <cell r="D869">
            <v>808003718</v>
          </cell>
          <cell r="E869" t="str">
            <v>BRIGHTNESS NDEBELE</v>
          </cell>
          <cell r="F869" t="str">
            <v>D (MD)</v>
          </cell>
          <cell r="G869">
            <v>330969</v>
          </cell>
          <cell r="H869" t="str">
            <v>Mayday</v>
          </cell>
          <cell r="I869">
            <v>0.3125</v>
          </cell>
          <cell r="J869">
            <v>0.64583333333333337</v>
          </cell>
          <cell r="K869">
            <v>7.6666666666666696</v>
          </cell>
          <cell r="L869">
            <v>247.56</v>
          </cell>
          <cell r="O869" t="str">
            <v>Y</v>
          </cell>
          <cell r="P869" t="str">
            <v>N</v>
          </cell>
          <cell r="Q869" t="str">
            <v>Extra Capacity</v>
          </cell>
          <cell r="S869">
            <v>0.2</v>
          </cell>
        </row>
        <row r="870">
          <cell r="D870">
            <v>808003760</v>
          </cell>
          <cell r="E870" t="str">
            <v>BRIGHTNESS NDEBELE</v>
          </cell>
          <cell r="F870" t="str">
            <v>D (MD)</v>
          </cell>
          <cell r="G870">
            <v>330969</v>
          </cell>
          <cell r="H870" t="str">
            <v>Mayday</v>
          </cell>
          <cell r="I870">
            <v>0.64583333333333337</v>
          </cell>
          <cell r="J870">
            <v>0.85416666666666663</v>
          </cell>
          <cell r="K870">
            <v>5</v>
          </cell>
          <cell r="L870">
            <v>161.44999999999999</v>
          </cell>
          <cell r="O870" t="str">
            <v>Y</v>
          </cell>
          <cell r="P870" t="str">
            <v>N</v>
          </cell>
          <cell r="Q870" t="str">
            <v>Extra Capacity</v>
          </cell>
          <cell r="S870">
            <v>0.13</v>
          </cell>
        </row>
        <row r="871">
          <cell r="D871">
            <v>908005099</v>
          </cell>
          <cell r="E871" t="str">
            <v>CARL HIBBERT</v>
          </cell>
          <cell r="F871" t="str">
            <v>D (Ch)</v>
          </cell>
          <cell r="G871">
            <v>16735</v>
          </cell>
          <cell r="H871" t="str">
            <v>Choice</v>
          </cell>
          <cell r="I871">
            <v>0.83333333333333337</v>
          </cell>
          <cell r="J871">
            <v>0.33333333333333331</v>
          </cell>
          <cell r="K871">
            <v>11.3333333333333</v>
          </cell>
          <cell r="L871">
            <v>359.05</v>
          </cell>
          <cell r="O871" t="str">
            <v>Y</v>
          </cell>
          <cell r="P871" t="str">
            <v>N</v>
          </cell>
          <cell r="Q871" t="str">
            <v>Extra Capacity</v>
          </cell>
          <cell r="S871">
            <v>0.3</v>
          </cell>
        </row>
        <row r="872">
          <cell r="D872">
            <v>808005053</v>
          </cell>
          <cell r="E872" t="str">
            <v>CHRIS STULAR</v>
          </cell>
          <cell r="F872" t="str">
            <v>D General (Orio</v>
          </cell>
          <cell r="G872" t="str">
            <v>Invsd Smt checked</v>
          </cell>
          <cell r="H872" t="str">
            <v>Orion</v>
          </cell>
          <cell r="I872">
            <v>0.33333333333333331</v>
          </cell>
          <cell r="J872">
            <v>0.75</v>
          </cell>
          <cell r="K872">
            <v>9.5</v>
          </cell>
          <cell r="L872">
            <v>172.14</v>
          </cell>
          <cell r="O872" t="str">
            <v>Y</v>
          </cell>
          <cell r="P872" t="str">
            <v>N</v>
          </cell>
          <cell r="Q872" t="str">
            <v>Vacancy</v>
          </cell>
          <cell r="S872">
            <v>0.25</v>
          </cell>
        </row>
        <row r="873">
          <cell r="D873">
            <v>808003880</v>
          </cell>
          <cell r="E873" t="str">
            <v>DIGRACIA  NAPE</v>
          </cell>
          <cell r="F873" t="str">
            <v>D (MD)</v>
          </cell>
          <cell r="G873">
            <v>330911</v>
          </cell>
          <cell r="H873" t="str">
            <v>Mayday</v>
          </cell>
          <cell r="I873">
            <v>0.3125</v>
          </cell>
          <cell r="J873">
            <v>0.64583333333333337</v>
          </cell>
          <cell r="K873">
            <v>7.6666666666666696</v>
          </cell>
          <cell r="L873">
            <v>247.56</v>
          </cell>
          <cell r="O873" t="str">
            <v>Y</v>
          </cell>
          <cell r="P873" t="str">
            <v>N</v>
          </cell>
          <cell r="Q873" t="str">
            <v>Extra Capacity</v>
          </cell>
          <cell r="S873">
            <v>0.2</v>
          </cell>
        </row>
        <row r="874">
          <cell r="D874">
            <v>908005711</v>
          </cell>
          <cell r="E874" t="str">
            <v>DOROTHY MUTHWA</v>
          </cell>
          <cell r="F874" t="str">
            <v>A (Ch)</v>
          </cell>
          <cell r="H874" t="str">
            <v>Choice</v>
          </cell>
          <cell r="I874">
            <v>0.3125</v>
          </cell>
          <cell r="J874">
            <v>0.54166666666666663</v>
          </cell>
          <cell r="K874">
            <v>12.3333333333333</v>
          </cell>
          <cell r="L874">
            <v>136.78</v>
          </cell>
          <cell r="O874" t="str">
            <v>Y</v>
          </cell>
          <cell r="P874" t="str">
            <v>N</v>
          </cell>
          <cell r="Q874" t="str">
            <v>Vacancy</v>
          </cell>
          <cell r="S874">
            <v>0.33</v>
          </cell>
        </row>
        <row r="875">
          <cell r="D875">
            <v>908005989</v>
          </cell>
          <cell r="E875" t="str">
            <v>ELENITA ARENAS</v>
          </cell>
          <cell r="F875" t="str">
            <v>D (Amb)</v>
          </cell>
          <cell r="G875">
            <v>745048</v>
          </cell>
          <cell r="H875" t="str">
            <v>Ambition</v>
          </cell>
          <cell r="I875">
            <v>0.3125</v>
          </cell>
          <cell r="J875">
            <v>0.79166666666666663</v>
          </cell>
          <cell r="K875">
            <v>12.3333333333333</v>
          </cell>
          <cell r="L875">
            <v>482.23</v>
          </cell>
          <cell r="O875" t="str">
            <v>Y</v>
          </cell>
          <cell r="P875" t="str">
            <v>N</v>
          </cell>
          <cell r="Q875" t="str">
            <v>On-Call</v>
          </cell>
          <cell r="S875">
            <v>0.33</v>
          </cell>
        </row>
        <row r="876">
          <cell r="D876">
            <v>908001697</v>
          </cell>
          <cell r="E876" t="str">
            <v>ELIZABETH MHASHU</v>
          </cell>
          <cell r="F876" t="str">
            <v>D (MD)</v>
          </cell>
          <cell r="G876">
            <v>331682</v>
          </cell>
          <cell r="H876" t="str">
            <v>Mayday</v>
          </cell>
          <cell r="I876">
            <v>0.82291666666666663</v>
          </cell>
          <cell r="J876">
            <v>0.34375</v>
          </cell>
          <cell r="K876">
            <v>11.5</v>
          </cell>
          <cell r="L876">
            <v>482.74</v>
          </cell>
          <cell r="O876" t="str">
            <v>Y</v>
          </cell>
          <cell r="P876" t="str">
            <v>N</v>
          </cell>
          <cell r="Q876" t="str">
            <v>Under Established</v>
          </cell>
          <cell r="S876">
            <v>0.31</v>
          </cell>
        </row>
        <row r="877">
          <cell r="D877">
            <v>908002556</v>
          </cell>
          <cell r="E877" t="str">
            <v>EMMA FLIT-ELY</v>
          </cell>
          <cell r="F877" t="str">
            <v>D (Ch)</v>
          </cell>
          <cell r="G877">
            <v>16743</v>
          </cell>
          <cell r="H877" t="str">
            <v>Choice</v>
          </cell>
          <cell r="I877">
            <v>0.3125</v>
          </cell>
          <cell r="J877">
            <v>0.5625</v>
          </cell>
          <cell r="K877">
            <v>5.6666666666666696</v>
          </cell>
          <cell r="L877">
            <v>138.1</v>
          </cell>
          <cell r="O877" t="str">
            <v>Y</v>
          </cell>
          <cell r="P877" t="str">
            <v>N</v>
          </cell>
          <cell r="Q877" t="str">
            <v>Vacancy</v>
          </cell>
          <cell r="S877">
            <v>0.15</v>
          </cell>
        </row>
        <row r="878">
          <cell r="D878">
            <v>908005287</v>
          </cell>
          <cell r="E878" t="str">
            <v>FATIMA UMARU</v>
          </cell>
          <cell r="F878" t="str">
            <v>D (MD)</v>
          </cell>
          <cell r="G878">
            <v>331688</v>
          </cell>
          <cell r="H878" t="str">
            <v>Mayday</v>
          </cell>
          <cell r="I878">
            <v>0.83333333333333337</v>
          </cell>
          <cell r="J878">
            <v>0.33333333333333331</v>
          </cell>
          <cell r="K878">
            <v>11.3333333333333</v>
          </cell>
          <cell r="L878">
            <v>475.74</v>
          </cell>
          <cell r="O878" t="str">
            <v>Y</v>
          </cell>
          <cell r="P878" t="str">
            <v>N</v>
          </cell>
          <cell r="Q878" t="str">
            <v>Extra Capacity</v>
          </cell>
          <cell r="S878">
            <v>0.3</v>
          </cell>
        </row>
        <row r="879">
          <cell r="D879">
            <v>908005685</v>
          </cell>
          <cell r="E879" t="str">
            <v>FIONA DURKIN-GREER</v>
          </cell>
          <cell r="F879" t="str">
            <v>D (Amb)</v>
          </cell>
          <cell r="G879">
            <v>746131</v>
          </cell>
          <cell r="H879" t="str">
            <v>Ambition</v>
          </cell>
          <cell r="I879">
            <v>0.625</v>
          </cell>
          <cell r="J879">
            <v>0.85416666666666663</v>
          </cell>
          <cell r="K879">
            <v>5.5</v>
          </cell>
          <cell r="L879">
            <v>215.05</v>
          </cell>
          <cell r="O879" t="str">
            <v>Y</v>
          </cell>
          <cell r="P879" t="str">
            <v>N</v>
          </cell>
          <cell r="Q879" t="str">
            <v>Extra Capacity</v>
          </cell>
          <cell r="S879">
            <v>0.15</v>
          </cell>
        </row>
        <row r="880">
          <cell r="D880">
            <v>908005105</v>
          </cell>
          <cell r="E880" t="str">
            <v>GRACE CHIKWAVA</v>
          </cell>
          <cell r="F880" t="str">
            <v>D (Ch)</v>
          </cell>
          <cell r="G880">
            <v>16739</v>
          </cell>
          <cell r="H880" t="str">
            <v>Choice</v>
          </cell>
          <cell r="I880">
            <v>0.3125</v>
          </cell>
          <cell r="J880">
            <v>0.85416666666666663</v>
          </cell>
          <cell r="K880">
            <v>12.3333333333333</v>
          </cell>
          <cell r="L880">
            <v>300.56</v>
          </cell>
          <cell r="O880" t="str">
            <v>Y</v>
          </cell>
          <cell r="P880" t="str">
            <v>N</v>
          </cell>
          <cell r="Q880" t="str">
            <v>Extra Capacity</v>
          </cell>
          <cell r="S880">
            <v>0.33</v>
          </cell>
        </row>
        <row r="881">
          <cell r="D881">
            <v>908001292</v>
          </cell>
          <cell r="E881" t="str">
            <v>JANE DUNSMURE</v>
          </cell>
          <cell r="F881" t="str">
            <v>D/5 (PS)</v>
          </cell>
          <cell r="H881" t="str">
            <v>Pinnacle Staffing</v>
          </cell>
          <cell r="I881">
            <v>0.88541666666666663</v>
          </cell>
          <cell r="J881">
            <v>0.3125</v>
          </cell>
          <cell r="K881">
            <v>9.9166666666666696</v>
          </cell>
          <cell r="L881">
            <v>219.03</v>
          </cell>
          <cell r="O881" t="str">
            <v>Y</v>
          </cell>
          <cell r="P881" t="str">
            <v>N</v>
          </cell>
          <cell r="Q881" t="str">
            <v>Vacancy</v>
          </cell>
          <cell r="S881">
            <v>0.26</v>
          </cell>
        </row>
        <row r="882">
          <cell r="D882">
            <v>808003901</v>
          </cell>
          <cell r="E882" t="str">
            <v>JEAN NGONA</v>
          </cell>
          <cell r="F882" t="str">
            <v>D (MD)</v>
          </cell>
          <cell r="G882">
            <v>333822</v>
          </cell>
          <cell r="H882" t="str">
            <v>Mayday</v>
          </cell>
          <cell r="I882">
            <v>0.64583333333333337</v>
          </cell>
          <cell r="J882">
            <v>0.85416666666666663</v>
          </cell>
          <cell r="K882">
            <v>5</v>
          </cell>
          <cell r="L882">
            <v>161.44999999999999</v>
          </cell>
          <cell r="O882" t="str">
            <v>Y</v>
          </cell>
          <cell r="P882" t="str">
            <v>N</v>
          </cell>
          <cell r="Q882" t="str">
            <v>Extra Capacity</v>
          </cell>
          <cell r="S882">
            <v>0.13</v>
          </cell>
        </row>
        <row r="883">
          <cell r="D883">
            <v>908004637</v>
          </cell>
          <cell r="E883" t="str">
            <v>JEAN NGONA</v>
          </cell>
          <cell r="F883" t="str">
            <v>D (MD)</v>
          </cell>
          <cell r="G883">
            <v>333822</v>
          </cell>
          <cell r="H883" t="str">
            <v>Mayday</v>
          </cell>
          <cell r="I883">
            <v>0.3125</v>
          </cell>
          <cell r="J883">
            <v>0.625</v>
          </cell>
          <cell r="K883">
            <v>7.1666666666666696</v>
          </cell>
          <cell r="L883">
            <v>231.41</v>
          </cell>
          <cell r="O883" t="str">
            <v>Y</v>
          </cell>
          <cell r="P883" t="str">
            <v>N</v>
          </cell>
          <cell r="Q883" t="str">
            <v>Vacancy</v>
          </cell>
          <cell r="S883">
            <v>0.19</v>
          </cell>
        </row>
        <row r="884">
          <cell r="D884">
            <v>908004448</v>
          </cell>
          <cell r="E884" t="str">
            <v>JOAN LEWIS</v>
          </cell>
          <cell r="F884" t="str">
            <v>D (MD)</v>
          </cell>
          <cell r="G884">
            <v>331067</v>
          </cell>
          <cell r="H884" t="str">
            <v>Mayday</v>
          </cell>
          <cell r="I884">
            <v>0.3125</v>
          </cell>
          <cell r="J884">
            <v>0.54166666666666663</v>
          </cell>
          <cell r="K884">
            <v>5.5</v>
          </cell>
          <cell r="L884">
            <v>177.59</v>
          </cell>
          <cell r="O884" t="str">
            <v>Y</v>
          </cell>
          <cell r="P884" t="str">
            <v>N</v>
          </cell>
          <cell r="Q884" t="str">
            <v>Extra Capacity</v>
          </cell>
          <cell r="S884">
            <v>0.15</v>
          </cell>
        </row>
        <row r="885">
          <cell r="D885">
            <v>908004450</v>
          </cell>
          <cell r="E885" t="str">
            <v>JOAN LEWIS</v>
          </cell>
          <cell r="F885" t="str">
            <v>D (MD)</v>
          </cell>
          <cell r="G885">
            <v>331067</v>
          </cell>
          <cell r="H885" t="str">
            <v>Mayday</v>
          </cell>
          <cell r="I885">
            <v>0.625</v>
          </cell>
          <cell r="J885">
            <v>0.85416666666666663</v>
          </cell>
          <cell r="K885">
            <v>5.5</v>
          </cell>
          <cell r="L885">
            <v>177.59</v>
          </cell>
          <cell r="O885" t="str">
            <v>Y</v>
          </cell>
          <cell r="P885" t="str">
            <v>N</v>
          </cell>
          <cell r="Q885" t="str">
            <v>Extra Capacity</v>
          </cell>
          <cell r="S885">
            <v>0.15</v>
          </cell>
        </row>
        <row r="886">
          <cell r="D886">
            <v>908003530</v>
          </cell>
          <cell r="E886" t="str">
            <v>JOSEPH BASS</v>
          </cell>
          <cell r="F886" t="str">
            <v>D (MD)</v>
          </cell>
          <cell r="G886">
            <v>331071</v>
          </cell>
          <cell r="H886" t="str">
            <v>Mayday</v>
          </cell>
          <cell r="I886">
            <v>0.83333333333333337</v>
          </cell>
          <cell r="J886">
            <v>0.33333333333333331</v>
          </cell>
          <cell r="K886">
            <v>11.3333333333333</v>
          </cell>
          <cell r="L886">
            <v>475.74</v>
          </cell>
          <cell r="O886" t="str">
            <v>Y</v>
          </cell>
          <cell r="P886" t="str">
            <v>N</v>
          </cell>
          <cell r="Q886" t="str">
            <v>Vacancy</v>
          </cell>
          <cell r="S886">
            <v>0.3</v>
          </cell>
        </row>
        <row r="887">
          <cell r="D887">
            <v>808003774</v>
          </cell>
          <cell r="E887" t="str">
            <v>JOY MABITLE</v>
          </cell>
          <cell r="F887" t="str">
            <v>D (MD)</v>
          </cell>
          <cell r="G887">
            <v>343818</v>
          </cell>
          <cell r="H887" t="str">
            <v>Mayday</v>
          </cell>
          <cell r="I887">
            <v>0.83333333333333337</v>
          </cell>
          <cell r="J887">
            <v>0.33333333333333331</v>
          </cell>
          <cell r="K887">
            <v>11.3333333333333</v>
          </cell>
          <cell r="L887">
            <v>475.74</v>
          </cell>
          <cell r="O887" t="str">
            <v>Y</v>
          </cell>
          <cell r="P887" t="str">
            <v>N</v>
          </cell>
          <cell r="Q887" t="str">
            <v>Extra Capacity</v>
          </cell>
          <cell r="S887">
            <v>0.3</v>
          </cell>
        </row>
        <row r="888">
          <cell r="D888">
            <v>908005801</v>
          </cell>
          <cell r="E888" t="str">
            <v>KARAN HEARNDEN</v>
          </cell>
          <cell r="F888" t="str">
            <v>D (Amb)</v>
          </cell>
          <cell r="G888">
            <v>745047</v>
          </cell>
          <cell r="H888" t="str">
            <v>Ambition</v>
          </cell>
          <cell r="I888">
            <v>0.58333333333333337</v>
          </cell>
          <cell r="J888">
            <v>0.89583333333333337</v>
          </cell>
          <cell r="K888">
            <v>7.1666666666666696</v>
          </cell>
          <cell r="L888">
            <v>280.22000000000003</v>
          </cell>
          <cell r="O888" t="str">
            <v>Y</v>
          </cell>
          <cell r="P888" t="str">
            <v>N</v>
          </cell>
          <cell r="Q888" t="str">
            <v>Short Term Sick</v>
          </cell>
          <cell r="S888">
            <v>0.19</v>
          </cell>
        </row>
        <row r="889">
          <cell r="D889">
            <v>908004625</v>
          </cell>
          <cell r="E889" t="str">
            <v>KAREN VAUGHAN</v>
          </cell>
          <cell r="F889" t="str">
            <v>D General (Orio</v>
          </cell>
          <cell r="G889" t="str">
            <v>Invsd Smt checked</v>
          </cell>
          <cell r="H889" t="str">
            <v>Orion</v>
          </cell>
          <cell r="I889">
            <v>0.33333333333333331</v>
          </cell>
          <cell r="J889">
            <v>0.75</v>
          </cell>
          <cell r="K889">
            <v>9.5</v>
          </cell>
          <cell r="L889">
            <v>172.14</v>
          </cell>
          <cell r="O889" t="str">
            <v>Y</v>
          </cell>
          <cell r="P889" t="str">
            <v>N</v>
          </cell>
          <cell r="Q889" t="str">
            <v>Vacancy</v>
          </cell>
          <cell r="S889">
            <v>0.25</v>
          </cell>
        </row>
        <row r="890">
          <cell r="D890">
            <v>808003866</v>
          </cell>
          <cell r="E890" t="str">
            <v>KIRSTY LAWLER</v>
          </cell>
          <cell r="F890" t="str">
            <v>D (MD)</v>
          </cell>
          <cell r="G890">
            <v>331678</v>
          </cell>
          <cell r="H890" t="str">
            <v>Mayday</v>
          </cell>
          <cell r="I890">
            <v>0.3125</v>
          </cell>
          <cell r="J890">
            <v>0.64583333333333337</v>
          </cell>
          <cell r="K890">
            <v>7.6666666666666696</v>
          </cell>
          <cell r="L890">
            <v>247.56</v>
          </cell>
          <cell r="O890" t="str">
            <v>Y</v>
          </cell>
          <cell r="P890" t="str">
            <v>N</v>
          </cell>
          <cell r="Q890" t="str">
            <v>Extra Capacity</v>
          </cell>
          <cell r="S890">
            <v>0.2</v>
          </cell>
        </row>
        <row r="891">
          <cell r="D891">
            <v>808003894</v>
          </cell>
          <cell r="E891" t="str">
            <v>KIRSTY LAWLER</v>
          </cell>
          <cell r="F891" t="str">
            <v>D (MD)</v>
          </cell>
          <cell r="G891">
            <v>331678</v>
          </cell>
          <cell r="H891" t="str">
            <v>Mayday</v>
          </cell>
          <cell r="I891">
            <v>0.64583333333333337</v>
          </cell>
          <cell r="J891">
            <v>0.85416666666666663</v>
          </cell>
          <cell r="K891">
            <v>5</v>
          </cell>
          <cell r="L891">
            <v>161.44999999999999</v>
          </cell>
          <cell r="O891" t="str">
            <v>Y</v>
          </cell>
          <cell r="P891" t="str">
            <v>N</v>
          </cell>
          <cell r="Q891" t="str">
            <v>Extra Capacity</v>
          </cell>
          <cell r="S891">
            <v>0.13</v>
          </cell>
        </row>
        <row r="892">
          <cell r="D892">
            <v>908004884</v>
          </cell>
          <cell r="E892" t="str">
            <v>LINDIWE DUBE</v>
          </cell>
          <cell r="F892" t="str">
            <v>D (Amb)</v>
          </cell>
          <cell r="G892">
            <v>746133</v>
          </cell>
          <cell r="H892" t="str">
            <v>Ambition</v>
          </cell>
          <cell r="I892">
            <v>0.625</v>
          </cell>
          <cell r="J892">
            <v>0.875</v>
          </cell>
          <cell r="K892">
            <v>5.6666666666666696</v>
          </cell>
          <cell r="L892">
            <v>221.57</v>
          </cell>
          <cell r="O892" t="str">
            <v>Y</v>
          </cell>
          <cell r="P892" t="str">
            <v>N</v>
          </cell>
          <cell r="Q892" t="str">
            <v>Short Term Sick</v>
          </cell>
          <cell r="S892">
            <v>0.15</v>
          </cell>
        </row>
        <row r="893">
          <cell r="D893">
            <v>808003781</v>
          </cell>
          <cell r="E893" t="str">
            <v>MABEL MNISI</v>
          </cell>
          <cell r="F893" t="str">
            <v>D (MD)</v>
          </cell>
          <cell r="G893">
            <v>331973</v>
          </cell>
          <cell r="H893" t="str">
            <v>Mayday</v>
          </cell>
          <cell r="I893">
            <v>0.83333333333333337</v>
          </cell>
          <cell r="J893">
            <v>0.33333333333333331</v>
          </cell>
          <cell r="K893">
            <v>11.3333333333333</v>
          </cell>
          <cell r="L893">
            <v>475.74</v>
          </cell>
          <cell r="O893" t="str">
            <v>Y</v>
          </cell>
          <cell r="P893" t="str">
            <v>N</v>
          </cell>
          <cell r="Q893" t="str">
            <v>Extra Capacity</v>
          </cell>
          <cell r="S893">
            <v>0.3</v>
          </cell>
        </row>
        <row r="894">
          <cell r="D894">
            <v>808003873</v>
          </cell>
          <cell r="E894" t="str">
            <v>MELISSA SMITH</v>
          </cell>
          <cell r="F894" t="str">
            <v>D/5 (PS)</v>
          </cell>
          <cell r="H894" t="str">
            <v>Pinnacle Staffing</v>
          </cell>
          <cell r="I894">
            <v>0.3125</v>
          </cell>
          <cell r="J894">
            <v>0.64583333333333337</v>
          </cell>
          <cell r="K894">
            <v>7.6666666666666696</v>
          </cell>
          <cell r="L894">
            <v>130.26</v>
          </cell>
          <cell r="O894" t="str">
            <v>Y</v>
          </cell>
          <cell r="P894" t="str">
            <v>N</v>
          </cell>
          <cell r="Q894" t="str">
            <v>Extra Capacity</v>
          </cell>
          <cell r="S894">
            <v>0.2</v>
          </cell>
        </row>
        <row r="895">
          <cell r="D895">
            <v>808003922</v>
          </cell>
          <cell r="E895" t="str">
            <v>NATHI ZULU</v>
          </cell>
          <cell r="F895" t="str">
            <v>D (MD)</v>
          </cell>
          <cell r="G895">
            <v>330909</v>
          </cell>
          <cell r="H895" t="str">
            <v>Mayday</v>
          </cell>
          <cell r="I895">
            <v>0.83333333333333337</v>
          </cell>
          <cell r="J895">
            <v>0.33333333333333331</v>
          </cell>
          <cell r="K895">
            <v>11.3333333333333</v>
          </cell>
          <cell r="L895">
            <v>475.74</v>
          </cell>
          <cell r="O895" t="str">
            <v>Y</v>
          </cell>
          <cell r="P895" t="str">
            <v>N</v>
          </cell>
          <cell r="Q895" t="str">
            <v>Extra Capacity</v>
          </cell>
          <cell r="S895">
            <v>0.3</v>
          </cell>
        </row>
        <row r="896">
          <cell r="D896">
            <v>908006396</v>
          </cell>
          <cell r="E896" t="str">
            <v>NIKKI ANDERTON</v>
          </cell>
          <cell r="F896" t="str">
            <v>D (MD)</v>
          </cell>
          <cell r="G896">
            <v>330857</v>
          </cell>
          <cell r="H896" t="str">
            <v>Mayday</v>
          </cell>
          <cell r="I896">
            <v>0.3125</v>
          </cell>
          <cell r="J896">
            <v>0.85416666666666663</v>
          </cell>
          <cell r="K896">
            <v>12.3333333333333</v>
          </cell>
          <cell r="L896">
            <v>398.24</v>
          </cell>
          <cell r="O896" t="str">
            <v>Y</v>
          </cell>
          <cell r="P896" t="str">
            <v>N</v>
          </cell>
          <cell r="Q896" t="str">
            <v>Acuity</v>
          </cell>
          <cell r="S896">
            <v>0.33</v>
          </cell>
        </row>
        <row r="897">
          <cell r="D897">
            <v>908004716</v>
          </cell>
          <cell r="E897" t="str">
            <v>PEGGY MAPOGO</v>
          </cell>
          <cell r="F897" t="str">
            <v>D (Ch)</v>
          </cell>
          <cell r="G897">
            <v>16745</v>
          </cell>
          <cell r="H897" t="str">
            <v>Choice</v>
          </cell>
          <cell r="I897">
            <v>0.3125</v>
          </cell>
          <cell r="J897">
            <v>0.85416666666666663</v>
          </cell>
          <cell r="K897">
            <v>12.3333333333333</v>
          </cell>
          <cell r="L897">
            <v>300.56</v>
          </cell>
          <cell r="O897" t="str">
            <v>Y</v>
          </cell>
          <cell r="P897" t="str">
            <v>N</v>
          </cell>
          <cell r="Q897" t="str">
            <v>Short Term Sick</v>
          </cell>
          <cell r="S897">
            <v>0.33</v>
          </cell>
        </row>
        <row r="898">
          <cell r="D898">
            <v>908006397</v>
          </cell>
          <cell r="E898" t="str">
            <v>RACHEL OBERDOFF</v>
          </cell>
          <cell r="F898" t="str">
            <v>D (MD)</v>
          </cell>
          <cell r="G898">
            <v>331352</v>
          </cell>
          <cell r="H898" t="str">
            <v>Mayday</v>
          </cell>
          <cell r="I898">
            <v>0.60416666666666663</v>
          </cell>
          <cell r="J898">
            <v>0.85416666666666663</v>
          </cell>
          <cell r="K898">
            <v>6</v>
          </cell>
          <cell r="L898">
            <v>193.74</v>
          </cell>
          <cell r="O898" t="str">
            <v>Y</v>
          </cell>
          <cell r="P898" t="str">
            <v>N</v>
          </cell>
          <cell r="Q898" t="str">
            <v>Acuity</v>
          </cell>
          <cell r="S898">
            <v>0.16</v>
          </cell>
        </row>
        <row r="899">
          <cell r="D899">
            <v>908005780</v>
          </cell>
          <cell r="E899" t="str">
            <v>SAM KELEM</v>
          </cell>
          <cell r="F899" t="str">
            <v>D (Ch)</v>
          </cell>
          <cell r="G899">
            <v>16734</v>
          </cell>
          <cell r="H899" t="str">
            <v>Choice</v>
          </cell>
          <cell r="I899">
            <v>0.83333333333333337</v>
          </cell>
          <cell r="J899">
            <v>0.33333333333333331</v>
          </cell>
          <cell r="K899">
            <v>11.3333333333333</v>
          </cell>
          <cell r="L899">
            <v>359.05</v>
          </cell>
          <cell r="O899" t="str">
            <v>Y</v>
          </cell>
          <cell r="P899" t="str">
            <v>N</v>
          </cell>
          <cell r="Q899" t="str">
            <v>Vacancy</v>
          </cell>
          <cell r="S899">
            <v>0.3</v>
          </cell>
        </row>
        <row r="900">
          <cell r="D900">
            <v>908004624</v>
          </cell>
          <cell r="E900" t="str">
            <v>TOM OSBOURNE</v>
          </cell>
          <cell r="F900" t="str">
            <v>D General (Orio</v>
          </cell>
          <cell r="G900" t="str">
            <v>Invsd Smt checked</v>
          </cell>
          <cell r="H900" t="str">
            <v>Orion</v>
          </cell>
          <cell r="I900">
            <v>0.33333333333333331</v>
          </cell>
          <cell r="J900">
            <v>0.75</v>
          </cell>
          <cell r="K900">
            <v>9.5</v>
          </cell>
          <cell r="L900">
            <v>172.14</v>
          </cell>
          <cell r="O900" t="str">
            <v>Y</v>
          </cell>
          <cell r="P900" t="str">
            <v>N</v>
          </cell>
          <cell r="Q900" t="str">
            <v>Vacancy</v>
          </cell>
          <cell r="S900">
            <v>0.25</v>
          </cell>
        </row>
        <row r="901">
          <cell r="D901">
            <v>808006701</v>
          </cell>
          <cell r="E901" t="str">
            <v>TONDERA MAKAZA</v>
          </cell>
          <cell r="F901" t="str">
            <v>A (Ch)</v>
          </cell>
          <cell r="H901" t="str">
            <v>Choice</v>
          </cell>
          <cell r="I901">
            <v>0.875</v>
          </cell>
          <cell r="J901">
            <v>0.3125</v>
          </cell>
          <cell r="K901">
            <v>10.1666666666667</v>
          </cell>
          <cell r="L901">
            <v>150.33000000000001</v>
          </cell>
          <cell r="O901" t="str">
            <v>Y</v>
          </cell>
          <cell r="P901" t="str">
            <v>N</v>
          </cell>
          <cell r="Q901" t="str">
            <v>Vacancy</v>
          </cell>
          <cell r="S901">
            <v>0.27</v>
          </cell>
        </row>
        <row r="902">
          <cell r="D902">
            <v>908005360</v>
          </cell>
          <cell r="E902" t="str">
            <v>BRIGHTNESS NDEBELE</v>
          </cell>
          <cell r="F902" t="str">
            <v>D (MD)</v>
          </cell>
          <cell r="G902">
            <v>330942</v>
          </cell>
          <cell r="H902" t="str">
            <v>Mayday</v>
          </cell>
          <cell r="I902">
            <v>0.29166666666666669</v>
          </cell>
          <cell r="J902">
            <v>0.58333333333333337</v>
          </cell>
          <cell r="K902">
            <v>6.1666666666666696</v>
          </cell>
          <cell r="L902">
            <v>199.12</v>
          </cell>
          <cell r="O902" t="str">
            <v>Y</v>
          </cell>
          <cell r="P902" t="str">
            <v>N</v>
          </cell>
          <cell r="Q902" t="str">
            <v>Vacancy</v>
          </cell>
          <cell r="S902">
            <v>0.16</v>
          </cell>
        </row>
        <row r="903">
          <cell r="D903">
            <v>908005503</v>
          </cell>
          <cell r="E903" t="str">
            <v>BRIGHTNESS NDEBELE</v>
          </cell>
          <cell r="F903" t="str">
            <v>D (MD)</v>
          </cell>
          <cell r="G903">
            <v>330943</v>
          </cell>
          <cell r="H903" t="str">
            <v>Mayday</v>
          </cell>
          <cell r="I903">
            <v>0.625</v>
          </cell>
          <cell r="J903">
            <v>0.84375</v>
          </cell>
          <cell r="K903">
            <v>5.25</v>
          </cell>
          <cell r="L903">
            <v>169.52</v>
          </cell>
          <cell r="O903" t="str">
            <v>Y</v>
          </cell>
          <cell r="P903" t="str">
            <v>N</v>
          </cell>
          <cell r="Q903" t="str">
            <v>Vacancy</v>
          </cell>
          <cell r="S903">
            <v>0.14000000000000001</v>
          </cell>
        </row>
        <row r="904">
          <cell r="D904">
            <v>908005664</v>
          </cell>
          <cell r="E904" t="str">
            <v>COLLEN SIBANDA</v>
          </cell>
          <cell r="F904" t="str">
            <v>D (Ch)</v>
          </cell>
          <cell r="G904">
            <v>16809</v>
          </cell>
          <cell r="H904" t="str">
            <v>Choice</v>
          </cell>
          <cell r="I904">
            <v>0.3125</v>
          </cell>
          <cell r="J904">
            <v>0.85416666666666663</v>
          </cell>
          <cell r="K904">
            <v>12.3333333333333</v>
          </cell>
          <cell r="L904">
            <v>300.56</v>
          </cell>
          <cell r="O904" t="str">
            <v>Y</v>
          </cell>
          <cell r="P904" t="str">
            <v>N</v>
          </cell>
          <cell r="Q904" t="str">
            <v>Extra Capacity</v>
          </cell>
          <cell r="S904">
            <v>0.33</v>
          </cell>
        </row>
        <row r="905">
          <cell r="D905">
            <v>908006404</v>
          </cell>
          <cell r="E905" t="str">
            <v>ELENOR PARAZO</v>
          </cell>
          <cell r="F905" t="str">
            <v>D (MD)</v>
          </cell>
          <cell r="G905">
            <v>331366</v>
          </cell>
          <cell r="H905" t="str">
            <v>Mayday</v>
          </cell>
          <cell r="I905">
            <v>0.83333333333333337</v>
          </cell>
          <cell r="J905">
            <v>0.33333333333333331</v>
          </cell>
          <cell r="K905">
            <v>11</v>
          </cell>
          <cell r="L905">
            <v>461.75</v>
          </cell>
          <cell r="O905" t="str">
            <v>Y</v>
          </cell>
          <cell r="P905" t="str">
            <v>N</v>
          </cell>
          <cell r="Q905" t="str">
            <v>Acuity</v>
          </cell>
          <cell r="S905">
            <v>0.28999999999999998</v>
          </cell>
        </row>
        <row r="906">
          <cell r="D906">
            <v>908004497</v>
          </cell>
          <cell r="E906" t="str">
            <v>GRACE CHIKWAVA</v>
          </cell>
          <cell r="F906" t="str">
            <v>D (Ch)</v>
          </cell>
          <cell r="G906">
            <v>16751</v>
          </cell>
          <cell r="H906" t="str">
            <v>Choice</v>
          </cell>
          <cell r="I906">
            <v>0.29166666666666669</v>
          </cell>
          <cell r="J906">
            <v>0.625</v>
          </cell>
          <cell r="K906">
            <v>7.5</v>
          </cell>
          <cell r="L906">
            <v>182.78</v>
          </cell>
          <cell r="O906" t="str">
            <v>Y</v>
          </cell>
          <cell r="P906" t="str">
            <v>N</v>
          </cell>
          <cell r="Q906" t="str">
            <v>Extra Capacity</v>
          </cell>
          <cell r="S906">
            <v>0.2</v>
          </cell>
        </row>
        <row r="907">
          <cell r="D907">
            <v>908004498</v>
          </cell>
          <cell r="E907" t="str">
            <v>GRACE CHIKWAVA</v>
          </cell>
          <cell r="F907" t="str">
            <v>D (Ch)</v>
          </cell>
          <cell r="G907">
            <v>16751</v>
          </cell>
          <cell r="H907" t="str">
            <v>Choice</v>
          </cell>
          <cell r="I907">
            <v>0.625</v>
          </cell>
          <cell r="J907">
            <v>0.89583333333333337</v>
          </cell>
          <cell r="K907">
            <v>5.6666666666666696</v>
          </cell>
          <cell r="L907">
            <v>138.1</v>
          </cell>
          <cell r="O907" t="str">
            <v>Y</v>
          </cell>
          <cell r="P907" t="str">
            <v>N</v>
          </cell>
          <cell r="Q907" t="str">
            <v>Extra Capacity</v>
          </cell>
          <cell r="S907">
            <v>0.15</v>
          </cell>
        </row>
        <row r="908">
          <cell r="D908">
            <v>908005291</v>
          </cell>
          <cell r="E908" t="str">
            <v>GRACE PANDARAOAM</v>
          </cell>
          <cell r="F908" t="str">
            <v>D (Ch)</v>
          </cell>
          <cell r="H908" t="str">
            <v>Choice</v>
          </cell>
          <cell r="I908">
            <v>0.83333333333333337</v>
          </cell>
          <cell r="J908">
            <v>0.33333333333333331</v>
          </cell>
          <cell r="K908">
            <v>11.3333333333333</v>
          </cell>
          <cell r="L908">
            <v>359.05</v>
          </cell>
          <cell r="O908" t="str">
            <v>Y</v>
          </cell>
          <cell r="P908" t="str">
            <v>N</v>
          </cell>
          <cell r="Q908" t="str">
            <v>Extra Capacity</v>
          </cell>
          <cell r="S908">
            <v>0.3</v>
          </cell>
        </row>
        <row r="909">
          <cell r="D909">
            <v>908005293</v>
          </cell>
          <cell r="E909" t="str">
            <v>HILDA SHANGE</v>
          </cell>
          <cell r="F909" t="str">
            <v>D (Ch)</v>
          </cell>
          <cell r="G909">
            <v>16791</v>
          </cell>
          <cell r="H909" t="str">
            <v>Choice</v>
          </cell>
          <cell r="I909">
            <v>0.83333333333333337</v>
          </cell>
          <cell r="J909">
            <v>0.33333333333333331</v>
          </cell>
          <cell r="K909">
            <v>11.3333333333333</v>
          </cell>
          <cell r="L909">
            <v>359.05</v>
          </cell>
          <cell r="O909" t="str">
            <v>Y</v>
          </cell>
          <cell r="P909" t="str">
            <v>N</v>
          </cell>
          <cell r="Q909" t="str">
            <v>Extra Capacity</v>
          </cell>
          <cell r="S909">
            <v>0.3</v>
          </cell>
        </row>
        <row r="910">
          <cell r="D910">
            <v>808003761</v>
          </cell>
          <cell r="E910" t="str">
            <v>JEAN NGONA</v>
          </cell>
          <cell r="F910" t="str">
            <v>D (MD)</v>
          </cell>
          <cell r="G910">
            <v>333822</v>
          </cell>
          <cell r="H910" t="str">
            <v>Mayday</v>
          </cell>
          <cell r="I910">
            <v>0.64583333333333337</v>
          </cell>
          <cell r="J910">
            <v>0.85416666666666663</v>
          </cell>
          <cell r="K910">
            <v>5</v>
          </cell>
          <cell r="L910">
            <v>161.44999999999999</v>
          </cell>
          <cell r="O910" t="str">
            <v>Y</v>
          </cell>
          <cell r="P910" t="str">
            <v>N</v>
          </cell>
          <cell r="Q910" t="str">
            <v>Extra Capacity</v>
          </cell>
          <cell r="S910">
            <v>0.13</v>
          </cell>
        </row>
        <row r="911">
          <cell r="D911">
            <v>908004638</v>
          </cell>
          <cell r="E911" t="str">
            <v>JEAN NGONA</v>
          </cell>
          <cell r="F911" t="str">
            <v>D (MD)</v>
          </cell>
          <cell r="G911">
            <v>333822</v>
          </cell>
          <cell r="H911" t="str">
            <v>Mayday</v>
          </cell>
          <cell r="I911">
            <v>0.3125</v>
          </cell>
          <cell r="J911">
            <v>0.625</v>
          </cell>
          <cell r="K911">
            <v>7.1666666666666696</v>
          </cell>
          <cell r="L911">
            <v>231.41</v>
          </cell>
          <cell r="O911" t="str">
            <v>Y</v>
          </cell>
          <cell r="P911" t="str">
            <v>N</v>
          </cell>
          <cell r="Q911" t="str">
            <v>Vacancy</v>
          </cell>
          <cell r="S911">
            <v>0.19</v>
          </cell>
        </row>
        <row r="912">
          <cell r="D912">
            <v>808003782</v>
          </cell>
          <cell r="E912" t="str">
            <v>JOY MABITLE</v>
          </cell>
          <cell r="F912" t="str">
            <v>D (MD)</v>
          </cell>
          <cell r="G912">
            <v>344322</v>
          </cell>
          <cell r="H912" t="str">
            <v>Mayday</v>
          </cell>
          <cell r="I912">
            <v>0.83333333333333337</v>
          </cell>
          <cell r="J912">
            <v>0.33333333333333331</v>
          </cell>
          <cell r="K912">
            <v>11.3333333333333</v>
          </cell>
          <cell r="L912">
            <v>475.74</v>
          </cell>
          <cell r="O912" t="str">
            <v>Y</v>
          </cell>
          <cell r="P912" t="str">
            <v>N</v>
          </cell>
          <cell r="Q912" t="str">
            <v>Extra Capacity</v>
          </cell>
          <cell r="S912">
            <v>0.3</v>
          </cell>
        </row>
        <row r="913">
          <cell r="D913">
            <v>908004627</v>
          </cell>
          <cell r="E913" t="str">
            <v>KAREN VAUGHAN</v>
          </cell>
          <cell r="F913" t="str">
            <v>D General (Orio</v>
          </cell>
          <cell r="G913" t="str">
            <v>Invsd Smt checked</v>
          </cell>
          <cell r="H913" t="str">
            <v>Orion</v>
          </cell>
          <cell r="I913">
            <v>0.33333333333333331</v>
          </cell>
          <cell r="J913">
            <v>0.75</v>
          </cell>
          <cell r="K913">
            <v>9.5</v>
          </cell>
          <cell r="L913">
            <v>172.14</v>
          </cell>
          <cell r="O913" t="str">
            <v>Y</v>
          </cell>
          <cell r="P913" t="str">
            <v>N</v>
          </cell>
          <cell r="Q913" t="str">
            <v>Vacancy</v>
          </cell>
          <cell r="S913">
            <v>0.25</v>
          </cell>
        </row>
        <row r="914">
          <cell r="D914">
            <v>808003712</v>
          </cell>
          <cell r="E914" t="str">
            <v>KIRSTY LAWLER</v>
          </cell>
          <cell r="F914" t="str">
            <v>D (MD)</v>
          </cell>
          <cell r="H914" t="str">
            <v>Mayday</v>
          </cell>
          <cell r="I914">
            <v>0.3125</v>
          </cell>
          <cell r="J914">
            <v>0.64583333333333337</v>
          </cell>
          <cell r="K914">
            <v>7.6666666666666696</v>
          </cell>
          <cell r="L914">
            <v>247.56</v>
          </cell>
          <cell r="O914" t="str">
            <v>Y</v>
          </cell>
          <cell r="P914" t="str">
            <v>N</v>
          </cell>
          <cell r="Q914" t="str">
            <v>Extra Capacity</v>
          </cell>
          <cell r="S914">
            <v>0.2</v>
          </cell>
        </row>
        <row r="915">
          <cell r="D915">
            <v>808003754</v>
          </cell>
          <cell r="E915" t="str">
            <v>KIRSTY LAWLER</v>
          </cell>
          <cell r="F915" t="str">
            <v>D (MD)</v>
          </cell>
          <cell r="H915" t="str">
            <v>Mayday</v>
          </cell>
          <cell r="I915">
            <v>0.64583333333333337</v>
          </cell>
          <cell r="J915">
            <v>0.85416666666666663</v>
          </cell>
          <cell r="K915">
            <v>5</v>
          </cell>
          <cell r="L915">
            <v>161.44999999999999</v>
          </cell>
          <cell r="O915" t="str">
            <v>Y</v>
          </cell>
          <cell r="P915" t="str">
            <v>N</v>
          </cell>
          <cell r="Q915" t="str">
            <v>Extra Capacity</v>
          </cell>
          <cell r="S915">
            <v>0.13</v>
          </cell>
        </row>
        <row r="916">
          <cell r="D916">
            <v>908005991</v>
          </cell>
          <cell r="E916" t="str">
            <v>KUDA SAMURIWO</v>
          </cell>
          <cell r="F916" t="str">
            <v>A (Ch)</v>
          </cell>
          <cell r="G916">
            <v>16752</v>
          </cell>
          <cell r="H916" t="str">
            <v>Choice</v>
          </cell>
          <cell r="I916">
            <v>0.625</v>
          </cell>
          <cell r="J916">
            <v>0.89583333333333337</v>
          </cell>
          <cell r="K916">
            <v>6.1666666666666696</v>
          </cell>
          <cell r="L916">
            <v>68.39</v>
          </cell>
          <cell r="O916" t="str">
            <v>Y</v>
          </cell>
          <cell r="P916" t="str">
            <v>N</v>
          </cell>
          <cell r="Q916" t="str">
            <v>Short Term Sick</v>
          </cell>
          <cell r="S916">
            <v>0.16</v>
          </cell>
        </row>
        <row r="917">
          <cell r="D917">
            <v>908004499</v>
          </cell>
          <cell r="E917" t="str">
            <v>LETECIA MENIANO</v>
          </cell>
          <cell r="F917" t="str">
            <v>D (Ch)</v>
          </cell>
          <cell r="G917">
            <v>16751</v>
          </cell>
          <cell r="H917" t="str">
            <v>Choice</v>
          </cell>
          <cell r="I917">
            <v>0.875</v>
          </cell>
          <cell r="J917">
            <v>0.3125</v>
          </cell>
          <cell r="K917">
            <v>9.5</v>
          </cell>
          <cell r="L917">
            <v>300.97000000000003</v>
          </cell>
          <cell r="O917" t="str">
            <v>Y</v>
          </cell>
          <cell r="P917" t="str">
            <v>N</v>
          </cell>
          <cell r="Q917" t="str">
            <v>Extra Capacity</v>
          </cell>
          <cell r="S917">
            <v>0.25</v>
          </cell>
        </row>
        <row r="918">
          <cell r="D918">
            <v>908004717</v>
          </cell>
          <cell r="E918" t="str">
            <v>PEGGY MAPOGO</v>
          </cell>
          <cell r="F918" t="str">
            <v>D (Ch)</v>
          </cell>
          <cell r="G918">
            <v>16745</v>
          </cell>
          <cell r="H918" t="str">
            <v>Choice</v>
          </cell>
          <cell r="I918">
            <v>0.3125</v>
          </cell>
          <cell r="J918">
            <v>0.60416666666666663</v>
          </cell>
          <cell r="K918">
            <v>6.6666666666666696</v>
          </cell>
          <cell r="L918">
            <v>162.47</v>
          </cell>
          <cell r="O918" t="str">
            <v>Y</v>
          </cell>
          <cell r="P918" t="str">
            <v>N</v>
          </cell>
          <cell r="Q918" t="str">
            <v>Short Term Sick</v>
          </cell>
          <cell r="S918">
            <v>0.18</v>
          </cell>
        </row>
        <row r="919">
          <cell r="D919">
            <v>908006009</v>
          </cell>
          <cell r="E919" t="str">
            <v>RODA RAMERIZ</v>
          </cell>
          <cell r="F919" t="str">
            <v>D (Ch)</v>
          </cell>
          <cell r="G919">
            <v>16742</v>
          </cell>
          <cell r="H919" t="str">
            <v>Choice</v>
          </cell>
          <cell r="I919">
            <v>0.82291666666666663</v>
          </cell>
          <cell r="J919">
            <v>0.34375</v>
          </cell>
          <cell r="K919">
            <v>10.5</v>
          </cell>
          <cell r="L919">
            <v>332.65</v>
          </cell>
          <cell r="O919" t="str">
            <v>Y</v>
          </cell>
          <cell r="P919" t="str">
            <v>N</v>
          </cell>
          <cell r="Q919" t="str">
            <v>Vacancy</v>
          </cell>
          <cell r="S919">
            <v>0.28000000000000003</v>
          </cell>
        </row>
        <row r="920">
          <cell r="D920">
            <v>908006146</v>
          </cell>
          <cell r="E920" t="str">
            <v>SAM KELEM</v>
          </cell>
          <cell r="F920" t="str">
            <v>D (Ch)</v>
          </cell>
          <cell r="G920">
            <v>16752</v>
          </cell>
          <cell r="H920" t="str">
            <v>Choice</v>
          </cell>
          <cell r="I920">
            <v>0.875</v>
          </cell>
          <cell r="J920">
            <v>0.32291666666666669</v>
          </cell>
          <cell r="K920">
            <v>10</v>
          </cell>
          <cell r="L920">
            <v>316.81</v>
          </cell>
          <cell r="O920" t="str">
            <v>Y</v>
          </cell>
          <cell r="P920" t="str">
            <v>N</v>
          </cell>
          <cell r="Q920" t="str">
            <v>Extra Capacity</v>
          </cell>
          <cell r="S920">
            <v>0.27</v>
          </cell>
        </row>
        <row r="921">
          <cell r="D921">
            <v>908006145</v>
          </cell>
          <cell r="E921" t="str">
            <v>SAMSON BARACENA</v>
          </cell>
          <cell r="F921" t="str">
            <v>D (Ch)</v>
          </cell>
          <cell r="G921">
            <v>16749</v>
          </cell>
          <cell r="H921" t="str">
            <v>Choice</v>
          </cell>
          <cell r="I921">
            <v>0.83333333333333337</v>
          </cell>
          <cell r="J921">
            <v>0.33333333333333331</v>
          </cell>
          <cell r="K921">
            <v>11.3333333333333</v>
          </cell>
          <cell r="L921">
            <v>359.05</v>
          </cell>
          <cell r="O921" t="str">
            <v>Y</v>
          </cell>
          <cell r="P921" t="str">
            <v>N</v>
          </cell>
          <cell r="Q921" t="str">
            <v>Short Term Sick</v>
          </cell>
          <cell r="S921">
            <v>0.3</v>
          </cell>
        </row>
        <row r="922">
          <cell r="D922">
            <v>908004453</v>
          </cell>
          <cell r="E922" t="str">
            <v>TAMBU JENA</v>
          </cell>
          <cell r="F922" t="str">
            <v>D (Ch)</v>
          </cell>
          <cell r="G922">
            <v>16754</v>
          </cell>
          <cell r="H922" t="str">
            <v>Choice</v>
          </cell>
          <cell r="I922">
            <v>0.3125</v>
          </cell>
          <cell r="J922">
            <v>0.54166666666666663</v>
          </cell>
          <cell r="K922">
            <v>5.5</v>
          </cell>
          <cell r="L922">
            <v>134.03</v>
          </cell>
          <cell r="O922" t="str">
            <v>Y</v>
          </cell>
          <cell r="P922" t="str">
            <v>N</v>
          </cell>
          <cell r="Q922" t="str">
            <v>Extra Capacity</v>
          </cell>
          <cell r="S922">
            <v>0.15</v>
          </cell>
        </row>
        <row r="923">
          <cell r="D923">
            <v>908006406</v>
          </cell>
          <cell r="E923" t="str">
            <v>THEMBE NHOSE</v>
          </cell>
          <cell r="F923" t="str">
            <v>D (MD)</v>
          </cell>
          <cell r="G923">
            <v>331363</v>
          </cell>
          <cell r="H923" t="str">
            <v>Mayday</v>
          </cell>
          <cell r="I923">
            <v>0.83333333333333337</v>
          </cell>
          <cell r="J923">
            <v>0.33333333333333331</v>
          </cell>
          <cell r="K923">
            <v>11</v>
          </cell>
          <cell r="L923">
            <v>461.75</v>
          </cell>
          <cell r="O923" t="str">
            <v>Y</v>
          </cell>
          <cell r="P923" t="str">
            <v>N</v>
          </cell>
          <cell r="Q923" t="str">
            <v>Acuity</v>
          </cell>
          <cell r="S923">
            <v>0.28999999999999998</v>
          </cell>
        </row>
        <row r="924">
          <cell r="D924">
            <v>908004626</v>
          </cell>
          <cell r="E924" t="str">
            <v>TOM OSBOURNE</v>
          </cell>
          <cell r="F924" t="str">
            <v>D General (Orio</v>
          </cell>
          <cell r="G924" t="str">
            <v>Invsd Smt checked</v>
          </cell>
          <cell r="H924" t="str">
            <v>Orion</v>
          </cell>
          <cell r="I924">
            <v>0.33333333333333331</v>
          </cell>
          <cell r="J924">
            <v>0.75</v>
          </cell>
          <cell r="K924">
            <v>9.5</v>
          </cell>
          <cell r="L924">
            <v>172.14</v>
          </cell>
          <cell r="O924" t="str">
            <v>Y</v>
          </cell>
          <cell r="P924" t="str">
            <v>N</v>
          </cell>
          <cell r="Q924" t="str">
            <v>Vacancy</v>
          </cell>
          <cell r="S924">
            <v>0.25</v>
          </cell>
        </row>
        <row r="925">
          <cell r="D925">
            <v>908006364</v>
          </cell>
          <cell r="E925" t="str">
            <v>TRUST CHIWUNDURA</v>
          </cell>
          <cell r="F925" t="str">
            <v>A (Ch)</v>
          </cell>
          <cell r="G925">
            <v>16735</v>
          </cell>
          <cell r="H925" t="str">
            <v>Choice</v>
          </cell>
          <cell r="I925">
            <v>0.875</v>
          </cell>
          <cell r="J925">
            <v>0.3125</v>
          </cell>
          <cell r="K925">
            <v>10.1666666666667</v>
          </cell>
          <cell r="L925">
            <v>150.33000000000001</v>
          </cell>
          <cell r="O925" t="str">
            <v>Y</v>
          </cell>
          <cell r="P925" t="str">
            <v>N</v>
          </cell>
          <cell r="Q925" t="str">
            <v>On-Call</v>
          </cell>
          <cell r="S925">
            <v>0.27</v>
          </cell>
        </row>
        <row r="926">
          <cell r="D926">
            <v>908005987</v>
          </cell>
          <cell r="E926" t="str">
            <v>VICKY MILLER</v>
          </cell>
          <cell r="F926" t="str">
            <v>D/5 (PS)</v>
          </cell>
          <cell r="H926" t="str">
            <v>Pinnacle Staffing</v>
          </cell>
          <cell r="I926">
            <v>0.3125</v>
          </cell>
          <cell r="J926">
            <v>0.85416666666666663</v>
          </cell>
          <cell r="K926">
            <v>12.3333333333333</v>
          </cell>
          <cell r="L926">
            <v>209.54</v>
          </cell>
          <cell r="O926" t="str">
            <v>Y</v>
          </cell>
          <cell r="P926" t="str">
            <v>N</v>
          </cell>
          <cell r="Q926" t="str">
            <v>Extra Capacity</v>
          </cell>
          <cell r="S926">
            <v>0.33</v>
          </cell>
        </row>
        <row r="927">
          <cell r="D927">
            <v>908003544</v>
          </cell>
          <cell r="E927" t="str">
            <v>ANNA BONNERUP</v>
          </cell>
          <cell r="F927" t="str">
            <v>D / 5 General (</v>
          </cell>
          <cell r="G927" t="str">
            <v>604-150146</v>
          </cell>
          <cell r="H927" t="str">
            <v>Blue Arrow</v>
          </cell>
          <cell r="I927">
            <v>0.3125</v>
          </cell>
          <cell r="J927">
            <v>0.54166666666666663</v>
          </cell>
          <cell r="K927">
            <v>5.5</v>
          </cell>
          <cell r="L927">
            <v>120.69</v>
          </cell>
          <cell r="O927" t="str">
            <v>Y</v>
          </cell>
          <cell r="P927" t="str">
            <v>N</v>
          </cell>
          <cell r="Q927" t="str">
            <v>Vacancy</v>
          </cell>
          <cell r="S927">
            <v>0.15</v>
          </cell>
        </row>
        <row r="928">
          <cell r="D928">
            <v>908003555</v>
          </cell>
          <cell r="E928" t="str">
            <v>ANNA BONNERUP</v>
          </cell>
          <cell r="F928" t="str">
            <v>D / 5 General (</v>
          </cell>
          <cell r="G928" t="str">
            <v>604-150146</v>
          </cell>
          <cell r="H928" t="str">
            <v>Blue Arrow</v>
          </cell>
          <cell r="I928">
            <v>0.625</v>
          </cell>
          <cell r="J928">
            <v>0.85416666666666663</v>
          </cell>
          <cell r="K928">
            <v>5.5</v>
          </cell>
          <cell r="L928">
            <v>120.69</v>
          </cell>
          <cell r="O928" t="str">
            <v>Y</v>
          </cell>
          <cell r="P928" t="str">
            <v>N</v>
          </cell>
          <cell r="Q928" t="str">
            <v>Vacancy</v>
          </cell>
          <cell r="S928">
            <v>0.15</v>
          </cell>
        </row>
        <row r="929">
          <cell r="D929">
            <v>808003706</v>
          </cell>
          <cell r="E929" t="str">
            <v>BEAUTY NGIDI</v>
          </cell>
          <cell r="F929" t="str">
            <v>D (MD)</v>
          </cell>
          <cell r="G929">
            <v>330972</v>
          </cell>
          <cell r="H929" t="str">
            <v>Mayday</v>
          </cell>
          <cell r="I929">
            <v>0.3125</v>
          </cell>
          <cell r="J929">
            <v>0.64583333333333337</v>
          </cell>
          <cell r="K929">
            <v>7.6666666666666696</v>
          </cell>
          <cell r="L929">
            <v>321.82</v>
          </cell>
          <cell r="O929" t="str">
            <v>Y</v>
          </cell>
          <cell r="P929" t="str">
            <v>N</v>
          </cell>
          <cell r="Q929" t="str">
            <v>Extra Capacity</v>
          </cell>
          <cell r="S929">
            <v>0.2</v>
          </cell>
        </row>
        <row r="930">
          <cell r="D930">
            <v>808003755</v>
          </cell>
          <cell r="E930" t="str">
            <v>BEAUTY NGIDI</v>
          </cell>
          <cell r="F930" t="str">
            <v>D (MD)</v>
          </cell>
          <cell r="G930">
            <v>330972</v>
          </cell>
          <cell r="H930" t="str">
            <v>Mayday</v>
          </cell>
          <cell r="I930">
            <v>0.64583333333333337</v>
          </cell>
          <cell r="J930">
            <v>0.85416666666666663</v>
          </cell>
          <cell r="K930">
            <v>5</v>
          </cell>
          <cell r="L930">
            <v>209.89</v>
          </cell>
          <cell r="O930" t="str">
            <v>Y</v>
          </cell>
          <cell r="P930" t="str">
            <v>N</v>
          </cell>
          <cell r="Q930" t="str">
            <v>Extra Capacity</v>
          </cell>
          <cell r="S930">
            <v>0.13</v>
          </cell>
        </row>
        <row r="931">
          <cell r="D931">
            <v>808003713</v>
          </cell>
          <cell r="E931" t="str">
            <v>BRIGHTNESS NDEBELE</v>
          </cell>
          <cell r="F931" t="str">
            <v>D (MD)</v>
          </cell>
          <cell r="G931">
            <v>330970</v>
          </cell>
          <cell r="H931" t="str">
            <v>Mayday</v>
          </cell>
          <cell r="I931">
            <v>0.3125</v>
          </cell>
          <cell r="J931">
            <v>0.64583333333333337</v>
          </cell>
          <cell r="K931">
            <v>7.6666666666666696</v>
          </cell>
          <cell r="L931">
            <v>321.82</v>
          </cell>
          <cell r="O931" t="str">
            <v>Y</v>
          </cell>
          <cell r="P931" t="str">
            <v>N</v>
          </cell>
          <cell r="Q931" t="str">
            <v>Extra Capacity</v>
          </cell>
          <cell r="S931">
            <v>0.2</v>
          </cell>
        </row>
        <row r="932">
          <cell r="D932">
            <v>808003762</v>
          </cell>
          <cell r="E932" t="str">
            <v>BRIGHTNESS NDEBELE</v>
          </cell>
          <cell r="F932" t="str">
            <v>D (MD)</v>
          </cell>
          <cell r="G932">
            <v>330970</v>
          </cell>
          <cell r="H932" t="str">
            <v>Mayday</v>
          </cell>
          <cell r="I932">
            <v>0.64583333333333337</v>
          </cell>
          <cell r="J932">
            <v>0.85416666666666663</v>
          </cell>
          <cell r="K932">
            <v>5</v>
          </cell>
          <cell r="L932">
            <v>209.89</v>
          </cell>
          <cell r="O932" t="str">
            <v>Y</v>
          </cell>
          <cell r="P932" t="str">
            <v>N</v>
          </cell>
          <cell r="Q932" t="str">
            <v>Extra Capacity</v>
          </cell>
          <cell r="S932">
            <v>0.13</v>
          </cell>
        </row>
        <row r="933">
          <cell r="D933">
            <v>808005055</v>
          </cell>
          <cell r="E933" t="str">
            <v>CHRIS STULAR</v>
          </cell>
          <cell r="F933" t="str">
            <v>D General (Orio</v>
          </cell>
          <cell r="G933" t="str">
            <v>Invsd Smt checked</v>
          </cell>
          <cell r="H933" t="str">
            <v>Orion</v>
          </cell>
          <cell r="I933">
            <v>0.33333333333333331</v>
          </cell>
          <cell r="J933">
            <v>0.89583333333333337</v>
          </cell>
          <cell r="K933">
            <v>12.5</v>
          </cell>
          <cell r="L933">
            <v>294.45</v>
          </cell>
          <cell r="O933" t="str">
            <v>Y</v>
          </cell>
          <cell r="P933" t="str">
            <v>N</v>
          </cell>
          <cell r="Q933" t="str">
            <v>Vacancy</v>
          </cell>
          <cell r="S933">
            <v>0.33</v>
          </cell>
        </row>
        <row r="934">
          <cell r="D934">
            <v>908002355</v>
          </cell>
          <cell r="E934" t="str">
            <v>DIGRACIA  NAPE</v>
          </cell>
          <cell r="F934" t="str">
            <v>D (MD)</v>
          </cell>
          <cell r="G934">
            <v>330622</v>
          </cell>
          <cell r="H934" t="str">
            <v>Mayday</v>
          </cell>
          <cell r="I934">
            <v>0.33333333333333331</v>
          </cell>
          <cell r="J934">
            <v>0.58333333333333337</v>
          </cell>
          <cell r="K934">
            <v>5.6666666666666696</v>
          </cell>
          <cell r="L934">
            <v>237.87</v>
          </cell>
          <cell r="O934" t="str">
            <v>Y</v>
          </cell>
          <cell r="P934" t="str">
            <v>N</v>
          </cell>
          <cell r="Q934" t="str">
            <v>Vacancy</v>
          </cell>
          <cell r="S934">
            <v>0.15</v>
          </cell>
        </row>
        <row r="935">
          <cell r="D935">
            <v>908002357</v>
          </cell>
          <cell r="E935" t="str">
            <v>DIGRACIA  NAPE</v>
          </cell>
          <cell r="F935" t="str">
            <v>D (MD)</v>
          </cell>
          <cell r="G935">
            <v>330622</v>
          </cell>
          <cell r="H935" t="str">
            <v>Mayday</v>
          </cell>
          <cell r="I935">
            <v>0.58333333333333337</v>
          </cell>
          <cell r="J935">
            <v>0.83333333333333337</v>
          </cell>
          <cell r="K935">
            <v>6.6666666666666696</v>
          </cell>
          <cell r="L935">
            <v>279.85000000000002</v>
          </cell>
          <cell r="O935" t="str">
            <v>Y</v>
          </cell>
          <cell r="P935" t="str">
            <v>N</v>
          </cell>
          <cell r="Q935" t="str">
            <v>Annual Leave</v>
          </cell>
          <cell r="S935">
            <v>0.18</v>
          </cell>
        </row>
        <row r="936">
          <cell r="D936">
            <v>908006412</v>
          </cell>
          <cell r="E936" t="str">
            <v>ELENOR PARAZO</v>
          </cell>
          <cell r="F936" t="str">
            <v>D (MD)</v>
          </cell>
          <cell r="G936">
            <v>331365</v>
          </cell>
          <cell r="H936" t="str">
            <v>Mayday</v>
          </cell>
          <cell r="I936">
            <v>0.83333333333333337</v>
          </cell>
          <cell r="J936">
            <v>0.33333333333333331</v>
          </cell>
          <cell r="K936">
            <v>11</v>
          </cell>
          <cell r="L936">
            <v>461.75</v>
          </cell>
          <cell r="O936" t="str">
            <v>Y</v>
          </cell>
          <cell r="P936" t="str">
            <v>N</v>
          </cell>
          <cell r="Q936" t="str">
            <v>Acuity</v>
          </cell>
          <cell r="S936">
            <v>0.28999999999999998</v>
          </cell>
        </row>
        <row r="937">
          <cell r="D937">
            <v>908005297</v>
          </cell>
          <cell r="E937" t="str">
            <v>EMMA FLIT-ELY</v>
          </cell>
          <cell r="F937" t="str">
            <v>D (Ch)</v>
          </cell>
          <cell r="G937">
            <v>16753</v>
          </cell>
          <cell r="H937" t="str">
            <v>Choice</v>
          </cell>
          <cell r="I937">
            <v>0.3125</v>
          </cell>
          <cell r="J937">
            <v>0.625</v>
          </cell>
          <cell r="K937">
            <v>7.1666666666666696</v>
          </cell>
          <cell r="L937">
            <v>227.05</v>
          </cell>
          <cell r="O937" t="str">
            <v>Y</v>
          </cell>
          <cell r="P937" t="str">
            <v>N</v>
          </cell>
          <cell r="Q937" t="str">
            <v>Extra Capacity</v>
          </cell>
          <cell r="S937">
            <v>0.19</v>
          </cell>
        </row>
        <row r="938">
          <cell r="D938">
            <v>908001078</v>
          </cell>
          <cell r="E938" t="str">
            <v>EVELYN PANESA</v>
          </cell>
          <cell r="F938" t="str">
            <v>D (Ch)</v>
          </cell>
          <cell r="G938">
            <v>16746</v>
          </cell>
          <cell r="H938" t="str">
            <v>Choice</v>
          </cell>
          <cell r="I938">
            <v>0.625</v>
          </cell>
          <cell r="J938">
            <v>0.875</v>
          </cell>
          <cell r="K938">
            <v>6</v>
          </cell>
          <cell r="L938">
            <v>190.09</v>
          </cell>
          <cell r="O938" t="str">
            <v>Y</v>
          </cell>
          <cell r="P938" t="str">
            <v>N</v>
          </cell>
          <cell r="Q938" t="str">
            <v>Vacancy</v>
          </cell>
          <cell r="S938">
            <v>0.16</v>
          </cell>
        </row>
        <row r="939">
          <cell r="D939">
            <v>908006097</v>
          </cell>
          <cell r="E939" t="str">
            <v>EVELYN PANESA</v>
          </cell>
          <cell r="F939" t="str">
            <v>D (Ch)</v>
          </cell>
          <cell r="G939">
            <v>16746</v>
          </cell>
          <cell r="H939" t="str">
            <v>Choice</v>
          </cell>
          <cell r="I939">
            <v>0.3125</v>
          </cell>
          <cell r="J939">
            <v>0.5625</v>
          </cell>
          <cell r="K939">
            <v>5.6666666666666696</v>
          </cell>
          <cell r="L939">
            <v>179.53</v>
          </cell>
          <cell r="O939" t="str">
            <v>Y</v>
          </cell>
          <cell r="P939" t="str">
            <v>N</v>
          </cell>
          <cell r="Q939" t="str">
            <v>Short Term Sick</v>
          </cell>
          <cell r="S939">
            <v>0.15</v>
          </cell>
        </row>
        <row r="940">
          <cell r="D940">
            <v>908004720</v>
          </cell>
          <cell r="E940" t="str">
            <v>GRACE CHIKWAVA</v>
          </cell>
          <cell r="F940" t="str">
            <v>D (Ch)</v>
          </cell>
          <cell r="G940">
            <v>16745</v>
          </cell>
          <cell r="H940" t="str">
            <v>Choice</v>
          </cell>
          <cell r="I940">
            <v>0.5625</v>
          </cell>
          <cell r="J940">
            <v>0.85416666666666663</v>
          </cell>
          <cell r="K940">
            <v>6.6666666666666696</v>
          </cell>
          <cell r="L940">
            <v>211.21</v>
          </cell>
          <cell r="O940" t="str">
            <v>Y</v>
          </cell>
          <cell r="P940" t="str">
            <v>N</v>
          </cell>
          <cell r="Q940" t="str">
            <v>Vacancy</v>
          </cell>
          <cell r="S940">
            <v>0.18</v>
          </cell>
        </row>
        <row r="941">
          <cell r="D941">
            <v>908006253</v>
          </cell>
          <cell r="E941" t="str">
            <v>GRACE PANDARAOAM</v>
          </cell>
          <cell r="F941" t="str">
            <v>D (Ch)</v>
          </cell>
          <cell r="G941">
            <v>16804</v>
          </cell>
          <cell r="H941" t="str">
            <v>Choice</v>
          </cell>
          <cell r="I941">
            <v>0.83333333333333337</v>
          </cell>
          <cell r="J941">
            <v>0.33333333333333331</v>
          </cell>
          <cell r="K941">
            <v>11.3333333333333</v>
          </cell>
          <cell r="L941">
            <v>359.05</v>
          </cell>
          <cell r="O941" t="str">
            <v>Y</v>
          </cell>
          <cell r="P941" t="str">
            <v>N</v>
          </cell>
          <cell r="Q941" t="str">
            <v>Nurse Moved</v>
          </cell>
          <cell r="S941">
            <v>0.3</v>
          </cell>
        </row>
        <row r="942">
          <cell r="D942">
            <v>908005300</v>
          </cell>
          <cell r="E942" t="str">
            <v>HILDA SHANGE</v>
          </cell>
          <cell r="F942" t="str">
            <v>D (MD)</v>
          </cell>
          <cell r="G942">
            <v>16791</v>
          </cell>
          <cell r="H942" t="str">
            <v>choice</v>
          </cell>
          <cell r="I942">
            <v>0.83333333333333337</v>
          </cell>
          <cell r="J942">
            <v>0.33333333333333331</v>
          </cell>
          <cell r="K942">
            <v>11.3333333333333</v>
          </cell>
          <cell r="L942">
            <v>475.74</v>
          </cell>
          <cell r="O942" t="str">
            <v>Y</v>
          </cell>
          <cell r="P942" t="str">
            <v>N</v>
          </cell>
          <cell r="Q942" t="str">
            <v>Extra Capacity</v>
          </cell>
          <cell r="S942">
            <v>0.3</v>
          </cell>
        </row>
        <row r="943">
          <cell r="D943">
            <v>908003565</v>
          </cell>
          <cell r="E943" t="str">
            <v>HOPE NYAMAYEDENGA</v>
          </cell>
          <cell r="F943" t="str">
            <v>A (Ch)</v>
          </cell>
          <cell r="H943" t="str">
            <v>Choice</v>
          </cell>
          <cell r="I943">
            <v>0.83333333333333337</v>
          </cell>
          <cell r="J943">
            <v>0.33333333333333331</v>
          </cell>
          <cell r="K943">
            <v>11.3333333333333</v>
          </cell>
          <cell r="L943">
            <v>167.58</v>
          </cell>
          <cell r="O943" t="str">
            <v>Y</v>
          </cell>
          <cell r="P943" t="str">
            <v>N</v>
          </cell>
          <cell r="Q943" t="str">
            <v>Vacancy</v>
          </cell>
          <cell r="S943">
            <v>0.3</v>
          </cell>
        </row>
        <row r="944">
          <cell r="D944">
            <v>908002764</v>
          </cell>
          <cell r="E944" t="str">
            <v>MABEL MNISI</v>
          </cell>
          <cell r="F944" t="str">
            <v>D (MD)</v>
          </cell>
          <cell r="H944" t="str">
            <v>Mayday</v>
          </cell>
          <cell r="I944">
            <v>0.64583333333333337</v>
          </cell>
          <cell r="J944">
            <v>0.875</v>
          </cell>
          <cell r="K944">
            <v>5.5</v>
          </cell>
          <cell r="L944">
            <v>230.87</v>
          </cell>
          <cell r="O944" t="str">
            <v>Y</v>
          </cell>
          <cell r="P944" t="str">
            <v>N</v>
          </cell>
          <cell r="Q944" t="str">
            <v>Maternity Leave</v>
          </cell>
          <cell r="S944">
            <v>0.15</v>
          </cell>
        </row>
        <row r="945">
          <cell r="D945">
            <v>908004639</v>
          </cell>
          <cell r="E945" t="str">
            <v>MABEL MNISI</v>
          </cell>
          <cell r="F945" t="str">
            <v>D (MD)</v>
          </cell>
          <cell r="H945" t="str">
            <v>Mayday</v>
          </cell>
          <cell r="I945">
            <v>0.3125</v>
          </cell>
          <cell r="J945">
            <v>0.625</v>
          </cell>
          <cell r="K945">
            <v>7.1666666666666696</v>
          </cell>
          <cell r="L945">
            <v>300.83999999999997</v>
          </cell>
          <cell r="O945" t="str">
            <v>Y</v>
          </cell>
          <cell r="P945" t="str">
            <v>N</v>
          </cell>
          <cell r="Q945" t="str">
            <v>Vacancy</v>
          </cell>
          <cell r="S945">
            <v>0.19</v>
          </cell>
        </row>
        <row r="946">
          <cell r="D946">
            <v>908003546</v>
          </cell>
          <cell r="E946" t="str">
            <v>NOLIZWI MGANDELA</v>
          </cell>
          <cell r="F946" t="str">
            <v>D (MD)</v>
          </cell>
          <cell r="G946">
            <v>330619</v>
          </cell>
          <cell r="H946" t="str">
            <v>Mayday</v>
          </cell>
          <cell r="I946">
            <v>0.3125</v>
          </cell>
          <cell r="J946">
            <v>0.54166666666666663</v>
          </cell>
          <cell r="K946">
            <v>5.5</v>
          </cell>
          <cell r="L946">
            <v>230.87</v>
          </cell>
          <cell r="O946" t="str">
            <v>Y</v>
          </cell>
          <cell r="P946" t="str">
            <v>N</v>
          </cell>
          <cell r="Q946" t="str">
            <v>Vacancy</v>
          </cell>
          <cell r="S946">
            <v>0.15</v>
          </cell>
        </row>
        <row r="947">
          <cell r="D947">
            <v>808003875</v>
          </cell>
          <cell r="E947" t="str">
            <v>PAT DUBE</v>
          </cell>
          <cell r="F947" t="str">
            <v>D (MD)</v>
          </cell>
          <cell r="H947" t="str">
            <v>Mayday</v>
          </cell>
          <cell r="I947">
            <v>0.3125</v>
          </cell>
          <cell r="J947">
            <v>0.64583333333333337</v>
          </cell>
          <cell r="K947">
            <v>7.6666666666666696</v>
          </cell>
          <cell r="L947">
            <v>321.82</v>
          </cell>
          <cell r="O947" t="str">
            <v>Y</v>
          </cell>
          <cell r="P947" t="str">
            <v>N</v>
          </cell>
          <cell r="Q947" t="str">
            <v>Extra Capacity</v>
          </cell>
          <cell r="S947">
            <v>0.2</v>
          </cell>
        </row>
        <row r="948">
          <cell r="D948">
            <v>808003903</v>
          </cell>
          <cell r="E948" t="str">
            <v>PAT DUBE</v>
          </cell>
          <cell r="F948" t="str">
            <v>D (MD)</v>
          </cell>
          <cell r="H948" t="str">
            <v>Mayday</v>
          </cell>
          <cell r="I948">
            <v>0.64583333333333337</v>
          </cell>
          <cell r="J948">
            <v>0.85416666666666663</v>
          </cell>
          <cell r="K948">
            <v>5</v>
          </cell>
          <cell r="L948">
            <v>209.89</v>
          </cell>
          <cell r="O948" t="str">
            <v>Y</v>
          </cell>
          <cell r="P948" t="str">
            <v>N</v>
          </cell>
          <cell r="Q948" t="str">
            <v>Extra Capacity</v>
          </cell>
          <cell r="S948">
            <v>0.13</v>
          </cell>
        </row>
        <row r="949">
          <cell r="D949">
            <v>908003545</v>
          </cell>
          <cell r="E949" t="str">
            <v>PEGGY MAPOGO</v>
          </cell>
          <cell r="F949" t="str">
            <v>D (Ch)</v>
          </cell>
          <cell r="G949">
            <v>16812</v>
          </cell>
          <cell r="H949" t="str">
            <v>Choice</v>
          </cell>
          <cell r="I949">
            <v>0.3125</v>
          </cell>
          <cell r="J949">
            <v>0.54166666666666663</v>
          </cell>
          <cell r="K949">
            <v>5.5</v>
          </cell>
          <cell r="L949">
            <v>174.25</v>
          </cell>
          <cell r="O949" t="str">
            <v>Y</v>
          </cell>
          <cell r="P949" t="str">
            <v>N</v>
          </cell>
          <cell r="Q949" t="str">
            <v>Vacancy</v>
          </cell>
          <cell r="S949">
            <v>0.15</v>
          </cell>
        </row>
        <row r="950">
          <cell r="D950">
            <v>908003557</v>
          </cell>
          <cell r="E950" t="str">
            <v>PEGGY MAPOGO</v>
          </cell>
          <cell r="F950" t="str">
            <v>D (Ch)</v>
          </cell>
          <cell r="G950">
            <v>16812</v>
          </cell>
          <cell r="H950" t="str">
            <v>Choice</v>
          </cell>
          <cell r="I950">
            <v>0.625</v>
          </cell>
          <cell r="J950">
            <v>0.85416666666666663</v>
          </cell>
          <cell r="K950">
            <v>5.5</v>
          </cell>
          <cell r="L950">
            <v>174.25</v>
          </cell>
          <cell r="O950" t="str">
            <v>Y</v>
          </cell>
          <cell r="P950" t="str">
            <v>N</v>
          </cell>
          <cell r="Q950" t="str">
            <v>Vacancy</v>
          </cell>
          <cell r="S950">
            <v>0.15</v>
          </cell>
        </row>
        <row r="951">
          <cell r="D951">
            <v>908005676</v>
          </cell>
          <cell r="E951" t="str">
            <v>TAMBU JENA</v>
          </cell>
          <cell r="F951" t="str">
            <v>D (Ch)</v>
          </cell>
          <cell r="G951">
            <v>16751</v>
          </cell>
          <cell r="H951" t="str">
            <v>Choice</v>
          </cell>
          <cell r="I951">
            <v>0.29166666666666669</v>
          </cell>
          <cell r="J951">
            <v>0.625</v>
          </cell>
          <cell r="K951">
            <v>7.5</v>
          </cell>
          <cell r="L951">
            <v>237.61</v>
          </cell>
          <cell r="O951" t="str">
            <v>Y</v>
          </cell>
          <cell r="P951" t="str">
            <v>N</v>
          </cell>
          <cell r="Q951" t="str">
            <v>Extra Capacity</v>
          </cell>
          <cell r="S951">
            <v>0.2</v>
          </cell>
        </row>
        <row r="952">
          <cell r="D952">
            <v>908005677</v>
          </cell>
          <cell r="E952" t="str">
            <v>TAMBU JENA</v>
          </cell>
          <cell r="F952" t="str">
            <v>D (Ch)</v>
          </cell>
          <cell r="G952">
            <v>16751</v>
          </cell>
          <cell r="H952" t="str">
            <v>Choice</v>
          </cell>
          <cell r="I952">
            <v>0.625</v>
          </cell>
          <cell r="J952">
            <v>0.89583333333333337</v>
          </cell>
          <cell r="K952">
            <v>6.1666666666666696</v>
          </cell>
          <cell r="L952">
            <v>195.37</v>
          </cell>
          <cell r="O952" t="str">
            <v>Y</v>
          </cell>
          <cell r="P952" t="str">
            <v>N</v>
          </cell>
          <cell r="Q952" t="str">
            <v>Extra Capacity</v>
          </cell>
          <cell r="S952">
            <v>0.16</v>
          </cell>
        </row>
        <row r="953">
          <cell r="D953">
            <v>808003868</v>
          </cell>
          <cell r="E953" t="str">
            <v>TARA MASSIE</v>
          </cell>
          <cell r="F953" t="str">
            <v>D (MD)</v>
          </cell>
          <cell r="G953">
            <v>330900</v>
          </cell>
          <cell r="H953" t="str">
            <v>Mayday</v>
          </cell>
          <cell r="I953">
            <v>0.3125</v>
          </cell>
          <cell r="J953">
            <v>0.64583333333333337</v>
          </cell>
          <cell r="K953">
            <v>7.6666666666666696</v>
          </cell>
          <cell r="L953">
            <v>321.82</v>
          </cell>
          <cell r="O953" t="str">
            <v>Y</v>
          </cell>
          <cell r="P953" t="str">
            <v>N</v>
          </cell>
          <cell r="Q953" t="str">
            <v>Extra Capacity</v>
          </cell>
          <cell r="S953">
            <v>0.2</v>
          </cell>
        </row>
        <row r="954">
          <cell r="D954">
            <v>808003896</v>
          </cell>
          <cell r="E954" t="str">
            <v>TARA MASSIE</v>
          </cell>
          <cell r="F954" t="str">
            <v>D (MD)</v>
          </cell>
          <cell r="G954">
            <v>330900</v>
          </cell>
          <cell r="H954" t="str">
            <v>Mayday</v>
          </cell>
          <cell r="I954">
            <v>0.64583333333333337</v>
          </cell>
          <cell r="J954">
            <v>0.85416666666666663</v>
          </cell>
          <cell r="K954">
            <v>5</v>
          </cell>
          <cell r="L954">
            <v>209.89</v>
          </cell>
          <cell r="O954" t="str">
            <v>Y</v>
          </cell>
          <cell r="P954" t="str">
            <v>N</v>
          </cell>
          <cell r="Q954" t="str">
            <v>Extra Capacity</v>
          </cell>
          <cell r="S954">
            <v>0.13</v>
          </cell>
        </row>
        <row r="955">
          <cell r="D955">
            <v>808003783</v>
          </cell>
          <cell r="E955" t="str">
            <v>TEMBE NGIDI</v>
          </cell>
          <cell r="F955" t="str">
            <v>D (MD)</v>
          </cell>
          <cell r="H955" t="str">
            <v>Mayday</v>
          </cell>
          <cell r="I955">
            <v>0.83333333333333337</v>
          </cell>
          <cell r="J955">
            <v>0.33333333333333331</v>
          </cell>
          <cell r="K955">
            <v>11.3333333333333</v>
          </cell>
          <cell r="L955">
            <v>475.74</v>
          </cell>
          <cell r="O955" t="str">
            <v>Y</v>
          </cell>
          <cell r="P955" t="str">
            <v>N</v>
          </cell>
          <cell r="Q955" t="str">
            <v>Extra Capacity</v>
          </cell>
          <cell r="S955">
            <v>0.3</v>
          </cell>
        </row>
        <row r="956">
          <cell r="D956">
            <v>908006413</v>
          </cell>
          <cell r="E956" t="str">
            <v>THEMBE NHOSE</v>
          </cell>
          <cell r="F956" t="str">
            <v>D (MD)</v>
          </cell>
          <cell r="G956">
            <v>331356</v>
          </cell>
          <cell r="H956" t="str">
            <v>Mayday</v>
          </cell>
          <cell r="I956">
            <v>0.83333333333333337</v>
          </cell>
          <cell r="J956">
            <v>0.33333333333333331</v>
          </cell>
          <cell r="K956">
            <v>11</v>
          </cell>
          <cell r="L956">
            <v>461.75</v>
          </cell>
          <cell r="O956" t="str">
            <v>Y</v>
          </cell>
          <cell r="P956" t="str">
            <v>N</v>
          </cell>
          <cell r="Q956" t="str">
            <v>Acuity</v>
          </cell>
          <cell r="S956">
            <v>0.28999999999999998</v>
          </cell>
        </row>
        <row r="957">
          <cell r="D957">
            <v>908006356</v>
          </cell>
          <cell r="E957" t="str">
            <v>TRUST CHIWUNDURA</v>
          </cell>
          <cell r="F957" t="str">
            <v>A (Ch)</v>
          </cell>
          <cell r="G957">
            <v>16754</v>
          </cell>
          <cell r="H957" t="str">
            <v>Choice</v>
          </cell>
          <cell r="I957">
            <v>0.83333333333333337</v>
          </cell>
          <cell r="J957">
            <v>0.33333333333333331</v>
          </cell>
          <cell r="K957">
            <v>11.3333333333333</v>
          </cell>
          <cell r="L957">
            <v>167.58</v>
          </cell>
          <cell r="O957" t="str">
            <v>Y</v>
          </cell>
          <cell r="P957" t="str">
            <v>N</v>
          </cell>
          <cell r="Q957" t="str">
            <v>On-Call</v>
          </cell>
          <cell r="S957">
            <v>0.3</v>
          </cell>
        </row>
        <row r="958">
          <cell r="D958">
            <v>908006365</v>
          </cell>
          <cell r="E958" t="str">
            <v>VICKY MILLER</v>
          </cell>
          <cell r="F958" t="str">
            <v>D/5 (PS)</v>
          </cell>
          <cell r="H958" t="str">
            <v>Pinnacle Staffing</v>
          </cell>
          <cell r="I958">
            <v>0.3125</v>
          </cell>
          <cell r="J958">
            <v>0.85416666666666663</v>
          </cell>
          <cell r="K958">
            <v>12.3333333333333</v>
          </cell>
          <cell r="L958">
            <v>272.41000000000003</v>
          </cell>
          <cell r="O958" t="str">
            <v>Y</v>
          </cell>
          <cell r="P958" t="str">
            <v>N</v>
          </cell>
          <cell r="Q958" t="str">
            <v>Extra Capacity</v>
          </cell>
          <cell r="S958">
            <v>0.33</v>
          </cell>
        </row>
        <row r="959">
          <cell r="D959">
            <v>908003568</v>
          </cell>
          <cell r="E959" t="str">
            <v>ANNA BONNERUP</v>
          </cell>
          <cell r="F959" t="str">
            <v>D / 5 General (</v>
          </cell>
          <cell r="G959" t="str">
            <v>604-150146</v>
          </cell>
          <cell r="H959" t="str">
            <v>Blue Arrow</v>
          </cell>
          <cell r="I959">
            <v>0.3125</v>
          </cell>
          <cell r="J959">
            <v>0.54166666666666663</v>
          </cell>
          <cell r="K959">
            <v>5.5</v>
          </cell>
          <cell r="L959">
            <v>148.54</v>
          </cell>
          <cell r="O959" t="str">
            <v>Y</v>
          </cell>
          <cell r="P959" t="str">
            <v>N</v>
          </cell>
          <cell r="Q959" t="str">
            <v>Vacancy</v>
          </cell>
          <cell r="S959">
            <v>0.15</v>
          </cell>
        </row>
        <row r="960">
          <cell r="D960">
            <v>908003576</v>
          </cell>
          <cell r="E960" t="str">
            <v>ANNA BONNERUP</v>
          </cell>
          <cell r="F960" t="str">
            <v>D / 5 General (</v>
          </cell>
          <cell r="G960" t="str">
            <v>604-150146</v>
          </cell>
          <cell r="H960" t="str">
            <v>Blue Arrow</v>
          </cell>
          <cell r="I960">
            <v>0.625</v>
          </cell>
          <cell r="J960">
            <v>0.85416666666666663</v>
          </cell>
          <cell r="K960">
            <v>5.5</v>
          </cell>
          <cell r="L960">
            <v>148.54</v>
          </cell>
          <cell r="O960" t="str">
            <v>Y</v>
          </cell>
          <cell r="P960" t="str">
            <v>N</v>
          </cell>
          <cell r="Q960" t="str">
            <v>Vacancy</v>
          </cell>
          <cell r="S960">
            <v>0.15</v>
          </cell>
        </row>
        <row r="961">
          <cell r="D961">
            <v>808003925</v>
          </cell>
          <cell r="E961" t="str">
            <v>ATINUKE OKE-OLATUNDE</v>
          </cell>
          <cell r="F961" t="str">
            <v>D (MD)</v>
          </cell>
          <cell r="H961" t="str">
            <v>Mayday</v>
          </cell>
          <cell r="I961">
            <v>0.83333333333333337</v>
          </cell>
          <cell r="J961">
            <v>0.33333333333333331</v>
          </cell>
          <cell r="K961">
            <v>11.3333333333333</v>
          </cell>
          <cell r="L961">
            <v>585.53</v>
          </cell>
          <cell r="O961" t="str">
            <v>Y</v>
          </cell>
          <cell r="P961" t="str">
            <v>N</v>
          </cell>
          <cell r="Q961" t="str">
            <v>Extra Capacity</v>
          </cell>
          <cell r="S961">
            <v>0.3</v>
          </cell>
        </row>
        <row r="962">
          <cell r="D962">
            <v>808003784</v>
          </cell>
          <cell r="E962" t="str">
            <v>BEAUTY NGIDI</v>
          </cell>
          <cell r="F962" t="str">
            <v>D (MD)</v>
          </cell>
          <cell r="G962">
            <v>330971</v>
          </cell>
          <cell r="H962" t="str">
            <v>Mayday</v>
          </cell>
          <cell r="I962">
            <v>0.83333333333333337</v>
          </cell>
          <cell r="J962">
            <v>0.33333333333333331</v>
          </cell>
          <cell r="K962">
            <v>11.3333333333333</v>
          </cell>
          <cell r="L962">
            <v>585.53</v>
          </cell>
          <cell r="O962" t="str">
            <v>Y</v>
          </cell>
          <cell r="P962" t="str">
            <v>N</v>
          </cell>
          <cell r="Q962" t="str">
            <v>Extra Capacity</v>
          </cell>
          <cell r="S962">
            <v>0.3</v>
          </cell>
        </row>
        <row r="963">
          <cell r="D963">
            <v>808003714</v>
          </cell>
          <cell r="E963" t="str">
            <v>BRIGHTNESS NDEBELE</v>
          </cell>
          <cell r="F963" t="str">
            <v>D (MD)</v>
          </cell>
          <cell r="G963">
            <v>330970</v>
          </cell>
          <cell r="H963" t="str">
            <v>Mayday</v>
          </cell>
          <cell r="I963">
            <v>0.3125</v>
          </cell>
          <cell r="J963">
            <v>0.64583333333333337</v>
          </cell>
          <cell r="K963">
            <v>7.6666666666666696</v>
          </cell>
          <cell r="L963">
            <v>396.09</v>
          </cell>
          <cell r="O963" t="str">
            <v>Y</v>
          </cell>
          <cell r="P963" t="str">
            <v>N</v>
          </cell>
          <cell r="Q963" t="str">
            <v>Extra Capacity</v>
          </cell>
          <cell r="S963">
            <v>0.2</v>
          </cell>
        </row>
        <row r="964">
          <cell r="D964">
            <v>808003756</v>
          </cell>
          <cell r="E964" t="str">
            <v>BRIGHTNESS NDEBELE</v>
          </cell>
          <cell r="F964" t="str">
            <v>D (MD)</v>
          </cell>
          <cell r="G964">
            <v>330970</v>
          </cell>
          <cell r="H964" t="str">
            <v>Mayday</v>
          </cell>
          <cell r="I964">
            <v>0.64583333333333337</v>
          </cell>
          <cell r="J964">
            <v>0.85416666666666663</v>
          </cell>
          <cell r="K964">
            <v>5</v>
          </cell>
          <cell r="L964">
            <v>258.32</v>
          </cell>
          <cell r="O964" t="str">
            <v>Y</v>
          </cell>
          <cell r="P964" t="str">
            <v>N</v>
          </cell>
          <cell r="Q964" t="str">
            <v>Extra Capacity</v>
          </cell>
          <cell r="S964">
            <v>0.13</v>
          </cell>
        </row>
        <row r="965">
          <cell r="D965">
            <v>908005678</v>
          </cell>
          <cell r="E965" t="str">
            <v>COLLEN SIBANDA</v>
          </cell>
          <cell r="F965" t="str">
            <v>D (Ch)</v>
          </cell>
          <cell r="G965">
            <v>16751</v>
          </cell>
          <cell r="H965" t="str">
            <v>Choice</v>
          </cell>
          <cell r="I965">
            <v>0.29166666666666669</v>
          </cell>
          <cell r="J965">
            <v>0.625</v>
          </cell>
          <cell r="K965">
            <v>7.5</v>
          </cell>
          <cell r="L965">
            <v>292.44</v>
          </cell>
          <cell r="O965" t="str">
            <v>Y</v>
          </cell>
          <cell r="P965" t="str">
            <v>N</v>
          </cell>
          <cell r="Q965" t="str">
            <v>Extra Capacity</v>
          </cell>
          <cell r="S965">
            <v>0.2</v>
          </cell>
        </row>
        <row r="966">
          <cell r="D966">
            <v>908005679</v>
          </cell>
          <cell r="E966" t="str">
            <v>COLLEN SIBANDA</v>
          </cell>
          <cell r="F966" t="str">
            <v>D (Ch)</v>
          </cell>
          <cell r="G966">
            <v>16751</v>
          </cell>
          <cell r="H966" t="str">
            <v>Choice</v>
          </cell>
          <cell r="I966">
            <v>0.625</v>
          </cell>
          <cell r="J966">
            <v>0.89583333333333337</v>
          </cell>
          <cell r="K966">
            <v>6.1666666666666696</v>
          </cell>
          <cell r="L966">
            <v>240.45</v>
          </cell>
          <cell r="O966" t="str">
            <v>Y</v>
          </cell>
          <cell r="P966" t="str">
            <v>N</v>
          </cell>
          <cell r="Q966" t="str">
            <v>Extra Capacity</v>
          </cell>
          <cell r="S966">
            <v>0.16</v>
          </cell>
        </row>
        <row r="967">
          <cell r="D967">
            <v>908006102</v>
          </cell>
          <cell r="E967" t="str">
            <v>GRACE CHIKWAVA</v>
          </cell>
          <cell r="F967" t="str">
            <v>D (Ch)</v>
          </cell>
          <cell r="G967">
            <v>16812</v>
          </cell>
          <cell r="H967" t="str">
            <v>Choice</v>
          </cell>
          <cell r="I967">
            <v>0.3125</v>
          </cell>
          <cell r="J967">
            <v>0.54166666666666663</v>
          </cell>
          <cell r="K967">
            <v>5.5</v>
          </cell>
          <cell r="L967">
            <v>214.46</v>
          </cell>
          <cell r="O967" t="str">
            <v>Y</v>
          </cell>
          <cell r="P967" t="str">
            <v>N</v>
          </cell>
          <cell r="Q967" t="str">
            <v>Vacancy</v>
          </cell>
          <cell r="S967">
            <v>0.15</v>
          </cell>
        </row>
        <row r="968">
          <cell r="D968">
            <v>908006362</v>
          </cell>
          <cell r="E968" t="str">
            <v>GRACE CHIKWAVA</v>
          </cell>
          <cell r="F968" t="str">
            <v>D (Ch)</v>
          </cell>
          <cell r="G968">
            <v>16812</v>
          </cell>
          <cell r="H968" t="str">
            <v>Choice</v>
          </cell>
          <cell r="I968">
            <v>0.54166666666666663</v>
          </cell>
          <cell r="J968">
            <v>0.85416666666666663</v>
          </cell>
          <cell r="K968">
            <v>7</v>
          </cell>
          <cell r="L968">
            <v>272.94</v>
          </cell>
          <cell r="O968" t="str">
            <v>Y</v>
          </cell>
          <cell r="P968" t="str">
            <v>N</v>
          </cell>
          <cell r="Q968" t="str">
            <v>On-Call</v>
          </cell>
          <cell r="S968">
            <v>0.19</v>
          </cell>
        </row>
        <row r="969">
          <cell r="D969">
            <v>908005476</v>
          </cell>
          <cell r="E969" t="str">
            <v>JANE DUNSMURE</v>
          </cell>
          <cell r="F969" t="str">
            <v>D/5 (PS)</v>
          </cell>
          <cell r="H969" t="str">
            <v>Pinnacle Staffing</v>
          </cell>
          <cell r="I969">
            <v>0.875</v>
          </cell>
          <cell r="J969">
            <v>0.3125</v>
          </cell>
          <cell r="K969">
            <v>10.1666666666667</v>
          </cell>
          <cell r="L969">
            <v>276.37</v>
          </cell>
          <cell r="O969" t="str">
            <v>Y</v>
          </cell>
          <cell r="P969" t="str">
            <v>N</v>
          </cell>
          <cell r="Q969" t="str">
            <v>Vacancy</v>
          </cell>
          <cell r="S969">
            <v>0.27</v>
          </cell>
        </row>
        <row r="970">
          <cell r="D970">
            <v>908001121</v>
          </cell>
          <cell r="E970" t="str">
            <v>JASMINE ESGUERRA</v>
          </cell>
          <cell r="F970" t="str">
            <v>D (Ch)</v>
          </cell>
          <cell r="G970">
            <v>16746</v>
          </cell>
          <cell r="H970" t="str">
            <v>Choice</v>
          </cell>
          <cell r="I970">
            <v>0.875</v>
          </cell>
          <cell r="J970">
            <v>0.30208333333333331</v>
          </cell>
          <cell r="K970">
            <v>9.9166666666666696</v>
          </cell>
          <cell r="L970">
            <v>386.67</v>
          </cell>
          <cell r="O970" t="str">
            <v>Y</v>
          </cell>
          <cell r="P970" t="str">
            <v>N</v>
          </cell>
          <cell r="Q970" t="str">
            <v>Vacancy</v>
          </cell>
          <cell r="S970">
            <v>0.26</v>
          </cell>
        </row>
        <row r="971">
          <cell r="D971">
            <v>808003707</v>
          </cell>
          <cell r="E971" t="str">
            <v>JEAN NGONA</v>
          </cell>
          <cell r="F971" t="str">
            <v>D (MD)</v>
          </cell>
          <cell r="H971" t="str">
            <v>Mayday</v>
          </cell>
          <cell r="I971">
            <v>0.3125</v>
          </cell>
          <cell r="J971">
            <v>0.64583333333333337</v>
          </cell>
          <cell r="K971">
            <v>7.6666666666666696</v>
          </cell>
          <cell r="L971">
            <v>396.09</v>
          </cell>
          <cell r="O971" t="str">
            <v>Y</v>
          </cell>
          <cell r="P971" t="str">
            <v>N</v>
          </cell>
          <cell r="Q971" t="str">
            <v>Extra Capacity</v>
          </cell>
          <cell r="S971">
            <v>0.2</v>
          </cell>
        </row>
        <row r="972">
          <cell r="D972">
            <v>908006168</v>
          </cell>
          <cell r="E972" t="str">
            <v>JESSICA BELLAMY</v>
          </cell>
          <cell r="F972" t="str">
            <v>D (MD)</v>
          </cell>
          <cell r="G972">
            <v>332191</v>
          </cell>
          <cell r="H972" t="str">
            <v>Mayday</v>
          </cell>
          <cell r="I972">
            <v>0.8125</v>
          </cell>
          <cell r="J972">
            <v>0.33333333333333331</v>
          </cell>
          <cell r="K972">
            <v>10.75</v>
          </cell>
          <cell r="L972">
            <v>555.39</v>
          </cell>
          <cell r="O972" t="str">
            <v>Y</v>
          </cell>
          <cell r="P972" t="str">
            <v>N</v>
          </cell>
          <cell r="Q972" t="str">
            <v>Vacancy</v>
          </cell>
          <cell r="S972">
            <v>0.28999999999999998</v>
          </cell>
        </row>
        <row r="973">
          <cell r="D973">
            <v>808003883</v>
          </cell>
          <cell r="E973" t="str">
            <v>KATIE KEAVENEY</v>
          </cell>
          <cell r="F973" t="str">
            <v>D (MD)</v>
          </cell>
          <cell r="G973">
            <v>330887</v>
          </cell>
          <cell r="H973" t="str">
            <v>Mayday</v>
          </cell>
          <cell r="I973">
            <v>0.3125</v>
          </cell>
          <cell r="J973">
            <v>0.64583333333333337</v>
          </cell>
          <cell r="K973">
            <v>7.6666666666666696</v>
          </cell>
          <cell r="L973">
            <v>396.09</v>
          </cell>
          <cell r="O973" t="str">
            <v>Y</v>
          </cell>
          <cell r="P973" t="str">
            <v>N</v>
          </cell>
          <cell r="Q973" t="str">
            <v>Extra Capacity</v>
          </cell>
          <cell r="S973">
            <v>0.2</v>
          </cell>
        </row>
        <row r="974">
          <cell r="D974">
            <v>908006363</v>
          </cell>
          <cell r="E974" t="str">
            <v>KERRI GALLOWAY</v>
          </cell>
          <cell r="F974" t="str">
            <v>D (MD)</v>
          </cell>
          <cell r="G974">
            <v>330627</v>
          </cell>
          <cell r="H974" t="str">
            <v>Mayday</v>
          </cell>
          <cell r="I974">
            <v>0.3125</v>
          </cell>
          <cell r="J974">
            <v>0.5625</v>
          </cell>
          <cell r="K974">
            <v>6.1666666666666696</v>
          </cell>
          <cell r="L974">
            <v>318.58999999999997</v>
          </cell>
          <cell r="O974" t="str">
            <v>Y</v>
          </cell>
          <cell r="P974" t="str">
            <v>N</v>
          </cell>
          <cell r="Q974" t="str">
            <v>On-Call</v>
          </cell>
          <cell r="S974">
            <v>0.16</v>
          </cell>
        </row>
        <row r="975">
          <cell r="D975">
            <v>808003876</v>
          </cell>
          <cell r="E975" t="str">
            <v>LEONA CONTRERAS</v>
          </cell>
          <cell r="F975" t="str">
            <v>D (MD)</v>
          </cell>
          <cell r="G975">
            <v>330896</v>
          </cell>
          <cell r="H975" t="str">
            <v>Mayday</v>
          </cell>
          <cell r="I975">
            <v>0.3125</v>
          </cell>
          <cell r="J975">
            <v>0.64583333333333337</v>
          </cell>
          <cell r="K975">
            <v>7.6666666666666696</v>
          </cell>
          <cell r="L975">
            <v>396.09</v>
          </cell>
          <cell r="O975" t="str">
            <v>Y</v>
          </cell>
          <cell r="P975" t="str">
            <v>N</v>
          </cell>
          <cell r="Q975" t="str">
            <v>Extra Capacity</v>
          </cell>
          <cell r="S975">
            <v>0.2</v>
          </cell>
        </row>
        <row r="976">
          <cell r="D976">
            <v>908006379</v>
          </cell>
          <cell r="E976" t="str">
            <v>LEONA CONTRERAS</v>
          </cell>
          <cell r="F976" t="str">
            <v>D (MD)</v>
          </cell>
          <cell r="G976">
            <v>330898</v>
          </cell>
          <cell r="H976" t="str">
            <v>Mayday</v>
          </cell>
          <cell r="I976">
            <v>0.64583333333333337</v>
          </cell>
          <cell r="J976">
            <v>0.6875</v>
          </cell>
          <cell r="K976">
            <v>1</v>
          </cell>
          <cell r="L976">
            <v>51.66</v>
          </cell>
          <cell r="O976" t="str">
            <v>Y</v>
          </cell>
          <cell r="P976" t="str">
            <v>N</v>
          </cell>
          <cell r="Q976" t="str">
            <v>On-Call</v>
          </cell>
          <cell r="S976">
            <v>0.03</v>
          </cell>
        </row>
        <row r="977">
          <cell r="D977">
            <v>908005304</v>
          </cell>
          <cell r="E977" t="str">
            <v>LETECIA MENIANO</v>
          </cell>
          <cell r="F977" t="str">
            <v>D (Ch)</v>
          </cell>
          <cell r="G977">
            <v>16749</v>
          </cell>
          <cell r="H977" t="str">
            <v>Choice</v>
          </cell>
          <cell r="I977">
            <v>0.83333333333333337</v>
          </cell>
          <cell r="J977">
            <v>0.33333333333333331</v>
          </cell>
          <cell r="K977">
            <v>11.3333333333333</v>
          </cell>
          <cell r="L977">
            <v>441.91</v>
          </cell>
          <cell r="O977" t="str">
            <v>Y</v>
          </cell>
          <cell r="P977" t="str">
            <v>N</v>
          </cell>
          <cell r="Q977" t="str">
            <v>Extra Capacity</v>
          </cell>
          <cell r="S977">
            <v>0.3</v>
          </cell>
        </row>
        <row r="978">
          <cell r="D978">
            <v>908006415</v>
          </cell>
          <cell r="E978" t="str">
            <v>LOUISE SEYMOUR</v>
          </cell>
          <cell r="F978" t="str">
            <v>D (MD)</v>
          </cell>
          <cell r="G978">
            <v>331350</v>
          </cell>
          <cell r="H978" t="str">
            <v>Mayday</v>
          </cell>
          <cell r="I978">
            <v>0.3125</v>
          </cell>
          <cell r="J978">
            <v>0.5625</v>
          </cell>
          <cell r="K978">
            <v>5.6666666666666696</v>
          </cell>
          <cell r="L978">
            <v>292.76</v>
          </cell>
          <cell r="O978" t="str">
            <v>Y</v>
          </cell>
          <cell r="P978" t="str">
            <v>N</v>
          </cell>
          <cell r="Q978" t="str">
            <v>Acuity</v>
          </cell>
          <cell r="S978">
            <v>0.15</v>
          </cell>
        </row>
        <row r="979">
          <cell r="D979">
            <v>808003763</v>
          </cell>
          <cell r="E979" t="str">
            <v>MABEL MNISI</v>
          </cell>
          <cell r="F979" t="str">
            <v>D (MD)</v>
          </cell>
          <cell r="G979">
            <v>331974</v>
          </cell>
          <cell r="H979" t="str">
            <v>Mayday</v>
          </cell>
          <cell r="I979">
            <v>0.625</v>
          </cell>
          <cell r="J979">
            <v>0.85416666666666663</v>
          </cell>
          <cell r="K979">
            <v>5.5</v>
          </cell>
          <cell r="L979">
            <v>284.14999999999998</v>
          </cell>
          <cell r="O979" t="str">
            <v>Y</v>
          </cell>
          <cell r="P979" t="str">
            <v>N</v>
          </cell>
          <cell r="Q979" t="str">
            <v>Extra Capacity</v>
          </cell>
          <cell r="S979">
            <v>0.15</v>
          </cell>
        </row>
        <row r="980">
          <cell r="D980">
            <v>908004640</v>
          </cell>
          <cell r="E980" t="str">
            <v>MABEL MNISI</v>
          </cell>
          <cell r="F980" t="str">
            <v>D (MD)</v>
          </cell>
          <cell r="G980">
            <v>331975</v>
          </cell>
          <cell r="H980" t="str">
            <v>Mayday</v>
          </cell>
          <cell r="I980">
            <v>0.3125</v>
          </cell>
          <cell r="J980">
            <v>0.625</v>
          </cell>
          <cell r="K980">
            <v>7.1666666666666696</v>
          </cell>
          <cell r="L980">
            <v>370.26</v>
          </cell>
          <cell r="O980" t="str">
            <v>Y</v>
          </cell>
          <cell r="P980" t="str">
            <v>N</v>
          </cell>
          <cell r="Q980" t="str">
            <v>Vacancy</v>
          </cell>
          <cell r="S980">
            <v>0.19</v>
          </cell>
        </row>
        <row r="981">
          <cell r="D981">
            <v>908004722</v>
          </cell>
          <cell r="E981" t="str">
            <v>NILO DANUGO</v>
          </cell>
          <cell r="F981" t="str">
            <v>D (Ch)</v>
          </cell>
          <cell r="G981">
            <v>16745</v>
          </cell>
          <cell r="H981" t="str">
            <v>Choice</v>
          </cell>
          <cell r="I981">
            <v>0.83333333333333337</v>
          </cell>
          <cell r="J981">
            <v>0.33333333333333331</v>
          </cell>
          <cell r="K981">
            <v>11.3333333333333</v>
          </cell>
          <cell r="L981">
            <v>441.91</v>
          </cell>
          <cell r="O981" t="str">
            <v>Y</v>
          </cell>
          <cell r="P981" t="str">
            <v>N</v>
          </cell>
          <cell r="Q981" t="str">
            <v>Vacancy</v>
          </cell>
          <cell r="S981">
            <v>0.3</v>
          </cell>
        </row>
        <row r="982">
          <cell r="D982">
            <v>808003869</v>
          </cell>
          <cell r="E982" t="str">
            <v>PAT DUBE</v>
          </cell>
          <cell r="F982" t="str">
            <v>D (MD)</v>
          </cell>
          <cell r="H982" t="str">
            <v>Mayday</v>
          </cell>
          <cell r="I982">
            <v>0.3125</v>
          </cell>
          <cell r="J982">
            <v>0.64583333333333337</v>
          </cell>
          <cell r="K982">
            <v>7.6666666666666696</v>
          </cell>
          <cell r="L982">
            <v>396.09</v>
          </cell>
          <cell r="O982" t="str">
            <v>Y</v>
          </cell>
          <cell r="P982" t="str">
            <v>N</v>
          </cell>
          <cell r="Q982" t="str">
            <v>Extra Capacity</v>
          </cell>
          <cell r="S982">
            <v>0.2</v>
          </cell>
        </row>
        <row r="983">
          <cell r="D983">
            <v>808003897</v>
          </cell>
          <cell r="E983" t="str">
            <v>PAT DUBE</v>
          </cell>
          <cell r="F983" t="str">
            <v>D (MD)</v>
          </cell>
          <cell r="H983" t="str">
            <v>Mayday</v>
          </cell>
          <cell r="I983">
            <v>0.64583333333333337</v>
          </cell>
          <cell r="J983">
            <v>0.85416666666666663</v>
          </cell>
          <cell r="K983">
            <v>5</v>
          </cell>
          <cell r="L983">
            <v>258.32</v>
          </cell>
          <cell r="O983" t="str">
            <v>Y</v>
          </cell>
          <cell r="P983" t="str">
            <v>N</v>
          </cell>
          <cell r="Q983" t="str">
            <v>Extra Capacity</v>
          </cell>
          <cell r="S983">
            <v>0.13</v>
          </cell>
        </row>
        <row r="984">
          <cell r="D984">
            <v>908006375</v>
          </cell>
          <cell r="E984" t="str">
            <v>RICCA PARADA</v>
          </cell>
          <cell r="F984" t="str">
            <v>D (Ch)</v>
          </cell>
          <cell r="G984">
            <v>16744</v>
          </cell>
          <cell r="H984" t="str">
            <v>Choice</v>
          </cell>
          <cell r="I984">
            <v>0.5625</v>
          </cell>
          <cell r="J984">
            <v>0.875</v>
          </cell>
          <cell r="K984">
            <v>7.1666666666666696</v>
          </cell>
          <cell r="L984">
            <v>279.44</v>
          </cell>
          <cell r="O984" t="str">
            <v>Y</v>
          </cell>
          <cell r="P984" t="str">
            <v>N</v>
          </cell>
          <cell r="Q984" t="str">
            <v>On-Call</v>
          </cell>
          <cell r="S984">
            <v>0.19</v>
          </cell>
        </row>
        <row r="985">
          <cell r="D985">
            <v>908006257</v>
          </cell>
          <cell r="E985" t="str">
            <v>RODA RAMERIZ</v>
          </cell>
          <cell r="F985" t="str">
            <v>D (Ch)</v>
          </cell>
          <cell r="G985">
            <v>16745</v>
          </cell>
          <cell r="H985" t="str">
            <v>Choice</v>
          </cell>
          <cell r="I985">
            <v>0.82291666666666663</v>
          </cell>
          <cell r="J985">
            <v>0.34375</v>
          </cell>
          <cell r="K985">
            <v>10.5</v>
          </cell>
          <cell r="L985">
            <v>409.42</v>
          </cell>
          <cell r="O985" t="str">
            <v>Y</v>
          </cell>
          <cell r="P985" t="str">
            <v>N</v>
          </cell>
          <cell r="Q985" t="str">
            <v>Nurse Moved</v>
          </cell>
          <cell r="S985">
            <v>0.28000000000000003</v>
          </cell>
        </row>
        <row r="986">
          <cell r="D986">
            <v>908006361</v>
          </cell>
          <cell r="E986" t="str">
            <v>SAM KELEM</v>
          </cell>
          <cell r="F986" t="str">
            <v>D (Ch)</v>
          </cell>
          <cell r="G986">
            <v>16754</v>
          </cell>
          <cell r="H986" t="str">
            <v>Choice</v>
          </cell>
          <cell r="I986">
            <v>0.83333333333333337</v>
          </cell>
          <cell r="J986">
            <v>0.33333333333333331</v>
          </cell>
          <cell r="K986">
            <v>11.3333333333333</v>
          </cell>
          <cell r="L986">
            <v>441.91</v>
          </cell>
          <cell r="O986" t="str">
            <v>Y</v>
          </cell>
          <cell r="P986" t="str">
            <v>N</v>
          </cell>
          <cell r="Q986" t="str">
            <v>On-Call</v>
          </cell>
          <cell r="S986">
            <v>0.3</v>
          </cell>
        </row>
        <row r="987">
          <cell r="D987">
            <v>908003566</v>
          </cell>
          <cell r="E987" t="str">
            <v>SAVETREE PANIS</v>
          </cell>
          <cell r="F987" t="str">
            <v>D (MD)</v>
          </cell>
          <cell r="G987">
            <v>330630</v>
          </cell>
          <cell r="H987" t="str">
            <v>Mayday</v>
          </cell>
          <cell r="I987">
            <v>0.3125</v>
          </cell>
          <cell r="J987">
            <v>0.54166666666666663</v>
          </cell>
          <cell r="K987">
            <v>5.5</v>
          </cell>
          <cell r="L987">
            <v>284.14999999999998</v>
          </cell>
          <cell r="O987" t="str">
            <v>Y</v>
          </cell>
          <cell r="P987" t="str">
            <v>N</v>
          </cell>
          <cell r="Q987" t="str">
            <v>Vacancy</v>
          </cell>
          <cell r="S987">
            <v>0.15</v>
          </cell>
        </row>
        <row r="988">
          <cell r="D988">
            <v>908003574</v>
          </cell>
          <cell r="E988" t="str">
            <v>SAVETREE PANIS</v>
          </cell>
          <cell r="F988" t="str">
            <v>D (MD)</v>
          </cell>
          <cell r="G988">
            <v>330630</v>
          </cell>
          <cell r="H988" t="str">
            <v>Mayday</v>
          </cell>
          <cell r="I988">
            <v>0.625</v>
          </cell>
          <cell r="J988">
            <v>0.85416666666666663</v>
          </cell>
          <cell r="K988">
            <v>5.5</v>
          </cell>
          <cell r="L988">
            <v>284.14999999999998</v>
          </cell>
          <cell r="O988" t="str">
            <v>Y</v>
          </cell>
          <cell r="P988" t="str">
            <v>N</v>
          </cell>
          <cell r="Q988" t="str">
            <v>Vacancy</v>
          </cell>
          <cell r="S988">
            <v>0.15</v>
          </cell>
        </row>
        <row r="989">
          <cell r="D989">
            <v>808003777</v>
          </cell>
          <cell r="E989" t="str">
            <v>TEMBE NGIDI</v>
          </cell>
          <cell r="F989" t="str">
            <v>D (MD)</v>
          </cell>
          <cell r="H989" t="str">
            <v>Mayday</v>
          </cell>
          <cell r="I989">
            <v>0.83333333333333337</v>
          </cell>
          <cell r="J989">
            <v>0.33333333333333331</v>
          </cell>
          <cell r="K989">
            <v>11.3333333333333</v>
          </cell>
          <cell r="L989">
            <v>585.53</v>
          </cell>
          <cell r="O989" t="str">
            <v>Y</v>
          </cell>
          <cell r="P989" t="str">
            <v>N</v>
          </cell>
          <cell r="Q989" t="str">
            <v>Extra Capacity</v>
          </cell>
          <cell r="S989">
            <v>0.3</v>
          </cell>
        </row>
        <row r="990">
          <cell r="D990">
            <v>908005303</v>
          </cell>
          <cell r="E990" t="str">
            <v>THEMBE NHOSE</v>
          </cell>
          <cell r="F990" t="str">
            <v>D (MD)</v>
          </cell>
          <cell r="H990" t="str">
            <v>Mayday</v>
          </cell>
          <cell r="I990">
            <v>0.83333333333333337</v>
          </cell>
          <cell r="J990">
            <v>0.33333333333333331</v>
          </cell>
          <cell r="K990">
            <v>11.3333333333333</v>
          </cell>
          <cell r="L990">
            <v>585.53</v>
          </cell>
          <cell r="O990" t="str">
            <v>Y</v>
          </cell>
          <cell r="P990" t="str">
            <v>N</v>
          </cell>
          <cell r="Q990" t="str">
            <v>Extra Capacity</v>
          </cell>
          <cell r="S990">
            <v>0.3</v>
          </cell>
        </row>
        <row r="991">
          <cell r="D991">
            <v>908006358</v>
          </cell>
          <cell r="E991" t="str">
            <v>TRUST CHIWUNDURA</v>
          </cell>
          <cell r="F991" t="str">
            <v>A (Ch)</v>
          </cell>
          <cell r="G991">
            <v>16735</v>
          </cell>
          <cell r="H991" t="str">
            <v>Choice</v>
          </cell>
          <cell r="I991">
            <v>0.83333333333333337</v>
          </cell>
          <cell r="J991">
            <v>0.33333333333333331</v>
          </cell>
          <cell r="K991">
            <v>11.3333333333333</v>
          </cell>
          <cell r="L991">
            <v>209.48</v>
          </cell>
          <cell r="O991" t="str">
            <v>Y</v>
          </cell>
          <cell r="P991" t="str">
            <v>N</v>
          </cell>
          <cell r="Q991" t="str">
            <v>On-Call</v>
          </cell>
          <cell r="S991">
            <v>0.3</v>
          </cell>
        </row>
        <row r="992">
          <cell r="D992">
            <v>908006416</v>
          </cell>
          <cell r="E992" t="str">
            <v>VICKY MILLER</v>
          </cell>
          <cell r="F992" t="str">
            <v>D/5 (PS)</v>
          </cell>
          <cell r="H992" t="str">
            <v>Pinnacle Staffing</v>
          </cell>
          <cell r="I992">
            <v>0.60416666666666663</v>
          </cell>
          <cell r="J992">
            <v>0.85416666666666663</v>
          </cell>
          <cell r="K992">
            <v>6</v>
          </cell>
          <cell r="L992">
            <v>163.1</v>
          </cell>
          <cell r="O992" t="str">
            <v>Y</v>
          </cell>
          <cell r="P992" t="str">
            <v>N</v>
          </cell>
          <cell r="Q992" t="str">
            <v>Acuity</v>
          </cell>
          <cell r="S992">
            <v>0.16</v>
          </cell>
        </row>
        <row r="993">
          <cell r="D993">
            <v>908002270</v>
          </cell>
          <cell r="E993" t="str">
            <v>ANNA BONNERUP</v>
          </cell>
          <cell r="F993" t="str">
            <v>D / 5 General (</v>
          </cell>
          <cell r="G993" t="str">
            <v>604-150997</v>
          </cell>
          <cell r="H993" t="str">
            <v>Blue Arrow</v>
          </cell>
          <cell r="I993">
            <v>0.625</v>
          </cell>
          <cell r="J993">
            <v>0.85416666666666663</v>
          </cell>
          <cell r="K993">
            <v>5.5</v>
          </cell>
          <cell r="L993">
            <v>92.84</v>
          </cell>
          <cell r="O993" t="str">
            <v>Y</v>
          </cell>
          <cell r="P993" t="str">
            <v>N</v>
          </cell>
          <cell r="Q993" t="str">
            <v>Vacancy</v>
          </cell>
          <cell r="S993">
            <v>0.15</v>
          </cell>
        </row>
        <row r="994">
          <cell r="D994">
            <v>808003990</v>
          </cell>
          <cell r="E994" t="str">
            <v>ATINUKE OKE-OLATUNDE</v>
          </cell>
          <cell r="F994" t="str">
            <v>D (MD)</v>
          </cell>
          <cell r="H994" t="str">
            <v>Mayday</v>
          </cell>
          <cell r="I994">
            <v>0.83333333333333337</v>
          </cell>
          <cell r="J994">
            <v>0.33333333333333331</v>
          </cell>
          <cell r="K994">
            <v>11.3333333333333</v>
          </cell>
          <cell r="L994">
            <v>475.74</v>
          </cell>
          <cell r="O994" t="str">
            <v>Y</v>
          </cell>
          <cell r="P994" t="str">
            <v>N</v>
          </cell>
          <cell r="Q994" t="str">
            <v>Extra Capacity</v>
          </cell>
          <cell r="S994">
            <v>0.3</v>
          </cell>
        </row>
        <row r="995">
          <cell r="D995">
            <v>808004068</v>
          </cell>
          <cell r="E995" t="str">
            <v>BEAUTY NGIDI</v>
          </cell>
          <cell r="F995" t="str">
            <v>D (MD)</v>
          </cell>
          <cell r="H995" t="str">
            <v>Mayday</v>
          </cell>
          <cell r="I995">
            <v>0.83333333333333337</v>
          </cell>
          <cell r="J995">
            <v>0.33333333333333331</v>
          </cell>
          <cell r="K995">
            <v>11.3333333333333</v>
          </cell>
          <cell r="L995">
            <v>475.74</v>
          </cell>
          <cell r="O995" t="str">
            <v>Y</v>
          </cell>
          <cell r="P995" t="str">
            <v>N</v>
          </cell>
          <cell r="Q995" t="str">
            <v>Extra Capacity</v>
          </cell>
          <cell r="S995">
            <v>0.3</v>
          </cell>
        </row>
        <row r="996">
          <cell r="D996">
            <v>808003983</v>
          </cell>
          <cell r="E996" t="str">
            <v>BRIGHTNESS NDEBELE</v>
          </cell>
          <cell r="F996" t="str">
            <v>D (MD)</v>
          </cell>
          <cell r="G996">
            <v>332456</v>
          </cell>
          <cell r="H996" t="str">
            <v>Mayday</v>
          </cell>
          <cell r="I996">
            <v>0.83333333333333337</v>
          </cell>
          <cell r="J996">
            <v>0.33333333333333331</v>
          </cell>
          <cell r="K996">
            <v>11.3333333333333</v>
          </cell>
          <cell r="L996">
            <v>475.74</v>
          </cell>
          <cell r="O996" t="str">
            <v>Y</v>
          </cell>
          <cell r="P996" t="str">
            <v>N</v>
          </cell>
          <cell r="Q996" t="str">
            <v>Extra Capacity</v>
          </cell>
          <cell r="S996">
            <v>0.3</v>
          </cell>
        </row>
        <row r="997">
          <cell r="D997">
            <v>908006019</v>
          </cell>
          <cell r="E997" t="str">
            <v>COLLEN SIBANDA</v>
          </cell>
          <cell r="F997" t="str">
            <v>D (Ch)</v>
          </cell>
          <cell r="H997" t="str">
            <v>Choice</v>
          </cell>
          <cell r="I997">
            <v>0.625</v>
          </cell>
          <cell r="J997">
            <v>0.89583333333333337</v>
          </cell>
          <cell r="K997">
            <v>6.1666666666666696</v>
          </cell>
          <cell r="L997">
            <v>150.28</v>
          </cell>
          <cell r="O997" t="str">
            <v>Y</v>
          </cell>
          <cell r="P997" t="str">
            <v>N</v>
          </cell>
          <cell r="Q997" t="str">
            <v>Extra Capacity</v>
          </cell>
          <cell r="S997">
            <v>0.16</v>
          </cell>
        </row>
        <row r="998">
          <cell r="D998">
            <v>908005305</v>
          </cell>
          <cell r="E998" t="str">
            <v>CYNTHIA DELMO</v>
          </cell>
          <cell r="F998" t="str">
            <v>D (Ch)</v>
          </cell>
          <cell r="G998">
            <v>16811</v>
          </cell>
          <cell r="H998" t="str">
            <v>Choice</v>
          </cell>
          <cell r="I998">
            <v>0.3125</v>
          </cell>
          <cell r="J998">
            <v>0.625</v>
          </cell>
          <cell r="K998">
            <v>7.1666666666666696</v>
          </cell>
          <cell r="L998">
            <v>174.65</v>
          </cell>
          <cell r="O998" t="str">
            <v>Y</v>
          </cell>
          <cell r="P998" t="str">
            <v>N</v>
          </cell>
          <cell r="Q998" t="str">
            <v>Extra Capacity</v>
          </cell>
          <cell r="S998">
            <v>0.19</v>
          </cell>
        </row>
        <row r="999">
          <cell r="D999">
            <v>1008001068</v>
          </cell>
          <cell r="E999" t="str">
            <v>GEORGINA MAFISA</v>
          </cell>
          <cell r="F999" t="str">
            <v>D (MD)</v>
          </cell>
          <cell r="H999" t="str">
            <v>Mayday</v>
          </cell>
          <cell r="I999">
            <v>0.83333333333333337</v>
          </cell>
          <cell r="J999">
            <v>0.33333333333333331</v>
          </cell>
          <cell r="K999">
            <v>11</v>
          </cell>
          <cell r="L999">
            <v>461.75</v>
          </cell>
          <cell r="O999" t="str">
            <v>Y</v>
          </cell>
          <cell r="P999" t="str">
            <v>N</v>
          </cell>
          <cell r="Q999" t="str">
            <v>Acuity</v>
          </cell>
          <cell r="S999">
            <v>0.28999999999999998</v>
          </cell>
        </row>
        <row r="1000">
          <cell r="D1000">
            <v>908005307</v>
          </cell>
          <cell r="E1000" t="str">
            <v>HILDA SHANGE</v>
          </cell>
          <cell r="F1000" t="str">
            <v>D (Ch)</v>
          </cell>
          <cell r="H1000" t="str">
            <v>Choice</v>
          </cell>
          <cell r="I1000">
            <v>0.83333333333333337</v>
          </cell>
          <cell r="J1000">
            <v>0.33333333333333331</v>
          </cell>
          <cell r="K1000">
            <v>11.3333333333333</v>
          </cell>
          <cell r="L1000">
            <v>359.05</v>
          </cell>
          <cell r="O1000" t="str">
            <v>Y</v>
          </cell>
          <cell r="P1000" t="str">
            <v>N</v>
          </cell>
          <cell r="Q1000" t="str">
            <v>Extra Capacity</v>
          </cell>
          <cell r="S1000">
            <v>0.3</v>
          </cell>
        </row>
        <row r="1001">
          <cell r="D1001">
            <v>908006471</v>
          </cell>
          <cell r="E1001" t="str">
            <v>HOPE NYAMAYEDENGA</v>
          </cell>
          <cell r="F1001" t="str">
            <v>A (Ch)</v>
          </cell>
          <cell r="G1001">
            <v>16810</v>
          </cell>
          <cell r="H1001" t="str">
            <v>Choice</v>
          </cell>
          <cell r="I1001">
            <v>0.875</v>
          </cell>
          <cell r="J1001">
            <v>0.32291666666666669</v>
          </cell>
          <cell r="K1001">
            <v>10</v>
          </cell>
          <cell r="L1001">
            <v>147.87</v>
          </cell>
          <cell r="O1001" t="str">
            <v>Y</v>
          </cell>
          <cell r="P1001" t="str">
            <v>N</v>
          </cell>
          <cell r="Q1001" t="str">
            <v>Specials</v>
          </cell>
          <cell r="S1001">
            <v>0.27</v>
          </cell>
        </row>
        <row r="1002">
          <cell r="D1002">
            <v>908005309</v>
          </cell>
          <cell r="E1002" t="str">
            <v>JASMINE ESGUERRA</v>
          </cell>
          <cell r="F1002" t="str">
            <v>D (Ch)</v>
          </cell>
          <cell r="G1002">
            <v>16741</v>
          </cell>
          <cell r="H1002" t="str">
            <v>Choice</v>
          </cell>
          <cell r="I1002">
            <v>0.83333333333333337</v>
          </cell>
          <cell r="J1002">
            <v>0.33333333333333331</v>
          </cell>
          <cell r="K1002">
            <v>11.3333333333333</v>
          </cell>
          <cell r="L1002">
            <v>359.05</v>
          </cell>
          <cell r="O1002" t="str">
            <v>Y</v>
          </cell>
          <cell r="P1002" t="str">
            <v>N</v>
          </cell>
          <cell r="Q1002" t="str">
            <v>Extra Capacity</v>
          </cell>
          <cell r="S1002">
            <v>0.3</v>
          </cell>
        </row>
        <row r="1003">
          <cell r="D1003">
            <v>808006708</v>
          </cell>
          <cell r="E1003" t="str">
            <v>JEAN NGONA</v>
          </cell>
          <cell r="F1003" t="str">
            <v>D (MD)</v>
          </cell>
          <cell r="G1003">
            <v>333649</v>
          </cell>
          <cell r="H1003" t="str">
            <v>Mayday</v>
          </cell>
          <cell r="I1003">
            <v>0.5625</v>
          </cell>
          <cell r="J1003">
            <v>0.875</v>
          </cell>
          <cell r="K1003">
            <v>7.1666666666666696</v>
          </cell>
          <cell r="L1003">
            <v>231.41</v>
          </cell>
          <cell r="O1003" t="str">
            <v>Y</v>
          </cell>
          <cell r="P1003" t="str">
            <v>N</v>
          </cell>
          <cell r="Q1003" t="str">
            <v>Vacancy</v>
          </cell>
          <cell r="S1003">
            <v>0.19</v>
          </cell>
        </row>
        <row r="1004">
          <cell r="D1004">
            <v>908001339</v>
          </cell>
          <cell r="E1004" t="str">
            <v>JOAN LEWIS</v>
          </cell>
          <cell r="F1004" t="str">
            <v>D (MD)</v>
          </cell>
          <cell r="H1004" t="str">
            <v>Mayday</v>
          </cell>
          <cell r="I1004">
            <v>0.875</v>
          </cell>
          <cell r="J1004">
            <v>0.30208333333333331</v>
          </cell>
          <cell r="K1004">
            <v>9.9166666666666696</v>
          </cell>
          <cell r="L1004">
            <v>416.27</v>
          </cell>
          <cell r="O1004" t="str">
            <v>Y</v>
          </cell>
          <cell r="P1004" t="str">
            <v>N</v>
          </cell>
          <cell r="Q1004" t="str">
            <v>Vacancy</v>
          </cell>
          <cell r="S1004">
            <v>0.26</v>
          </cell>
        </row>
        <row r="1005">
          <cell r="D1005">
            <v>908005812</v>
          </cell>
          <cell r="E1005" t="str">
            <v>KAREN VAUGHAN</v>
          </cell>
          <cell r="F1005" t="str">
            <v>D General (Orio</v>
          </cell>
          <cell r="G1005" t="str">
            <v>Invsd Smt checked</v>
          </cell>
          <cell r="H1005" t="str">
            <v>Orion</v>
          </cell>
          <cell r="I1005">
            <v>0.33333333333333331</v>
          </cell>
          <cell r="J1005">
            <v>0.75</v>
          </cell>
          <cell r="K1005">
            <v>9.5</v>
          </cell>
          <cell r="L1005">
            <v>172.14</v>
          </cell>
          <cell r="O1005" t="str">
            <v>Y</v>
          </cell>
          <cell r="P1005" t="str">
            <v>N</v>
          </cell>
          <cell r="Q1005" t="str">
            <v>Vacancy</v>
          </cell>
          <cell r="S1005">
            <v>0.25</v>
          </cell>
        </row>
        <row r="1006">
          <cell r="D1006">
            <v>908006303</v>
          </cell>
          <cell r="E1006" t="str">
            <v>KATE GUTHRIE</v>
          </cell>
          <cell r="F1006" t="str">
            <v>5 General (Adva</v>
          </cell>
          <cell r="G1006">
            <v>1399230</v>
          </cell>
          <cell r="H1006" t="str">
            <v>Advantage</v>
          </cell>
          <cell r="I1006">
            <v>0.875</v>
          </cell>
          <cell r="J1006">
            <v>0.3125</v>
          </cell>
          <cell r="K1006">
            <v>10.1666666666667</v>
          </cell>
          <cell r="L1006">
            <v>212</v>
          </cell>
          <cell r="O1006" t="str">
            <v>Y</v>
          </cell>
          <cell r="P1006" t="str">
            <v>N</v>
          </cell>
          <cell r="Q1006" t="str">
            <v>Short Term Sick</v>
          </cell>
          <cell r="S1006">
            <v>0.27</v>
          </cell>
        </row>
        <row r="1007">
          <cell r="D1007">
            <v>808004026</v>
          </cell>
          <cell r="E1007" t="str">
            <v>KERRI GALLOWAY</v>
          </cell>
          <cell r="F1007" t="str">
            <v>D (MD)</v>
          </cell>
          <cell r="G1007">
            <v>332497</v>
          </cell>
          <cell r="H1007" t="str">
            <v>Mayday</v>
          </cell>
          <cell r="I1007">
            <v>0.3125</v>
          </cell>
          <cell r="J1007">
            <v>0.64583333333333337</v>
          </cell>
          <cell r="K1007">
            <v>7.6666666666666696</v>
          </cell>
          <cell r="L1007">
            <v>247.56</v>
          </cell>
          <cell r="O1007" t="str">
            <v>Y</v>
          </cell>
          <cell r="P1007" t="str">
            <v>N</v>
          </cell>
          <cell r="Q1007" t="str">
            <v>Extra Capacity</v>
          </cell>
          <cell r="S1007">
            <v>0.2</v>
          </cell>
        </row>
        <row r="1008">
          <cell r="D1008">
            <v>808004047</v>
          </cell>
          <cell r="E1008" t="str">
            <v>KERRI GALLOWAY</v>
          </cell>
          <cell r="F1008" t="str">
            <v>D (MD)</v>
          </cell>
          <cell r="G1008">
            <v>332497</v>
          </cell>
          <cell r="H1008" t="str">
            <v>Mayday</v>
          </cell>
          <cell r="I1008">
            <v>0.64583333333333337</v>
          </cell>
          <cell r="J1008">
            <v>0.85416666666666663</v>
          </cell>
          <cell r="K1008">
            <v>5</v>
          </cell>
          <cell r="L1008">
            <v>161.44999999999999</v>
          </cell>
          <cell r="O1008" t="str">
            <v>Y</v>
          </cell>
          <cell r="P1008" t="str">
            <v>N</v>
          </cell>
          <cell r="Q1008" t="str">
            <v>Extra Capacity</v>
          </cell>
          <cell r="S1008">
            <v>0.13</v>
          </cell>
        </row>
        <row r="1009">
          <cell r="D1009">
            <v>908001340</v>
          </cell>
          <cell r="E1009" t="str">
            <v>OMAR SENGHORE</v>
          </cell>
          <cell r="F1009" t="str">
            <v>D (MD)</v>
          </cell>
          <cell r="G1009">
            <v>333817</v>
          </cell>
          <cell r="H1009" t="str">
            <v>Mayday</v>
          </cell>
          <cell r="I1009">
            <v>0.875</v>
          </cell>
          <cell r="J1009">
            <v>0.30208333333333331</v>
          </cell>
          <cell r="K1009">
            <v>9.9166666666666696</v>
          </cell>
          <cell r="L1009">
            <v>416.27</v>
          </cell>
          <cell r="O1009" t="str">
            <v>Y</v>
          </cell>
          <cell r="P1009" t="str">
            <v>N</v>
          </cell>
          <cell r="Q1009" t="str">
            <v>Vacancy</v>
          </cell>
          <cell r="S1009">
            <v>0.26</v>
          </cell>
        </row>
        <row r="1010">
          <cell r="D1010">
            <v>808006404</v>
          </cell>
          <cell r="E1010" t="str">
            <v>PAT MUGABZA</v>
          </cell>
          <cell r="F1010" t="str">
            <v>A (Ch)</v>
          </cell>
          <cell r="G1010">
            <v>16861</v>
          </cell>
          <cell r="H1010" t="str">
            <v>Choice</v>
          </cell>
          <cell r="I1010">
            <v>0.83333333333333337</v>
          </cell>
          <cell r="J1010">
            <v>0.33333333333333331</v>
          </cell>
          <cell r="K1010">
            <v>11.3333333333333</v>
          </cell>
          <cell r="L1010">
            <v>167.58</v>
          </cell>
          <cell r="O1010" t="str">
            <v>Y</v>
          </cell>
          <cell r="P1010" t="str">
            <v>N</v>
          </cell>
          <cell r="Q1010" t="str">
            <v>Vacancy</v>
          </cell>
          <cell r="S1010">
            <v>0.3</v>
          </cell>
        </row>
        <row r="1011">
          <cell r="D1011">
            <v>908001009</v>
          </cell>
          <cell r="E1011" t="str">
            <v>PEGGY CHIRIKURE</v>
          </cell>
          <cell r="F1011" t="str">
            <v>D (Ch)</v>
          </cell>
          <cell r="G1011">
            <v>16793</v>
          </cell>
          <cell r="H1011" t="str">
            <v>Choice</v>
          </cell>
          <cell r="I1011">
            <v>0.625</v>
          </cell>
          <cell r="J1011">
            <v>0.85416666666666663</v>
          </cell>
          <cell r="K1011">
            <v>5.5</v>
          </cell>
          <cell r="L1011">
            <v>134.03</v>
          </cell>
          <cell r="O1011" t="str">
            <v>Y</v>
          </cell>
          <cell r="P1011" t="str">
            <v>N</v>
          </cell>
          <cell r="Q1011" t="str">
            <v>Vacancy</v>
          </cell>
          <cell r="S1011">
            <v>0.15</v>
          </cell>
        </row>
        <row r="1012">
          <cell r="D1012">
            <v>908005508</v>
          </cell>
          <cell r="E1012" t="str">
            <v>PEGGY CHIRIKURE</v>
          </cell>
          <cell r="F1012" t="str">
            <v>D (Ch)</v>
          </cell>
          <cell r="G1012">
            <v>16793</v>
          </cell>
          <cell r="H1012" t="str">
            <v>Choice</v>
          </cell>
          <cell r="I1012">
            <v>0.3125</v>
          </cell>
          <cell r="J1012">
            <v>0.54166666666666663</v>
          </cell>
          <cell r="K1012">
            <v>5.5</v>
          </cell>
          <cell r="L1012">
            <v>134.03</v>
          </cell>
          <cell r="O1012" t="str">
            <v>Y</v>
          </cell>
          <cell r="P1012" t="str">
            <v>N</v>
          </cell>
          <cell r="Q1012" t="str">
            <v>Extra Capacity</v>
          </cell>
          <cell r="S1012">
            <v>0.15</v>
          </cell>
        </row>
        <row r="1013">
          <cell r="D1013">
            <v>908005066</v>
          </cell>
          <cell r="E1013" t="str">
            <v>PEGGY MAPOGO</v>
          </cell>
          <cell r="F1013" t="str">
            <v>D (Ch)</v>
          </cell>
          <cell r="G1013">
            <v>16794</v>
          </cell>
          <cell r="H1013" t="str">
            <v>Choice</v>
          </cell>
          <cell r="I1013">
            <v>0.3125</v>
          </cell>
          <cell r="J1013">
            <v>0.5625</v>
          </cell>
          <cell r="K1013">
            <v>5.6666666666666696</v>
          </cell>
          <cell r="L1013">
            <v>138.1</v>
          </cell>
          <cell r="O1013" t="str">
            <v>Y</v>
          </cell>
          <cell r="P1013" t="str">
            <v>N</v>
          </cell>
          <cell r="Q1013" t="str">
            <v>Under Established</v>
          </cell>
          <cell r="S1013">
            <v>0.15</v>
          </cell>
        </row>
        <row r="1014">
          <cell r="D1014">
            <v>908005067</v>
          </cell>
          <cell r="E1014" t="str">
            <v>PEGGY MAPOGO</v>
          </cell>
          <cell r="F1014" t="str">
            <v>D (Ch)</v>
          </cell>
          <cell r="G1014">
            <v>16794</v>
          </cell>
          <cell r="H1014" t="str">
            <v>Choice</v>
          </cell>
          <cell r="I1014">
            <v>0.5625</v>
          </cell>
          <cell r="J1014">
            <v>0.89583333333333337</v>
          </cell>
          <cell r="K1014">
            <v>7.6666666666666696</v>
          </cell>
          <cell r="L1014">
            <v>186.84</v>
          </cell>
          <cell r="O1014" t="str">
            <v>Y</v>
          </cell>
          <cell r="P1014" t="str">
            <v>N</v>
          </cell>
          <cell r="Q1014" t="str">
            <v>Under Established</v>
          </cell>
          <cell r="S1014">
            <v>0.2</v>
          </cell>
        </row>
        <row r="1015">
          <cell r="D1015">
            <v>908002434</v>
          </cell>
          <cell r="E1015" t="str">
            <v>TAMBU JENA</v>
          </cell>
          <cell r="F1015" t="str">
            <v>D (Ch)</v>
          </cell>
          <cell r="G1015">
            <v>16803</v>
          </cell>
          <cell r="H1015" t="str">
            <v>Choice</v>
          </cell>
          <cell r="I1015">
            <v>0.625</v>
          </cell>
          <cell r="J1015">
            <v>0.875</v>
          </cell>
          <cell r="K1015">
            <v>5</v>
          </cell>
          <cell r="L1015">
            <v>121.85</v>
          </cell>
          <cell r="O1015" t="str">
            <v>Y</v>
          </cell>
          <cell r="P1015" t="str">
            <v>N</v>
          </cell>
          <cell r="Q1015" t="str">
            <v>Vacancy</v>
          </cell>
          <cell r="S1015">
            <v>0.13</v>
          </cell>
        </row>
        <row r="1016">
          <cell r="D1016">
            <v>908006422</v>
          </cell>
          <cell r="E1016" t="str">
            <v>TAMBU JENA</v>
          </cell>
          <cell r="F1016" t="str">
            <v>D (Ch)</v>
          </cell>
          <cell r="G1016">
            <v>16803</v>
          </cell>
          <cell r="H1016" t="str">
            <v>Choice</v>
          </cell>
          <cell r="I1016">
            <v>0.29166666666666669</v>
          </cell>
          <cell r="J1016">
            <v>0.54166666666666663</v>
          </cell>
          <cell r="K1016">
            <v>5.75</v>
          </cell>
          <cell r="L1016">
            <v>140.13</v>
          </cell>
          <cell r="O1016" t="str">
            <v>Y</v>
          </cell>
          <cell r="P1016" t="str">
            <v>N</v>
          </cell>
          <cell r="Q1016" t="str">
            <v>Vacancy</v>
          </cell>
          <cell r="S1016">
            <v>0.15</v>
          </cell>
        </row>
        <row r="1017">
          <cell r="D1017">
            <v>908005813</v>
          </cell>
          <cell r="E1017" t="str">
            <v>TOM OSBOURNE</v>
          </cell>
          <cell r="F1017" t="str">
            <v>D General (Orio</v>
          </cell>
          <cell r="G1017" t="str">
            <v>Invsd Smt checked</v>
          </cell>
          <cell r="H1017" t="str">
            <v>Orion</v>
          </cell>
          <cell r="I1017">
            <v>0.33333333333333331</v>
          </cell>
          <cell r="J1017">
            <v>0.75</v>
          </cell>
          <cell r="K1017">
            <v>9.5</v>
          </cell>
          <cell r="L1017">
            <v>172.14</v>
          </cell>
          <cell r="O1017" t="str">
            <v>Y</v>
          </cell>
          <cell r="P1017" t="str">
            <v>N</v>
          </cell>
          <cell r="Q1017" t="str">
            <v>Vacancy</v>
          </cell>
          <cell r="S1017">
            <v>0.25</v>
          </cell>
        </row>
        <row r="1018">
          <cell r="D1018">
            <v>908002641</v>
          </cell>
          <cell r="E1018" t="str">
            <v>ANNA BONNERUP</v>
          </cell>
          <cell r="F1018" t="str">
            <v>D / 5 General (</v>
          </cell>
          <cell r="G1018" t="str">
            <v>604-150997</v>
          </cell>
          <cell r="H1018" t="str">
            <v>Blue Arrow</v>
          </cell>
          <cell r="I1018">
            <v>0.3125</v>
          </cell>
          <cell r="J1018">
            <v>0.54166666666666663</v>
          </cell>
          <cell r="K1018">
            <v>5.5</v>
          </cell>
          <cell r="L1018">
            <v>92.84</v>
          </cell>
          <cell r="O1018" t="str">
            <v>Y</v>
          </cell>
          <cell r="P1018" t="str">
            <v>N</v>
          </cell>
          <cell r="Q1018" t="str">
            <v>Vacancy</v>
          </cell>
          <cell r="S1018">
            <v>0.15</v>
          </cell>
        </row>
        <row r="1019">
          <cell r="D1019">
            <v>908004375</v>
          </cell>
          <cell r="E1019" t="str">
            <v>ANNA BONNERUP</v>
          </cell>
          <cell r="F1019" t="str">
            <v>D / 5 General (</v>
          </cell>
          <cell r="G1019" t="str">
            <v>604-150997</v>
          </cell>
          <cell r="H1019" t="str">
            <v>Blue Arrow</v>
          </cell>
          <cell r="I1019">
            <v>0.625</v>
          </cell>
          <cell r="J1019">
            <v>0.85416666666666663</v>
          </cell>
          <cell r="K1019">
            <v>5.5</v>
          </cell>
          <cell r="L1019">
            <v>92.84</v>
          </cell>
          <cell r="O1019" t="str">
            <v>Y</v>
          </cell>
          <cell r="P1019" t="str">
            <v>N</v>
          </cell>
          <cell r="Q1019" t="str">
            <v>Vacancy</v>
          </cell>
          <cell r="S1019">
            <v>0.15</v>
          </cell>
        </row>
        <row r="1020">
          <cell r="D1020">
            <v>808003991</v>
          </cell>
          <cell r="E1020" t="str">
            <v>ATINUKE OKE-OLATUNDE</v>
          </cell>
          <cell r="F1020" t="str">
            <v>D (MD)</v>
          </cell>
          <cell r="G1020">
            <v>333852</v>
          </cell>
          <cell r="H1020" t="str">
            <v>Mayday</v>
          </cell>
          <cell r="I1020">
            <v>0.83333333333333337</v>
          </cell>
          <cell r="J1020">
            <v>0.33333333333333331</v>
          </cell>
          <cell r="K1020">
            <v>11.3333333333333</v>
          </cell>
          <cell r="L1020">
            <v>475.74</v>
          </cell>
          <cell r="O1020" t="str">
            <v>Y</v>
          </cell>
          <cell r="P1020" t="str">
            <v>N</v>
          </cell>
          <cell r="Q1020" t="str">
            <v>Extra Capacity</v>
          </cell>
          <cell r="S1020">
            <v>0.3</v>
          </cell>
        </row>
        <row r="1021">
          <cell r="D1021">
            <v>808004069</v>
          </cell>
          <cell r="E1021" t="str">
            <v>BEAUTY NGIDI</v>
          </cell>
          <cell r="F1021" t="str">
            <v>D (MD)</v>
          </cell>
          <cell r="H1021" t="str">
            <v>Mayday</v>
          </cell>
          <cell r="I1021">
            <v>0.83333333333333337</v>
          </cell>
          <cell r="J1021">
            <v>0.33333333333333331</v>
          </cell>
          <cell r="K1021">
            <v>11.3333333333333</v>
          </cell>
          <cell r="L1021">
            <v>475.74</v>
          </cell>
          <cell r="O1021" t="str">
            <v>Y</v>
          </cell>
          <cell r="P1021" t="str">
            <v>N</v>
          </cell>
          <cell r="Q1021" t="str">
            <v>Extra Capacity</v>
          </cell>
          <cell r="S1021">
            <v>0.3</v>
          </cell>
        </row>
        <row r="1022">
          <cell r="D1022">
            <v>908005069</v>
          </cell>
          <cell r="E1022" t="str">
            <v>BHEENADEVI BASSOO</v>
          </cell>
          <cell r="F1022" t="str">
            <v>D (Ch)</v>
          </cell>
          <cell r="G1022">
            <v>16864</v>
          </cell>
          <cell r="H1022" t="str">
            <v>Choice</v>
          </cell>
          <cell r="I1022">
            <v>0.625</v>
          </cell>
          <cell r="J1022">
            <v>0.875</v>
          </cell>
          <cell r="K1022">
            <v>6.1666666666666696</v>
          </cell>
          <cell r="L1022">
            <v>150.28</v>
          </cell>
          <cell r="O1022" t="str">
            <v>Y</v>
          </cell>
          <cell r="P1022" t="str">
            <v>N</v>
          </cell>
          <cell r="Q1022" t="str">
            <v>Backfill</v>
          </cell>
          <cell r="S1022">
            <v>0.16</v>
          </cell>
        </row>
        <row r="1023">
          <cell r="D1023">
            <v>1008000102</v>
          </cell>
          <cell r="E1023" t="str">
            <v>BHEENADEVI BASSOO</v>
          </cell>
          <cell r="F1023" t="str">
            <v>D (Ch)</v>
          </cell>
          <cell r="G1023">
            <v>16864</v>
          </cell>
          <cell r="H1023" t="str">
            <v>Choice</v>
          </cell>
          <cell r="I1023">
            <v>0.3125</v>
          </cell>
          <cell r="J1023">
            <v>0.58333333333333337</v>
          </cell>
          <cell r="K1023">
            <v>6.1666666666666696</v>
          </cell>
          <cell r="L1023">
            <v>150.28</v>
          </cell>
          <cell r="O1023" t="str">
            <v>Y</v>
          </cell>
          <cell r="P1023" t="str">
            <v>N</v>
          </cell>
          <cell r="Q1023" t="str">
            <v>Nurse Moved</v>
          </cell>
          <cell r="S1023">
            <v>0.16</v>
          </cell>
        </row>
        <row r="1024">
          <cell r="D1024">
            <v>808003984</v>
          </cell>
          <cell r="E1024" t="str">
            <v>BRIGHTNESS NDEBELE</v>
          </cell>
          <cell r="F1024" t="str">
            <v>D (MD)</v>
          </cell>
          <cell r="G1024">
            <v>332456</v>
          </cell>
          <cell r="H1024" t="str">
            <v>Mayday</v>
          </cell>
          <cell r="I1024">
            <v>0.83333333333333337</v>
          </cell>
          <cell r="J1024">
            <v>0.33333333333333331</v>
          </cell>
          <cell r="K1024">
            <v>11.3333333333333</v>
          </cell>
          <cell r="L1024">
            <v>475.74</v>
          </cell>
          <cell r="O1024" t="str">
            <v>Y</v>
          </cell>
          <cell r="P1024" t="str">
            <v>N</v>
          </cell>
          <cell r="Q1024" t="str">
            <v>Extra Capacity</v>
          </cell>
          <cell r="S1024">
            <v>0.3</v>
          </cell>
        </row>
        <row r="1025">
          <cell r="D1025">
            <v>908003726</v>
          </cell>
          <cell r="E1025" t="str">
            <v>CHRIS STULAR</v>
          </cell>
          <cell r="F1025" t="str">
            <v>D General (Orio</v>
          </cell>
          <cell r="G1025" t="str">
            <v>Invsd Smt checked</v>
          </cell>
          <cell r="H1025" t="str">
            <v>Orion</v>
          </cell>
          <cell r="I1025">
            <v>0.33333333333333331</v>
          </cell>
          <cell r="J1025">
            <v>0.75</v>
          </cell>
          <cell r="K1025">
            <v>9.5</v>
          </cell>
          <cell r="L1025">
            <v>172.14</v>
          </cell>
          <cell r="O1025" t="str">
            <v>Y</v>
          </cell>
          <cell r="P1025" t="str">
            <v>N</v>
          </cell>
          <cell r="Q1025" t="str">
            <v>Vacancy</v>
          </cell>
          <cell r="S1025">
            <v>0.25</v>
          </cell>
        </row>
        <row r="1026">
          <cell r="D1026">
            <v>908005313</v>
          </cell>
          <cell r="E1026" t="str">
            <v>HILDA SHANGE</v>
          </cell>
          <cell r="F1026" t="str">
            <v>D (Ch)</v>
          </cell>
          <cell r="G1026">
            <v>16878</v>
          </cell>
          <cell r="H1026" t="str">
            <v>Choice</v>
          </cell>
          <cell r="I1026">
            <v>0.83333333333333337</v>
          </cell>
          <cell r="J1026">
            <v>0.33333333333333331</v>
          </cell>
          <cell r="K1026">
            <v>11.3333333333333</v>
          </cell>
          <cell r="L1026">
            <v>359.05</v>
          </cell>
          <cell r="O1026" t="str">
            <v>Y</v>
          </cell>
          <cell r="P1026" t="str">
            <v>N</v>
          </cell>
          <cell r="Q1026" t="str">
            <v>Extra Capacity</v>
          </cell>
          <cell r="S1026">
            <v>0.3</v>
          </cell>
        </row>
        <row r="1027">
          <cell r="D1027">
            <v>908006815</v>
          </cell>
          <cell r="E1027" t="str">
            <v>JANE DUNSMURE</v>
          </cell>
          <cell r="F1027" t="str">
            <v>D/5 (PS)</v>
          </cell>
          <cell r="H1027" t="str">
            <v>Pinnacle Staffing</v>
          </cell>
          <cell r="I1027">
            <v>0.88541666666666663</v>
          </cell>
          <cell r="J1027">
            <v>0.3125</v>
          </cell>
          <cell r="K1027">
            <v>9.25</v>
          </cell>
          <cell r="L1027">
            <v>204.3</v>
          </cell>
          <cell r="O1027" t="str">
            <v>Y</v>
          </cell>
          <cell r="P1027" t="str">
            <v>N</v>
          </cell>
          <cell r="Q1027" t="str">
            <v>Vacancy</v>
          </cell>
          <cell r="S1027">
            <v>0.25</v>
          </cell>
        </row>
        <row r="1028">
          <cell r="D1028">
            <v>808003940</v>
          </cell>
          <cell r="E1028" t="str">
            <v>JEAN NGONA</v>
          </cell>
          <cell r="F1028" t="str">
            <v>D (MD)</v>
          </cell>
          <cell r="G1028">
            <v>336616</v>
          </cell>
          <cell r="H1028" t="str">
            <v>Mayday</v>
          </cell>
          <cell r="I1028">
            <v>0.3125</v>
          </cell>
          <cell r="J1028">
            <v>0.64583333333333337</v>
          </cell>
          <cell r="K1028">
            <v>7.6666666666666696</v>
          </cell>
          <cell r="L1028">
            <v>247.56</v>
          </cell>
          <cell r="O1028" t="str">
            <v>Y</v>
          </cell>
          <cell r="P1028" t="str">
            <v>N</v>
          </cell>
          <cell r="Q1028" t="str">
            <v>Extra Capacity</v>
          </cell>
          <cell r="S1028">
            <v>0.2</v>
          </cell>
        </row>
        <row r="1029">
          <cell r="D1029">
            <v>908001341</v>
          </cell>
          <cell r="E1029" t="str">
            <v>JOAN LEWIS</v>
          </cell>
          <cell r="F1029" t="str">
            <v>D (MD)</v>
          </cell>
          <cell r="H1029" t="str">
            <v>Mayday</v>
          </cell>
          <cell r="I1029">
            <v>0.875</v>
          </cell>
          <cell r="J1029">
            <v>0.30208333333333331</v>
          </cell>
          <cell r="K1029">
            <v>9.9166666666666696</v>
          </cell>
          <cell r="L1029">
            <v>416.27</v>
          </cell>
          <cell r="O1029" t="str">
            <v>Y</v>
          </cell>
          <cell r="P1029" t="str">
            <v>N</v>
          </cell>
          <cell r="Q1029" t="str">
            <v>Vacancy</v>
          </cell>
          <cell r="S1029">
            <v>0.26</v>
          </cell>
        </row>
        <row r="1030">
          <cell r="D1030">
            <v>908006479</v>
          </cell>
          <cell r="E1030" t="str">
            <v>JOANNE DUCKER</v>
          </cell>
          <cell r="F1030" t="str">
            <v>D / 5 General (</v>
          </cell>
          <cell r="G1030" t="str">
            <v>604-150650</v>
          </cell>
          <cell r="H1030" t="str">
            <v>Medacs</v>
          </cell>
          <cell r="I1030">
            <v>0.625</v>
          </cell>
          <cell r="J1030">
            <v>0.875</v>
          </cell>
          <cell r="K1030">
            <v>5.75</v>
          </cell>
          <cell r="L1030">
            <v>97.06</v>
          </cell>
          <cell r="O1030" t="str">
            <v>Y</v>
          </cell>
          <cell r="P1030" t="str">
            <v>N</v>
          </cell>
          <cell r="Q1030" t="str">
            <v>Short Term Sick</v>
          </cell>
          <cell r="S1030">
            <v>0.15</v>
          </cell>
        </row>
        <row r="1031">
          <cell r="D1031">
            <v>908005814</v>
          </cell>
          <cell r="E1031" t="str">
            <v>KAREN VAUGHAN</v>
          </cell>
          <cell r="F1031" t="str">
            <v>D General (Orio</v>
          </cell>
          <cell r="G1031" t="str">
            <v>Invsd Smt checked</v>
          </cell>
          <cell r="H1031" t="str">
            <v>Orion</v>
          </cell>
          <cell r="I1031">
            <v>0.33333333333333331</v>
          </cell>
          <cell r="J1031">
            <v>0.54166666666666663</v>
          </cell>
          <cell r="K1031">
            <v>5</v>
          </cell>
          <cell r="L1031">
            <v>90.6</v>
          </cell>
          <cell r="O1031" t="str">
            <v>Y</v>
          </cell>
          <cell r="P1031" t="str">
            <v>N</v>
          </cell>
          <cell r="Q1031" t="str">
            <v>Vacancy</v>
          </cell>
          <cell r="S1031">
            <v>0.13</v>
          </cell>
        </row>
        <row r="1032">
          <cell r="D1032">
            <v>808004048</v>
          </cell>
          <cell r="E1032" t="str">
            <v>KERRI GALLOWAY</v>
          </cell>
          <cell r="F1032" t="str">
            <v>D (MD)</v>
          </cell>
          <cell r="G1032">
            <v>332497</v>
          </cell>
          <cell r="H1032" t="str">
            <v>Mayday</v>
          </cell>
          <cell r="I1032">
            <v>0.52083333333333337</v>
          </cell>
          <cell r="J1032">
            <v>0.85416666666666663</v>
          </cell>
          <cell r="K1032">
            <v>7.6666666666666696</v>
          </cell>
          <cell r="L1032">
            <v>247.56</v>
          </cell>
          <cell r="O1032" t="str">
            <v>Y</v>
          </cell>
          <cell r="P1032" t="str">
            <v>N</v>
          </cell>
          <cell r="Q1032" t="str">
            <v>Extra Capacity</v>
          </cell>
          <cell r="S1032">
            <v>0.2</v>
          </cell>
        </row>
        <row r="1033">
          <cell r="D1033">
            <v>908006832</v>
          </cell>
          <cell r="E1033" t="str">
            <v>MABEL MNISI</v>
          </cell>
          <cell r="F1033" t="str">
            <v>D (MD)</v>
          </cell>
          <cell r="H1033" t="str">
            <v>Mayday</v>
          </cell>
          <cell r="I1033">
            <v>0.83333333333333337</v>
          </cell>
          <cell r="J1033">
            <v>0.33333333333333331</v>
          </cell>
          <cell r="K1033">
            <v>11.3333333333333</v>
          </cell>
          <cell r="L1033">
            <v>475.74</v>
          </cell>
          <cell r="O1033" t="str">
            <v>Y</v>
          </cell>
          <cell r="P1033" t="str">
            <v>N</v>
          </cell>
          <cell r="Q1033" t="str">
            <v>Extra Capacity</v>
          </cell>
          <cell r="S1033">
            <v>0.3</v>
          </cell>
        </row>
        <row r="1034">
          <cell r="D1034">
            <v>808006921</v>
          </cell>
          <cell r="E1034" t="str">
            <v>MELISSA SMITH</v>
          </cell>
          <cell r="F1034" t="str">
            <v>D/5 (PS)</v>
          </cell>
          <cell r="H1034" t="str">
            <v>Pinnacle Staffing</v>
          </cell>
          <cell r="I1034">
            <v>0.32291666666666669</v>
          </cell>
          <cell r="J1034">
            <v>0.57291666666666663</v>
          </cell>
          <cell r="K1034">
            <v>5.6666666666666696</v>
          </cell>
          <cell r="L1034">
            <v>96.28</v>
          </cell>
          <cell r="O1034" t="str">
            <v>Y</v>
          </cell>
          <cell r="P1034" t="str">
            <v>N</v>
          </cell>
          <cell r="Q1034" t="str">
            <v>Vacancy</v>
          </cell>
          <cell r="S1034">
            <v>0.15</v>
          </cell>
        </row>
        <row r="1035">
          <cell r="D1035">
            <v>908001005</v>
          </cell>
          <cell r="E1035" t="str">
            <v>PEGGY CHIRIKURE</v>
          </cell>
          <cell r="F1035" t="str">
            <v>D (Ch)</v>
          </cell>
          <cell r="G1035">
            <v>16793</v>
          </cell>
          <cell r="H1035" t="str">
            <v>Choice</v>
          </cell>
          <cell r="I1035">
            <v>0.3125</v>
          </cell>
          <cell r="J1035">
            <v>0.54166666666666663</v>
          </cell>
          <cell r="K1035">
            <v>5.5</v>
          </cell>
          <cell r="L1035">
            <v>134.03</v>
          </cell>
          <cell r="O1035" t="str">
            <v>Y</v>
          </cell>
          <cell r="P1035" t="str">
            <v>N</v>
          </cell>
          <cell r="Q1035" t="str">
            <v>Vacancy</v>
          </cell>
          <cell r="S1035">
            <v>0.15</v>
          </cell>
        </row>
        <row r="1036">
          <cell r="D1036">
            <v>908001006</v>
          </cell>
          <cell r="E1036" t="str">
            <v>PEGGY CHIRIKURE</v>
          </cell>
          <cell r="F1036" t="str">
            <v>D (Ch)</v>
          </cell>
          <cell r="G1036">
            <v>16793</v>
          </cell>
          <cell r="H1036" t="str">
            <v>Choice</v>
          </cell>
          <cell r="I1036">
            <v>0.625</v>
          </cell>
          <cell r="J1036">
            <v>0.85416666666666663</v>
          </cell>
          <cell r="K1036">
            <v>5.5</v>
          </cell>
          <cell r="L1036">
            <v>134.03</v>
          </cell>
          <cell r="O1036" t="str">
            <v>Y</v>
          </cell>
          <cell r="P1036" t="str">
            <v>N</v>
          </cell>
          <cell r="Q1036" t="str">
            <v>Vacancy</v>
          </cell>
          <cell r="S1036">
            <v>0.15</v>
          </cell>
        </row>
        <row r="1037">
          <cell r="D1037">
            <v>908000044</v>
          </cell>
          <cell r="E1037" t="str">
            <v>PEGGY MAPOGO</v>
          </cell>
          <cell r="F1037" t="str">
            <v>D (Ch)</v>
          </cell>
          <cell r="G1037">
            <v>16794</v>
          </cell>
          <cell r="H1037" t="str">
            <v>Choice</v>
          </cell>
          <cell r="I1037">
            <v>0.3125</v>
          </cell>
          <cell r="J1037">
            <v>0.875</v>
          </cell>
          <cell r="K1037">
            <v>12.8333333333333</v>
          </cell>
          <cell r="L1037">
            <v>312.75</v>
          </cell>
          <cell r="O1037" t="str">
            <v>Y</v>
          </cell>
          <cell r="P1037" t="str">
            <v>N</v>
          </cell>
          <cell r="Q1037" t="str">
            <v>Vacancy</v>
          </cell>
          <cell r="S1037">
            <v>0.34</v>
          </cell>
        </row>
        <row r="1038">
          <cell r="D1038">
            <v>908006021</v>
          </cell>
          <cell r="E1038" t="str">
            <v>SEREELETSO MAITIYO</v>
          </cell>
          <cell r="F1038" t="str">
            <v>D (Ch)</v>
          </cell>
          <cell r="G1038">
            <v>16809</v>
          </cell>
          <cell r="H1038" t="str">
            <v>Choice</v>
          </cell>
          <cell r="I1038">
            <v>0.29166666666666669</v>
          </cell>
          <cell r="J1038">
            <v>0.625</v>
          </cell>
          <cell r="K1038">
            <v>7.5</v>
          </cell>
          <cell r="L1038">
            <v>182.78</v>
          </cell>
          <cell r="O1038" t="str">
            <v>Y</v>
          </cell>
          <cell r="P1038" t="str">
            <v>N</v>
          </cell>
          <cell r="Q1038" t="str">
            <v>Extra Capacity</v>
          </cell>
          <cell r="S1038">
            <v>0.2</v>
          </cell>
        </row>
        <row r="1039">
          <cell r="D1039">
            <v>908006830</v>
          </cell>
          <cell r="E1039" t="str">
            <v>TAEL MHANGO</v>
          </cell>
          <cell r="F1039" t="str">
            <v>D (Ch)</v>
          </cell>
          <cell r="G1039">
            <v>16797</v>
          </cell>
          <cell r="H1039" t="str">
            <v>Choice</v>
          </cell>
          <cell r="I1039">
            <v>0.88541666666666663</v>
          </cell>
          <cell r="J1039">
            <v>0.25</v>
          </cell>
          <cell r="K1039">
            <v>7.75</v>
          </cell>
          <cell r="L1039">
            <v>245.53</v>
          </cell>
          <cell r="O1039" t="str">
            <v>Y</v>
          </cell>
          <cell r="P1039" t="str">
            <v>N</v>
          </cell>
          <cell r="Q1039" t="str">
            <v>Vacancy</v>
          </cell>
          <cell r="S1039">
            <v>0.21</v>
          </cell>
        </row>
        <row r="1040">
          <cell r="D1040">
            <v>808004062</v>
          </cell>
          <cell r="E1040" t="str">
            <v>TEMBE NGIDI</v>
          </cell>
          <cell r="F1040" t="str">
            <v>D (MD)</v>
          </cell>
          <cell r="H1040" t="str">
            <v>Mayday</v>
          </cell>
          <cell r="I1040">
            <v>0.83333333333333337</v>
          </cell>
          <cell r="J1040">
            <v>0.33333333333333331</v>
          </cell>
          <cell r="K1040">
            <v>11.3333333333333</v>
          </cell>
          <cell r="L1040">
            <v>475.74</v>
          </cell>
          <cell r="O1040" t="str">
            <v>Y</v>
          </cell>
          <cell r="P1040" t="str">
            <v>N</v>
          </cell>
          <cell r="Q1040" t="str">
            <v>Extra Capacity</v>
          </cell>
          <cell r="S1040">
            <v>0.3</v>
          </cell>
        </row>
        <row r="1041">
          <cell r="D1041">
            <v>908005815</v>
          </cell>
          <cell r="E1041" t="str">
            <v>TOM OSBOURNE</v>
          </cell>
          <cell r="F1041" t="str">
            <v>D General (Orio</v>
          </cell>
          <cell r="G1041" t="str">
            <v>Invsd Smt checked</v>
          </cell>
          <cell r="H1041" t="str">
            <v>Orion</v>
          </cell>
          <cell r="I1041">
            <v>0.33333333333333331</v>
          </cell>
          <cell r="J1041">
            <v>0.54166666666666663</v>
          </cell>
          <cell r="K1041">
            <v>5</v>
          </cell>
          <cell r="L1041">
            <v>90.6</v>
          </cell>
          <cell r="O1041" t="str">
            <v>Y</v>
          </cell>
          <cell r="P1041" t="str">
            <v>N</v>
          </cell>
          <cell r="Q1041" t="str">
            <v>Vacancy</v>
          </cell>
          <cell r="S1041">
            <v>0.13</v>
          </cell>
        </row>
        <row r="1042">
          <cell r="D1042">
            <v>908002642</v>
          </cell>
          <cell r="E1042" t="str">
            <v>ANNA BONNERUP</v>
          </cell>
          <cell r="F1042" t="str">
            <v>D / 5 General (</v>
          </cell>
          <cell r="G1042" t="str">
            <v>604-150997</v>
          </cell>
          <cell r="H1042" t="str">
            <v>Blue Arrow</v>
          </cell>
          <cell r="I1042">
            <v>0.625</v>
          </cell>
          <cell r="J1042">
            <v>0.85416666666666663</v>
          </cell>
          <cell r="K1042">
            <v>5.5</v>
          </cell>
          <cell r="L1042">
            <v>92.84</v>
          </cell>
          <cell r="O1042" t="str">
            <v>Y</v>
          </cell>
          <cell r="P1042" t="str">
            <v>N</v>
          </cell>
          <cell r="Q1042" t="str">
            <v>Vacancy</v>
          </cell>
          <cell r="S1042">
            <v>0.15</v>
          </cell>
        </row>
        <row r="1043">
          <cell r="D1043">
            <v>908002648</v>
          </cell>
          <cell r="E1043" t="str">
            <v>ANNA BONNERUP</v>
          </cell>
          <cell r="F1043" t="str">
            <v>D / 5 General (</v>
          </cell>
          <cell r="G1043" t="str">
            <v>604-150997</v>
          </cell>
          <cell r="H1043" t="str">
            <v>Blue Arrow</v>
          </cell>
          <cell r="I1043">
            <v>0.3125</v>
          </cell>
          <cell r="J1043">
            <v>0.54166666666666663</v>
          </cell>
          <cell r="K1043">
            <v>5.5</v>
          </cell>
          <cell r="L1043">
            <v>92.84</v>
          </cell>
          <cell r="O1043" t="str">
            <v>Y</v>
          </cell>
          <cell r="P1043" t="str">
            <v>N</v>
          </cell>
          <cell r="Q1043" t="str">
            <v>Vacancy</v>
          </cell>
          <cell r="S1043">
            <v>0.15</v>
          </cell>
        </row>
        <row r="1044">
          <cell r="D1044">
            <v>908002271</v>
          </cell>
          <cell r="E1044" t="str">
            <v>BHEENADEVI BASSOO</v>
          </cell>
          <cell r="F1044" t="str">
            <v>D (Ch)</v>
          </cell>
          <cell r="G1044">
            <v>16883</v>
          </cell>
          <cell r="H1044" t="str">
            <v>Choice</v>
          </cell>
          <cell r="I1044">
            <v>0.3125</v>
          </cell>
          <cell r="J1044">
            <v>0.54166666666666663</v>
          </cell>
          <cell r="K1044">
            <v>5.5</v>
          </cell>
          <cell r="L1044">
            <v>134.03</v>
          </cell>
          <cell r="O1044" t="str">
            <v>Y</v>
          </cell>
          <cell r="P1044" t="str">
            <v>N</v>
          </cell>
          <cell r="Q1044" t="str">
            <v>Vacancy</v>
          </cell>
          <cell r="S1044">
            <v>0.15</v>
          </cell>
        </row>
        <row r="1045">
          <cell r="D1045">
            <v>908002273</v>
          </cell>
          <cell r="E1045" t="str">
            <v>BHEENADEVI BASSOO</v>
          </cell>
          <cell r="F1045" t="str">
            <v>D (Ch)</v>
          </cell>
          <cell r="G1045">
            <v>16883</v>
          </cell>
          <cell r="H1045" t="str">
            <v>Choice</v>
          </cell>
          <cell r="I1045">
            <v>0.625</v>
          </cell>
          <cell r="J1045">
            <v>0.85416666666666663</v>
          </cell>
          <cell r="K1045">
            <v>5.5</v>
          </cell>
          <cell r="L1045">
            <v>134.03</v>
          </cell>
          <cell r="O1045" t="str">
            <v>Y</v>
          </cell>
          <cell r="P1045" t="str">
            <v>N</v>
          </cell>
          <cell r="Q1045" t="str">
            <v>Vacancy</v>
          </cell>
          <cell r="S1045">
            <v>0.15</v>
          </cell>
        </row>
        <row r="1046">
          <cell r="D1046">
            <v>808003985</v>
          </cell>
          <cell r="E1046" t="str">
            <v>BRIGHTNESS NDEBELE</v>
          </cell>
          <cell r="F1046" t="str">
            <v>D (MD)</v>
          </cell>
          <cell r="G1046">
            <v>332456</v>
          </cell>
          <cell r="H1046" t="str">
            <v>Mayday</v>
          </cell>
          <cell r="I1046">
            <v>0.83333333333333337</v>
          </cell>
          <cell r="J1046">
            <v>0.33333333333333331</v>
          </cell>
          <cell r="K1046">
            <v>11.3333333333333</v>
          </cell>
          <cell r="L1046">
            <v>475.74</v>
          </cell>
          <cell r="O1046" t="str">
            <v>Y</v>
          </cell>
          <cell r="P1046" t="str">
            <v>N</v>
          </cell>
          <cell r="Q1046" t="str">
            <v>Extra Capacity</v>
          </cell>
          <cell r="S1046">
            <v>0.3</v>
          </cell>
        </row>
        <row r="1047">
          <cell r="D1047">
            <v>908004912</v>
          </cell>
          <cell r="E1047" t="str">
            <v>CARL HIBBERT</v>
          </cell>
          <cell r="F1047" t="str">
            <v>D (Ch)</v>
          </cell>
          <cell r="H1047" t="str">
            <v>Choice</v>
          </cell>
          <cell r="I1047">
            <v>0.82291666666666663</v>
          </cell>
          <cell r="J1047">
            <v>0.34375</v>
          </cell>
          <cell r="K1047">
            <v>11.5</v>
          </cell>
          <cell r="L1047">
            <v>364.33</v>
          </cell>
          <cell r="O1047" t="str">
            <v>Y</v>
          </cell>
          <cell r="P1047" t="str">
            <v>N</v>
          </cell>
          <cell r="Q1047" t="str">
            <v>Under Established</v>
          </cell>
          <cell r="S1047">
            <v>0.31</v>
          </cell>
        </row>
        <row r="1048">
          <cell r="D1048">
            <v>908003727</v>
          </cell>
          <cell r="E1048" t="str">
            <v>CHRIS STULAR</v>
          </cell>
          <cell r="F1048" t="str">
            <v>D General (Orio</v>
          </cell>
          <cell r="G1048" t="str">
            <v>Invsd Smt checked</v>
          </cell>
          <cell r="H1048" t="str">
            <v>Orion</v>
          </cell>
          <cell r="I1048">
            <v>0.33333333333333331</v>
          </cell>
          <cell r="J1048">
            <v>0.75</v>
          </cell>
          <cell r="K1048">
            <v>9.5</v>
          </cell>
          <cell r="L1048">
            <v>172.14</v>
          </cell>
          <cell r="O1048" t="str">
            <v>Y</v>
          </cell>
          <cell r="P1048" t="str">
            <v>N</v>
          </cell>
          <cell r="Q1048" t="str">
            <v>Vacancy</v>
          </cell>
          <cell r="S1048">
            <v>0.25</v>
          </cell>
        </row>
        <row r="1049">
          <cell r="D1049">
            <v>908005315</v>
          </cell>
          <cell r="E1049" t="str">
            <v>EMMA FLIT-ELY</v>
          </cell>
          <cell r="F1049" t="str">
            <v>D (Ch)</v>
          </cell>
          <cell r="G1049">
            <v>16811</v>
          </cell>
          <cell r="H1049" t="str">
            <v>Choice</v>
          </cell>
          <cell r="I1049">
            <v>0.3125</v>
          </cell>
          <cell r="J1049">
            <v>0.625</v>
          </cell>
          <cell r="K1049">
            <v>7.1666666666666696</v>
          </cell>
          <cell r="L1049">
            <v>174.65</v>
          </cell>
          <cell r="O1049" t="str">
            <v>Y</v>
          </cell>
          <cell r="P1049" t="str">
            <v>N</v>
          </cell>
          <cell r="Q1049" t="str">
            <v>Extra Capacity</v>
          </cell>
          <cell r="S1049">
            <v>0.19</v>
          </cell>
        </row>
        <row r="1050">
          <cell r="D1050">
            <v>1008001073</v>
          </cell>
          <cell r="E1050" t="str">
            <v>GEORGINA MAFISA</v>
          </cell>
          <cell r="F1050" t="str">
            <v>D (MD)</v>
          </cell>
          <cell r="H1050" t="str">
            <v>Mayday</v>
          </cell>
          <cell r="I1050">
            <v>0.83333333333333337</v>
          </cell>
          <cell r="J1050">
            <v>0.33333333333333331</v>
          </cell>
          <cell r="K1050">
            <v>11</v>
          </cell>
          <cell r="L1050">
            <v>461.75</v>
          </cell>
          <cell r="O1050" t="str">
            <v>Y</v>
          </cell>
          <cell r="P1050" t="str">
            <v>N</v>
          </cell>
          <cell r="Q1050" t="str">
            <v>Acuity</v>
          </cell>
          <cell r="S1050">
            <v>0.28999999999999998</v>
          </cell>
        </row>
        <row r="1051">
          <cell r="D1051">
            <v>908006562</v>
          </cell>
          <cell r="E1051" t="str">
            <v>GRACE CHIKWAVA</v>
          </cell>
          <cell r="F1051" t="str">
            <v>D (Ch)</v>
          </cell>
          <cell r="G1051">
            <v>16804</v>
          </cell>
          <cell r="H1051" t="str">
            <v>Choice</v>
          </cell>
          <cell r="I1051">
            <v>0.3125</v>
          </cell>
          <cell r="J1051">
            <v>0.60416666666666663</v>
          </cell>
          <cell r="K1051">
            <v>6.6666666666666696</v>
          </cell>
          <cell r="L1051">
            <v>162.47</v>
          </cell>
          <cell r="O1051" t="str">
            <v>Y</v>
          </cell>
          <cell r="P1051" t="str">
            <v>N</v>
          </cell>
          <cell r="Q1051" t="str">
            <v>Short Term Sick</v>
          </cell>
          <cell r="S1051">
            <v>0.18</v>
          </cell>
        </row>
        <row r="1052">
          <cell r="D1052">
            <v>908006563</v>
          </cell>
          <cell r="E1052" t="str">
            <v>GRACE CHIKWAVA</v>
          </cell>
          <cell r="F1052" t="str">
            <v>D (Ch)</v>
          </cell>
          <cell r="G1052">
            <v>16804</v>
          </cell>
          <cell r="H1052" t="str">
            <v>Choice</v>
          </cell>
          <cell r="I1052">
            <v>0.60416666666666663</v>
          </cell>
          <cell r="J1052">
            <v>0.85416666666666663</v>
          </cell>
          <cell r="K1052">
            <v>5.6666666666666696</v>
          </cell>
          <cell r="L1052">
            <v>138.1</v>
          </cell>
          <cell r="O1052" t="str">
            <v>Y</v>
          </cell>
          <cell r="P1052" t="str">
            <v>N</v>
          </cell>
          <cell r="Q1052" t="str">
            <v>Short Term Sick</v>
          </cell>
          <cell r="S1052">
            <v>0.15</v>
          </cell>
        </row>
        <row r="1053">
          <cell r="D1053">
            <v>908005513</v>
          </cell>
          <cell r="E1053" t="str">
            <v>JAMES MCCLEMENTS</v>
          </cell>
          <cell r="F1053" t="str">
            <v>D (MD)</v>
          </cell>
          <cell r="H1053" t="str">
            <v>Mayday</v>
          </cell>
          <cell r="I1053">
            <v>0.3125</v>
          </cell>
          <cell r="J1053">
            <v>0.54166666666666663</v>
          </cell>
          <cell r="K1053">
            <v>5.5</v>
          </cell>
          <cell r="L1053">
            <v>177.59</v>
          </cell>
          <cell r="O1053" t="str">
            <v>Y</v>
          </cell>
          <cell r="P1053" t="str">
            <v>N</v>
          </cell>
          <cell r="Q1053" t="str">
            <v>Extra Capacity</v>
          </cell>
          <cell r="S1053">
            <v>0.15</v>
          </cell>
        </row>
        <row r="1054">
          <cell r="D1054">
            <v>908005515</v>
          </cell>
          <cell r="E1054" t="str">
            <v>JAMES MCCLEMENTS</v>
          </cell>
          <cell r="F1054" t="str">
            <v>D (MD)</v>
          </cell>
          <cell r="H1054" t="str">
            <v>Mayday</v>
          </cell>
          <cell r="I1054">
            <v>0.625</v>
          </cell>
          <cell r="J1054">
            <v>0.85416666666666663</v>
          </cell>
          <cell r="K1054">
            <v>5.5</v>
          </cell>
          <cell r="L1054">
            <v>177.59</v>
          </cell>
          <cell r="O1054" t="str">
            <v>Y</v>
          </cell>
          <cell r="P1054" t="str">
            <v>N</v>
          </cell>
          <cell r="Q1054" t="str">
            <v>Extra Capacity</v>
          </cell>
          <cell r="S1054">
            <v>0.15</v>
          </cell>
        </row>
        <row r="1055">
          <cell r="D1055">
            <v>908005435</v>
          </cell>
          <cell r="E1055" t="str">
            <v>JEAN NGONA</v>
          </cell>
          <cell r="F1055" t="str">
            <v>D (MD)</v>
          </cell>
          <cell r="G1055">
            <v>336616</v>
          </cell>
          <cell r="H1055" t="str">
            <v>Mayday</v>
          </cell>
          <cell r="I1055">
            <v>0.29166666666666669</v>
          </cell>
          <cell r="J1055">
            <v>0.58333333333333337</v>
          </cell>
          <cell r="K1055">
            <v>6.6666666666666696</v>
          </cell>
          <cell r="L1055">
            <v>215.27</v>
          </cell>
          <cell r="O1055" t="str">
            <v>Y</v>
          </cell>
          <cell r="P1055" t="str">
            <v>N</v>
          </cell>
          <cell r="Q1055" t="str">
            <v>Vacancy</v>
          </cell>
          <cell r="S1055">
            <v>0.18</v>
          </cell>
        </row>
        <row r="1056">
          <cell r="D1056">
            <v>908001347</v>
          </cell>
          <cell r="E1056" t="str">
            <v>JOSEPH BASS</v>
          </cell>
          <cell r="F1056" t="str">
            <v>D (MD)</v>
          </cell>
          <cell r="H1056" t="str">
            <v>Mayday</v>
          </cell>
          <cell r="I1056">
            <v>0.875</v>
          </cell>
          <cell r="J1056">
            <v>0.30208333333333331</v>
          </cell>
          <cell r="K1056">
            <v>9.9166666666666696</v>
          </cell>
          <cell r="L1056">
            <v>416.27</v>
          </cell>
          <cell r="O1056" t="str">
            <v>Y</v>
          </cell>
          <cell r="P1056" t="str">
            <v>N</v>
          </cell>
          <cell r="Q1056" t="str">
            <v>Vacancy</v>
          </cell>
          <cell r="S1056">
            <v>0.26</v>
          </cell>
        </row>
        <row r="1057">
          <cell r="D1057">
            <v>908005816</v>
          </cell>
          <cell r="E1057" t="str">
            <v>KAREN VAUGHAN</v>
          </cell>
          <cell r="F1057" t="str">
            <v>D General (Orio</v>
          </cell>
          <cell r="G1057" t="str">
            <v>Invsd Smt checked</v>
          </cell>
          <cell r="H1057" t="str">
            <v>Orion</v>
          </cell>
          <cell r="I1057">
            <v>0.33333333333333331</v>
          </cell>
          <cell r="J1057">
            <v>0.75</v>
          </cell>
          <cell r="K1057">
            <v>9.5</v>
          </cell>
          <cell r="L1057">
            <v>172.14</v>
          </cell>
          <cell r="O1057" t="str">
            <v>Y</v>
          </cell>
          <cell r="P1057" t="str">
            <v>N</v>
          </cell>
          <cell r="Q1057" t="str">
            <v>Vacancy</v>
          </cell>
          <cell r="S1057">
            <v>0.25</v>
          </cell>
        </row>
        <row r="1058">
          <cell r="D1058">
            <v>808004028</v>
          </cell>
          <cell r="E1058" t="str">
            <v>KERRI GALLOWAY</v>
          </cell>
          <cell r="F1058" t="str">
            <v>D (MD)</v>
          </cell>
          <cell r="G1058">
            <v>332497</v>
          </cell>
          <cell r="H1058" t="str">
            <v>Mayday</v>
          </cell>
          <cell r="I1058">
            <v>0.3125</v>
          </cell>
          <cell r="J1058">
            <v>0.64583333333333337</v>
          </cell>
          <cell r="K1058">
            <v>7.6666666666666696</v>
          </cell>
          <cell r="L1058">
            <v>247.56</v>
          </cell>
          <cell r="O1058" t="str">
            <v>Y</v>
          </cell>
          <cell r="P1058" t="str">
            <v>N</v>
          </cell>
          <cell r="Q1058" t="str">
            <v>Extra Capacity</v>
          </cell>
          <cell r="S1058">
            <v>0.2</v>
          </cell>
        </row>
        <row r="1059">
          <cell r="D1059">
            <v>908005317</v>
          </cell>
          <cell r="E1059" t="str">
            <v>MABEL MNISI</v>
          </cell>
          <cell r="F1059" t="str">
            <v>D (MD)</v>
          </cell>
          <cell r="G1059">
            <v>332857</v>
          </cell>
          <cell r="H1059" t="str">
            <v>Mayday</v>
          </cell>
          <cell r="I1059">
            <v>0.83333333333333337</v>
          </cell>
          <cell r="J1059">
            <v>0.33333333333333331</v>
          </cell>
          <cell r="K1059">
            <v>11.3333333333333</v>
          </cell>
          <cell r="L1059">
            <v>475.74</v>
          </cell>
          <cell r="O1059" t="str">
            <v>Y</v>
          </cell>
          <cell r="P1059" t="str">
            <v>N</v>
          </cell>
          <cell r="Q1059" t="str">
            <v>Extra Capacity</v>
          </cell>
          <cell r="S1059">
            <v>0.3</v>
          </cell>
        </row>
        <row r="1060">
          <cell r="D1060">
            <v>808006925</v>
          </cell>
          <cell r="E1060" t="str">
            <v>MELISSA SMITH</v>
          </cell>
          <cell r="F1060" t="str">
            <v>D/5 (PS)</v>
          </cell>
          <cell r="H1060" t="str">
            <v>Pinnacle Staffing</v>
          </cell>
          <cell r="I1060">
            <v>0.32291666666666669</v>
          </cell>
          <cell r="J1060">
            <v>0.57291666666666663</v>
          </cell>
          <cell r="K1060">
            <v>5.6666666666666696</v>
          </cell>
          <cell r="L1060">
            <v>96.28</v>
          </cell>
          <cell r="O1060" t="str">
            <v>Y</v>
          </cell>
          <cell r="P1060" t="str">
            <v>N</v>
          </cell>
          <cell r="Q1060" t="str">
            <v>Maternity Leave</v>
          </cell>
          <cell r="S1060">
            <v>0.15</v>
          </cell>
        </row>
        <row r="1061">
          <cell r="D1061">
            <v>908005316</v>
          </cell>
          <cell r="E1061" t="str">
            <v>NILO DANUGO</v>
          </cell>
          <cell r="F1061" t="str">
            <v>D (Ch)</v>
          </cell>
          <cell r="G1061">
            <v>16811</v>
          </cell>
          <cell r="H1061" t="str">
            <v>Choice</v>
          </cell>
          <cell r="I1061">
            <v>0.83333333333333337</v>
          </cell>
          <cell r="J1061">
            <v>0.33333333333333331</v>
          </cell>
          <cell r="K1061">
            <v>11.3333333333333</v>
          </cell>
          <cell r="L1061">
            <v>359.05</v>
          </cell>
          <cell r="O1061" t="str">
            <v>Y</v>
          </cell>
          <cell r="P1061" t="str">
            <v>N</v>
          </cell>
          <cell r="Q1061" t="str">
            <v>Extra Capacity</v>
          </cell>
          <cell r="S1061">
            <v>0.3</v>
          </cell>
        </row>
        <row r="1062">
          <cell r="D1062">
            <v>908002649</v>
          </cell>
          <cell r="E1062" t="str">
            <v>PEGGY MAPOGO</v>
          </cell>
          <cell r="F1062" t="str">
            <v>D (Ch)</v>
          </cell>
          <cell r="H1062" t="str">
            <v>Choice</v>
          </cell>
          <cell r="I1062">
            <v>0.625</v>
          </cell>
          <cell r="J1062">
            <v>0.85416666666666663</v>
          </cell>
          <cell r="K1062">
            <v>5.5</v>
          </cell>
          <cell r="L1062">
            <v>134.03</v>
          </cell>
          <cell r="O1062" t="str">
            <v>Y</v>
          </cell>
          <cell r="P1062" t="str">
            <v>N</v>
          </cell>
          <cell r="Q1062" t="str">
            <v>Vacancy</v>
          </cell>
          <cell r="S1062">
            <v>0.15</v>
          </cell>
        </row>
        <row r="1063">
          <cell r="D1063">
            <v>908006092</v>
          </cell>
          <cell r="E1063" t="str">
            <v>PHILILE NDLANGAMANDLA</v>
          </cell>
          <cell r="F1063" t="str">
            <v>D (Ch)</v>
          </cell>
          <cell r="G1063">
            <v>16812</v>
          </cell>
          <cell r="H1063" t="str">
            <v>Choice</v>
          </cell>
          <cell r="I1063">
            <v>0.3125</v>
          </cell>
          <cell r="J1063">
            <v>0.54166666666666663</v>
          </cell>
          <cell r="K1063">
            <v>5.5</v>
          </cell>
          <cell r="L1063">
            <v>134.03</v>
          </cell>
          <cell r="O1063" t="str">
            <v>Y</v>
          </cell>
          <cell r="P1063" t="str">
            <v>N</v>
          </cell>
          <cell r="Q1063" t="str">
            <v>Vacancy</v>
          </cell>
          <cell r="S1063">
            <v>0.15</v>
          </cell>
        </row>
        <row r="1064">
          <cell r="D1064">
            <v>808003992</v>
          </cell>
          <cell r="E1064" t="str">
            <v>TEMBE NGIDI</v>
          </cell>
          <cell r="F1064" t="str">
            <v>D (MD)</v>
          </cell>
          <cell r="H1064" t="str">
            <v>Mayday</v>
          </cell>
          <cell r="I1064">
            <v>0.83333333333333337</v>
          </cell>
          <cell r="J1064">
            <v>0.33333333333333331</v>
          </cell>
          <cell r="K1064">
            <v>11.3333333333333</v>
          </cell>
          <cell r="L1064">
            <v>475.74</v>
          </cell>
          <cell r="O1064" t="str">
            <v>Y</v>
          </cell>
          <cell r="P1064" t="str">
            <v>N</v>
          </cell>
          <cell r="Q1064" t="str">
            <v>Extra Capacity</v>
          </cell>
          <cell r="S1064">
            <v>0.3</v>
          </cell>
        </row>
        <row r="1065">
          <cell r="D1065">
            <v>908005817</v>
          </cell>
          <cell r="E1065" t="str">
            <v>TOM OSBOURNE</v>
          </cell>
          <cell r="F1065" t="str">
            <v>D General (Orio</v>
          </cell>
          <cell r="G1065" t="str">
            <v>Invsd Smt checked</v>
          </cell>
          <cell r="H1065" t="str">
            <v>Orion</v>
          </cell>
          <cell r="I1065">
            <v>0.33333333333333331</v>
          </cell>
          <cell r="J1065">
            <v>0.75</v>
          </cell>
          <cell r="K1065">
            <v>9.5</v>
          </cell>
          <cell r="L1065">
            <v>172.14</v>
          </cell>
          <cell r="O1065" t="str">
            <v>Y</v>
          </cell>
          <cell r="P1065" t="str">
            <v>N</v>
          </cell>
          <cell r="Q1065" t="str">
            <v>Vacancy</v>
          </cell>
          <cell r="S1065">
            <v>0.25</v>
          </cell>
        </row>
        <row r="1066">
          <cell r="D1066">
            <v>908006310</v>
          </cell>
          <cell r="E1066" t="str">
            <v>TRUST CHIWUNDURA</v>
          </cell>
          <cell r="F1066" t="str">
            <v>A (Ch)</v>
          </cell>
          <cell r="H1066" t="str">
            <v>Choice</v>
          </cell>
          <cell r="I1066">
            <v>0.83333333333333337</v>
          </cell>
          <cell r="J1066">
            <v>0.33333333333333331</v>
          </cell>
          <cell r="K1066">
            <v>11.3333333333333</v>
          </cell>
          <cell r="L1066">
            <v>167.58</v>
          </cell>
          <cell r="O1066" t="str">
            <v>Y</v>
          </cell>
          <cell r="P1066" t="str">
            <v>N</v>
          </cell>
          <cell r="Q1066" t="str">
            <v>Short Term Sick</v>
          </cell>
          <cell r="S1066">
            <v>0.3</v>
          </cell>
        </row>
        <row r="1067">
          <cell r="D1067">
            <v>908004376</v>
          </cell>
          <cell r="E1067" t="str">
            <v>ANNA BONNERUP</v>
          </cell>
          <cell r="F1067" t="str">
            <v>D / 5 General (</v>
          </cell>
          <cell r="G1067" t="str">
            <v>604-150997</v>
          </cell>
          <cell r="H1067" t="str">
            <v>Blue Arrow</v>
          </cell>
          <cell r="I1067">
            <v>0.625</v>
          </cell>
          <cell r="J1067">
            <v>0.85416666666666663</v>
          </cell>
          <cell r="K1067">
            <v>5.5</v>
          </cell>
          <cell r="L1067">
            <v>92.84</v>
          </cell>
          <cell r="O1067" t="str">
            <v>Y</v>
          </cell>
          <cell r="P1067" t="str">
            <v>N</v>
          </cell>
          <cell r="Q1067" t="str">
            <v>Vacancy</v>
          </cell>
          <cell r="S1067">
            <v>0.15</v>
          </cell>
        </row>
        <row r="1068">
          <cell r="D1068">
            <v>808003993</v>
          </cell>
          <cell r="E1068" t="str">
            <v>BEAUTY NGIDI</v>
          </cell>
          <cell r="F1068" t="str">
            <v>D (MD)</v>
          </cell>
          <cell r="H1068" t="str">
            <v>Mayday</v>
          </cell>
          <cell r="I1068">
            <v>0.83333333333333337</v>
          </cell>
          <cell r="J1068">
            <v>0.33333333333333331</v>
          </cell>
          <cell r="K1068">
            <v>11.3333333333333</v>
          </cell>
          <cell r="L1068">
            <v>475.74</v>
          </cell>
          <cell r="O1068" t="str">
            <v>Y</v>
          </cell>
          <cell r="P1068" t="str">
            <v>N</v>
          </cell>
          <cell r="Q1068" t="str">
            <v>Extra Capacity</v>
          </cell>
          <cell r="S1068">
            <v>0.3</v>
          </cell>
        </row>
        <row r="1069">
          <cell r="D1069">
            <v>1008000103</v>
          </cell>
          <cell r="E1069" t="str">
            <v>BHEENADEVI BASSOO</v>
          </cell>
          <cell r="F1069" t="str">
            <v>D (Ch)</v>
          </cell>
          <cell r="G1069">
            <v>16883</v>
          </cell>
          <cell r="H1069" t="str">
            <v>Choice</v>
          </cell>
          <cell r="I1069">
            <v>0.32291666666666669</v>
          </cell>
          <cell r="J1069">
            <v>0.58333333333333337</v>
          </cell>
          <cell r="K1069">
            <v>5.9166666666666696</v>
          </cell>
          <cell r="L1069">
            <v>144.19</v>
          </cell>
          <cell r="O1069" t="str">
            <v>Y</v>
          </cell>
          <cell r="P1069" t="str">
            <v>N</v>
          </cell>
          <cell r="Q1069" t="str">
            <v>Short Term Sick</v>
          </cell>
          <cell r="S1069">
            <v>0.16</v>
          </cell>
        </row>
        <row r="1070">
          <cell r="D1070">
            <v>1008000139</v>
          </cell>
          <cell r="E1070" t="str">
            <v>BHEENADEVI BASSOO</v>
          </cell>
          <cell r="F1070" t="str">
            <v>D (Ch)</v>
          </cell>
          <cell r="G1070">
            <v>16883</v>
          </cell>
          <cell r="H1070" t="str">
            <v>Choice</v>
          </cell>
          <cell r="I1070">
            <v>0.58333333333333337</v>
          </cell>
          <cell r="J1070">
            <v>0.84375</v>
          </cell>
          <cell r="K1070">
            <v>6.25</v>
          </cell>
          <cell r="L1070">
            <v>152.31</v>
          </cell>
          <cell r="O1070" t="str">
            <v>Y</v>
          </cell>
          <cell r="P1070" t="str">
            <v>N</v>
          </cell>
          <cell r="Q1070" t="str">
            <v>Split shift</v>
          </cell>
          <cell r="S1070">
            <v>0.17</v>
          </cell>
        </row>
        <row r="1071">
          <cell r="D1071">
            <v>908003728</v>
          </cell>
          <cell r="E1071" t="str">
            <v>CHRIS STULAR</v>
          </cell>
          <cell r="F1071" t="str">
            <v>D General (Orio</v>
          </cell>
          <cell r="G1071" t="str">
            <v>Invsd Smt checked</v>
          </cell>
          <cell r="H1071" t="str">
            <v>Orion</v>
          </cell>
          <cell r="I1071">
            <v>0.33333333333333331</v>
          </cell>
          <cell r="J1071">
            <v>0.75</v>
          </cell>
          <cell r="K1071">
            <v>9.5</v>
          </cell>
          <cell r="L1071">
            <v>172.14</v>
          </cell>
          <cell r="O1071" t="str">
            <v>Y</v>
          </cell>
          <cell r="P1071" t="str">
            <v>N</v>
          </cell>
          <cell r="Q1071" t="str">
            <v>Vacancy</v>
          </cell>
          <cell r="S1071">
            <v>0.25</v>
          </cell>
        </row>
        <row r="1072">
          <cell r="D1072">
            <v>1008000081</v>
          </cell>
          <cell r="E1072" t="str">
            <v>COLLEN SIBANDA</v>
          </cell>
          <cell r="F1072" t="str">
            <v>D (Ch)</v>
          </cell>
          <cell r="H1072" t="str">
            <v>Choice</v>
          </cell>
          <cell r="I1072">
            <v>0.3125</v>
          </cell>
          <cell r="J1072">
            <v>0.54166666666666663</v>
          </cell>
          <cell r="K1072">
            <v>5.5</v>
          </cell>
          <cell r="L1072">
            <v>134.03</v>
          </cell>
          <cell r="O1072" t="str">
            <v>Y</v>
          </cell>
          <cell r="P1072" t="str">
            <v>N</v>
          </cell>
          <cell r="Q1072" t="str">
            <v>Vacancy</v>
          </cell>
          <cell r="S1072">
            <v>0.15</v>
          </cell>
        </row>
        <row r="1073">
          <cell r="D1073">
            <v>908006270</v>
          </cell>
          <cell r="E1073" t="str">
            <v>DIGRACIA  NAPE</v>
          </cell>
          <cell r="F1073" t="str">
            <v>D (MD)</v>
          </cell>
          <cell r="H1073" t="str">
            <v>Mayday</v>
          </cell>
          <cell r="I1073">
            <v>0.3125</v>
          </cell>
          <cell r="J1073">
            <v>0.89583333333333337</v>
          </cell>
          <cell r="K1073">
            <v>13.3333333333333</v>
          </cell>
          <cell r="L1073">
            <v>430.53</v>
          </cell>
          <cell r="O1073" t="str">
            <v>Y</v>
          </cell>
          <cell r="P1073" t="str">
            <v>N</v>
          </cell>
          <cell r="Q1073" t="str">
            <v>Vacancy</v>
          </cell>
          <cell r="S1073">
            <v>0.36</v>
          </cell>
        </row>
        <row r="1074">
          <cell r="D1074">
            <v>908005518</v>
          </cell>
          <cell r="E1074" t="str">
            <v>EVELYN PANESA</v>
          </cell>
          <cell r="F1074" t="str">
            <v>D (Ch)</v>
          </cell>
          <cell r="G1074">
            <v>16793</v>
          </cell>
          <cell r="H1074" t="str">
            <v>Choice</v>
          </cell>
          <cell r="I1074">
            <v>0.3125</v>
          </cell>
          <cell r="J1074">
            <v>0.54166666666666663</v>
          </cell>
          <cell r="K1074">
            <v>5.5</v>
          </cell>
          <cell r="L1074">
            <v>134.03</v>
          </cell>
          <cell r="O1074" t="str">
            <v>Y</v>
          </cell>
          <cell r="P1074" t="str">
            <v>N</v>
          </cell>
          <cell r="Q1074" t="str">
            <v>Extra Capacity</v>
          </cell>
          <cell r="S1074">
            <v>0.15</v>
          </cell>
        </row>
        <row r="1075">
          <cell r="D1075">
            <v>908005519</v>
          </cell>
          <cell r="E1075" t="str">
            <v>EVELYN PANESA</v>
          </cell>
          <cell r="F1075" t="str">
            <v>D (Ch)</v>
          </cell>
          <cell r="G1075">
            <v>16812</v>
          </cell>
          <cell r="H1075" t="str">
            <v>Choice</v>
          </cell>
          <cell r="I1075">
            <v>0.625</v>
          </cell>
          <cell r="J1075">
            <v>0.85416666666666663</v>
          </cell>
          <cell r="K1075">
            <v>5.5</v>
          </cell>
          <cell r="L1075">
            <v>134.03</v>
          </cell>
          <cell r="O1075" t="str">
            <v>Y</v>
          </cell>
          <cell r="P1075" t="str">
            <v>N</v>
          </cell>
          <cell r="Q1075" t="str">
            <v>Extra Capacity</v>
          </cell>
          <cell r="S1075">
            <v>0.15</v>
          </cell>
        </row>
        <row r="1076">
          <cell r="D1076">
            <v>1008000313</v>
          </cell>
          <cell r="E1076" t="str">
            <v>GRACE CHIKWAVA</v>
          </cell>
          <cell r="F1076" t="str">
            <v>D (Ch)</v>
          </cell>
          <cell r="G1076">
            <v>16811</v>
          </cell>
          <cell r="H1076" t="str">
            <v>Choice</v>
          </cell>
          <cell r="I1076">
            <v>0.60416666666666663</v>
          </cell>
          <cell r="J1076">
            <v>0.85416666666666663</v>
          </cell>
          <cell r="K1076">
            <v>5.6666666666666696</v>
          </cell>
          <cell r="L1076">
            <v>138.1</v>
          </cell>
          <cell r="O1076" t="str">
            <v>Y</v>
          </cell>
          <cell r="P1076" t="str">
            <v>N</v>
          </cell>
          <cell r="Q1076" t="str">
            <v>Extra Capacity</v>
          </cell>
          <cell r="S1076">
            <v>0.15</v>
          </cell>
        </row>
        <row r="1077">
          <cell r="D1077">
            <v>908001007</v>
          </cell>
          <cell r="E1077" t="str">
            <v>JAMES MCCLEMENTS</v>
          </cell>
          <cell r="F1077" t="str">
            <v>D (MD)</v>
          </cell>
          <cell r="H1077" t="str">
            <v>Mayday</v>
          </cell>
          <cell r="I1077">
            <v>0.625</v>
          </cell>
          <cell r="J1077">
            <v>0.85416666666666663</v>
          </cell>
          <cell r="K1077">
            <v>5.5</v>
          </cell>
          <cell r="L1077">
            <v>177.59</v>
          </cell>
          <cell r="O1077" t="str">
            <v>Y</v>
          </cell>
          <cell r="P1077" t="str">
            <v>N</v>
          </cell>
          <cell r="Q1077" t="str">
            <v>Vacancy</v>
          </cell>
          <cell r="S1077">
            <v>0.15</v>
          </cell>
        </row>
        <row r="1078">
          <cell r="D1078">
            <v>908005517</v>
          </cell>
          <cell r="E1078" t="str">
            <v>JAMES MCCLEMENTS</v>
          </cell>
          <cell r="F1078" t="str">
            <v>D (MD)</v>
          </cell>
          <cell r="H1078" t="str">
            <v>Mayday</v>
          </cell>
          <cell r="I1078">
            <v>0.3125</v>
          </cell>
          <cell r="J1078">
            <v>0.54166666666666663</v>
          </cell>
          <cell r="K1078">
            <v>5.5</v>
          </cell>
          <cell r="L1078">
            <v>177.59</v>
          </cell>
          <cell r="O1078" t="str">
            <v>Y</v>
          </cell>
          <cell r="P1078" t="str">
            <v>N</v>
          </cell>
          <cell r="Q1078" t="str">
            <v>Extra Capacity</v>
          </cell>
          <cell r="S1078">
            <v>0.15</v>
          </cell>
        </row>
        <row r="1079">
          <cell r="D1079">
            <v>808004029</v>
          </cell>
          <cell r="E1079" t="str">
            <v>JEAN NGONA</v>
          </cell>
          <cell r="F1079" t="str">
            <v>D (MD)</v>
          </cell>
          <cell r="H1079" t="str">
            <v>Mayday</v>
          </cell>
          <cell r="I1079">
            <v>0.3125</v>
          </cell>
          <cell r="J1079">
            <v>0.64583333333333337</v>
          </cell>
          <cell r="K1079">
            <v>7.6666666666666696</v>
          </cell>
          <cell r="L1079">
            <v>247.56</v>
          </cell>
          <cell r="O1079" t="str">
            <v>Y</v>
          </cell>
          <cell r="P1079" t="str">
            <v>N</v>
          </cell>
          <cell r="Q1079" t="str">
            <v>Extra Capacity</v>
          </cell>
          <cell r="S1079">
            <v>0.2</v>
          </cell>
        </row>
        <row r="1080">
          <cell r="D1080">
            <v>1008000337</v>
          </cell>
          <cell r="E1080" t="str">
            <v>JESSICA BELLAMY</v>
          </cell>
          <cell r="F1080" t="str">
            <v>D (MD)</v>
          </cell>
          <cell r="G1080">
            <v>332093</v>
          </cell>
          <cell r="H1080" t="str">
            <v>Mayday</v>
          </cell>
          <cell r="I1080">
            <v>0.8125</v>
          </cell>
          <cell r="J1080">
            <v>0.33333333333333331</v>
          </cell>
          <cell r="K1080">
            <v>11.8333333333333</v>
          </cell>
          <cell r="L1080">
            <v>496.73</v>
          </cell>
          <cell r="O1080" t="str">
            <v>Y</v>
          </cell>
          <cell r="P1080" t="str">
            <v>N</v>
          </cell>
          <cell r="Q1080" t="str">
            <v>Short Term Sick</v>
          </cell>
          <cell r="S1080">
            <v>0.32</v>
          </cell>
        </row>
        <row r="1081">
          <cell r="D1081">
            <v>1008000108</v>
          </cell>
          <cell r="E1081" t="str">
            <v>JOANNE BUSS</v>
          </cell>
          <cell r="F1081" t="str">
            <v>D (MD)</v>
          </cell>
          <cell r="G1081">
            <v>332473</v>
          </cell>
          <cell r="H1081" t="str">
            <v>Mayday</v>
          </cell>
          <cell r="I1081">
            <v>0.58333333333333337</v>
          </cell>
          <cell r="J1081">
            <v>0.84375</v>
          </cell>
          <cell r="K1081">
            <v>5.9166666666666696</v>
          </cell>
          <cell r="L1081">
            <v>191.05</v>
          </cell>
          <cell r="O1081" t="str">
            <v>Y</v>
          </cell>
          <cell r="P1081" t="str">
            <v>N</v>
          </cell>
          <cell r="Q1081" t="str">
            <v>Short Term Sick</v>
          </cell>
          <cell r="S1081">
            <v>0.16</v>
          </cell>
        </row>
        <row r="1082">
          <cell r="D1082">
            <v>908001349</v>
          </cell>
          <cell r="E1082" t="str">
            <v>JOSEPH BASS</v>
          </cell>
          <cell r="F1082" t="str">
            <v>D (MD)</v>
          </cell>
          <cell r="H1082" t="str">
            <v>Mayday</v>
          </cell>
          <cell r="I1082">
            <v>0.875</v>
          </cell>
          <cell r="J1082">
            <v>0.30208333333333331</v>
          </cell>
          <cell r="K1082">
            <v>9.9166666666666696</v>
          </cell>
          <cell r="L1082">
            <v>416.27</v>
          </cell>
          <cell r="O1082" t="str">
            <v>Y</v>
          </cell>
          <cell r="P1082" t="str">
            <v>N</v>
          </cell>
          <cell r="Q1082" t="str">
            <v>Vacancy</v>
          </cell>
          <cell r="S1082">
            <v>0.26</v>
          </cell>
        </row>
        <row r="1083">
          <cell r="D1083">
            <v>1008000310</v>
          </cell>
          <cell r="E1083" t="str">
            <v>JOY MABITLE</v>
          </cell>
          <cell r="F1083" t="str">
            <v>D (MD)</v>
          </cell>
          <cell r="G1083">
            <v>347475</v>
          </cell>
          <cell r="H1083" t="str">
            <v>Mayday</v>
          </cell>
          <cell r="I1083">
            <v>0.8125</v>
          </cell>
          <cell r="J1083">
            <v>0.33333333333333331</v>
          </cell>
          <cell r="K1083">
            <v>11.8333333333333</v>
          </cell>
          <cell r="L1083">
            <v>496.73</v>
          </cell>
          <cell r="O1083" t="str">
            <v>Y</v>
          </cell>
          <cell r="P1083" t="str">
            <v>N</v>
          </cell>
          <cell r="Q1083" t="str">
            <v>Short Term Sick</v>
          </cell>
          <cell r="S1083">
            <v>0.32</v>
          </cell>
        </row>
        <row r="1084">
          <cell r="D1084">
            <v>908005873</v>
          </cell>
          <cell r="E1084" t="str">
            <v>KAREN VAUGHAN</v>
          </cell>
          <cell r="F1084" t="str">
            <v>D General (Orio</v>
          </cell>
          <cell r="G1084" t="str">
            <v>Invsd Smt checked</v>
          </cell>
          <cell r="H1084" t="str">
            <v>Orion</v>
          </cell>
          <cell r="I1084">
            <v>0.33333333333333331</v>
          </cell>
          <cell r="J1084">
            <v>0.75</v>
          </cell>
          <cell r="K1084">
            <v>9.5</v>
          </cell>
          <cell r="L1084">
            <v>172.14</v>
          </cell>
          <cell r="O1084" t="str">
            <v>Y</v>
          </cell>
          <cell r="P1084" t="str">
            <v>N</v>
          </cell>
          <cell r="Q1084" t="str">
            <v>Vacancy</v>
          </cell>
          <cell r="S1084">
            <v>0.25</v>
          </cell>
        </row>
        <row r="1085">
          <cell r="D1085">
            <v>908001261</v>
          </cell>
          <cell r="E1085" t="str">
            <v>KATIE KEAVENEY</v>
          </cell>
          <cell r="F1085" t="str">
            <v>D (MD)</v>
          </cell>
          <cell r="H1085" t="str">
            <v>Mayday</v>
          </cell>
          <cell r="I1085">
            <v>0.3125</v>
          </cell>
          <cell r="J1085">
            <v>0.5625</v>
          </cell>
          <cell r="K1085">
            <v>5.6666666666666696</v>
          </cell>
          <cell r="L1085">
            <v>182.98</v>
          </cell>
          <cell r="O1085" t="str">
            <v>Y</v>
          </cell>
          <cell r="P1085" t="str">
            <v>N</v>
          </cell>
          <cell r="Q1085" t="str">
            <v>Vacancy</v>
          </cell>
          <cell r="S1085">
            <v>0.15</v>
          </cell>
        </row>
        <row r="1086">
          <cell r="D1086">
            <v>808004043</v>
          </cell>
          <cell r="E1086" t="str">
            <v>KERRI GALLOWAY</v>
          </cell>
          <cell r="F1086" t="str">
            <v>D (MD)</v>
          </cell>
          <cell r="G1086">
            <v>332497</v>
          </cell>
          <cell r="H1086" t="str">
            <v>Mayday</v>
          </cell>
          <cell r="I1086">
            <v>0.58333333333333337</v>
          </cell>
          <cell r="J1086">
            <v>0.85416666666666663</v>
          </cell>
          <cell r="K1086">
            <v>6.1666666666666696</v>
          </cell>
          <cell r="L1086">
            <v>199.12</v>
          </cell>
          <cell r="O1086" t="str">
            <v>Y</v>
          </cell>
          <cell r="P1086" t="str">
            <v>N</v>
          </cell>
          <cell r="Q1086" t="str">
            <v>Extra Capacity</v>
          </cell>
          <cell r="S1086">
            <v>0.16</v>
          </cell>
        </row>
        <row r="1087">
          <cell r="D1087">
            <v>908005438</v>
          </cell>
          <cell r="E1087" t="str">
            <v>KERRI GALLOWAY</v>
          </cell>
          <cell r="F1087" t="str">
            <v>D (MD)</v>
          </cell>
          <cell r="G1087">
            <v>332497</v>
          </cell>
          <cell r="H1087" t="str">
            <v>Mayday</v>
          </cell>
          <cell r="I1087">
            <v>0.3125</v>
          </cell>
          <cell r="J1087">
            <v>0.58333333333333337</v>
          </cell>
          <cell r="K1087">
            <v>6.1666666666666696</v>
          </cell>
          <cell r="L1087">
            <v>199.12</v>
          </cell>
          <cell r="O1087" t="str">
            <v>Y</v>
          </cell>
          <cell r="P1087" t="str">
            <v>N</v>
          </cell>
          <cell r="Q1087" t="str">
            <v>Vacancy</v>
          </cell>
          <cell r="S1087">
            <v>0.16</v>
          </cell>
        </row>
        <row r="1088">
          <cell r="D1088">
            <v>908005323</v>
          </cell>
          <cell r="E1088" t="str">
            <v>LETECIA MENIANO</v>
          </cell>
          <cell r="F1088" t="str">
            <v>D (Ch)</v>
          </cell>
          <cell r="G1088">
            <v>16802</v>
          </cell>
          <cell r="H1088" t="str">
            <v>Choice</v>
          </cell>
          <cell r="I1088">
            <v>0.83333333333333337</v>
          </cell>
          <cell r="J1088">
            <v>0.33333333333333331</v>
          </cell>
          <cell r="K1088">
            <v>11.3333333333333</v>
          </cell>
          <cell r="L1088">
            <v>359.05</v>
          </cell>
          <cell r="O1088" t="str">
            <v>Y</v>
          </cell>
          <cell r="P1088" t="str">
            <v>N</v>
          </cell>
          <cell r="Q1088" t="str">
            <v>Extra Capacity</v>
          </cell>
          <cell r="S1088">
            <v>0.3</v>
          </cell>
        </row>
        <row r="1089">
          <cell r="D1089">
            <v>1008000907</v>
          </cell>
          <cell r="E1089" t="str">
            <v>MABEL MNISI</v>
          </cell>
          <cell r="F1089" t="str">
            <v>D (Ch)</v>
          </cell>
          <cell r="H1089" t="str">
            <v>Choice</v>
          </cell>
          <cell r="I1089">
            <v>0.88541666666666663</v>
          </cell>
          <cell r="J1089">
            <v>0.3125</v>
          </cell>
          <cell r="K1089">
            <v>9.25</v>
          </cell>
          <cell r="L1089">
            <v>293.05</v>
          </cell>
          <cell r="O1089" t="str">
            <v>Y</v>
          </cell>
          <cell r="P1089" t="str">
            <v>N</v>
          </cell>
          <cell r="Q1089" t="str">
            <v>On-Call</v>
          </cell>
          <cell r="S1089">
            <v>0.25</v>
          </cell>
        </row>
        <row r="1090">
          <cell r="D1090">
            <v>908005782</v>
          </cell>
          <cell r="E1090" t="str">
            <v>MARK WOLFE</v>
          </cell>
          <cell r="F1090" t="str">
            <v>A/2 (PS)</v>
          </cell>
          <cell r="H1090" t="str">
            <v>Pinnacle Staffing</v>
          </cell>
          <cell r="I1090">
            <v>0.83333333333333337</v>
          </cell>
          <cell r="J1090">
            <v>0.33333333333333331</v>
          </cell>
          <cell r="K1090">
            <v>11.3333333333333</v>
          </cell>
          <cell r="L1090">
            <v>141.74</v>
          </cell>
          <cell r="O1090" t="str">
            <v>Y</v>
          </cell>
          <cell r="P1090" t="str">
            <v>N</v>
          </cell>
          <cell r="Q1090" t="str">
            <v>Acuity</v>
          </cell>
          <cell r="S1090">
            <v>0.3</v>
          </cell>
        </row>
        <row r="1091">
          <cell r="D1091">
            <v>908005320</v>
          </cell>
          <cell r="E1091" t="str">
            <v>MELISSA SMITH</v>
          </cell>
          <cell r="F1091" t="str">
            <v>D/5 (PS)</v>
          </cell>
          <cell r="H1091" t="str">
            <v>Pinnacle Staffing</v>
          </cell>
          <cell r="I1091">
            <v>0.3125</v>
          </cell>
          <cell r="J1091">
            <v>0.625</v>
          </cell>
          <cell r="K1091">
            <v>7.1666666666666696</v>
          </cell>
          <cell r="L1091">
            <v>121.76</v>
          </cell>
          <cell r="O1091" t="str">
            <v>Y</v>
          </cell>
          <cell r="P1091" t="str">
            <v>N</v>
          </cell>
          <cell r="Q1091" t="str">
            <v>Extra Capacity</v>
          </cell>
          <cell r="S1091">
            <v>0.19</v>
          </cell>
        </row>
        <row r="1092">
          <cell r="D1092">
            <v>908000045</v>
          </cell>
          <cell r="E1092" t="str">
            <v>PEGGY MAPOGO</v>
          </cell>
          <cell r="F1092" t="str">
            <v>D (Ch)</v>
          </cell>
          <cell r="G1092">
            <v>16794</v>
          </cell>
          <cell r="H1092" t="str">
            <v>Choice</v>
          </cell>
          <cell r="I1092">
            <v>0.3125</v>
          </cell>
          <cell r="J1092">
            <v>0.875</v>
          </cell>
          <cell r="K1092">
            <v>12.8333333333333</v>
          </cell>
          <cell r="L1092">
            <v>312.75</v>
          </cell>
          <cell r="O1092" t="str">
            <v>Y</v>
          </cell>
          <cell r="P1092" t="str">
            <v>N</v>
          </cell>
          <cell r="Q1092" t="str">
            <v>Vacancy</v>
          </cell>
          <cell r="S1092">
            <v>0.34</v>
          </cell>
        </row>
        <row r="1093">
          <cell r="D1093">
            <v>808003956</v>
          </cell>
          <cell r="E1093" t="str">
            <v>TARA MASSIE</v>
          </cell>
          <cell r="F1093" t="str">
            <v>D (MD)</v>
          </cell>
          <cell r="H1093" t="str">
            <v>Mayday</v>
          </cell>
          <cell r="I1093">
            <v>0.3125</v>
          </cell>
          <cell r="J1093">
            <v>0.64583333333333337</v>
          </cell>
          <cell r="K1093">
            <v>7.6666666666666696</v>
          </cell>
          <cell r="L1093">
            <v>247.56</v>
          </cell>
          <cell r="O1093" t="str">
            <v>Y</v>
          </cell>
          <cell r="P1093" t="str">
            <v>N</v>
          </cell>
          <cell r="Q1093" t="str">
            <v>Extra Capacity</v>
          </cell>
          <cell r="S1093">
            <v>0.2</v>
          </cell>
        </row>
        <row r="1094">
          <cell r="D1094">
            <v>808003971</v>
          </cell>
          <cell r="E1094" t="str">
            <v>TARA MASSIE</v>
          </cell>
          <cell r="F1094" t="str">
            <v>D (MD)</v>
          </cell>
          <cell r="H1094" t="str">
            <v>Mayday</v>
          </cell>
          <cell r="I1094">
            <v>0.64583333333333337</v>
          </cell>
          <cell r="J1094">
            <v>0.85416666666666663</v>
          </cell>
          <cell r="K1094">
            <v>5</v>
          </cell>
          <cell r="L1094">
            <v>161.44999999999999</v>
          </cell>
          <cell r="O1094" t="str">
            <v>Y</v>
          </cell>
          <cell r="P1094" t="str">
            <v>N</v>
          </cell>
          <cell r="Q1094" t="str">
            <v>Extra Capacity</v>
          </cell>
          <cell r="S1094">
            <v>0.13</v>
          </cell>
        </row>
        <row r="1095">
          <cell r="D1095">
            <v>808003986</v>
          </cell>
          <cell r="E1095" t="str">
            <v>TEMBE NGIDI</v>
          </cell>
          <cell r="F1095" t="str">
            <v>D (MD)</v>
          </cell>
          <cell r="H1095" t="str">
            <v>Mayday</v>
          </cell>
          <cell r="I1095">
            <v>0.83333333333333337</v>
          </cell>
          <cell r="J1095">
            <v>0.33333333333333331</v>
          </cell>
          <cell r="K1095">
            <v>11.3333333333333</v>
          </cell>
          <cell r="L1095">
            <v>475.74</v>
          </cell>
          <cell r="O1095" t="str">
            <v>Y</v>
          </cell>
          <cell r="P1095" t="str">
            <v>N</v>
          </cell>
          <cell r="Q1095" t="str">
            <v>Extra Capacity</v>
          </cell>
          <cell r="S1095">
            <v>0.3</v>
          </cell>
        </row>
        <row r="1096">
          <cell r="D1096">
            <v>908005874</v>
          </cell>
          <cell r="E1096" t="str">
            <v>TOM OSBOURNE</v>
          </cell>
          <cell r="F1096" t="str">
            <v>D General (Orio</v>
          </cell>
          <cell r="G1096" t="str">
            <v>Invsd Smt checked</v>
          </cell>
          <cell r="H1096" t="str">
            <v>Orion</v>
          </cell>
          <cell r="I1096">
            <v>0.33333333333333331</v>
          </cell>
          <cell r="J1096">
            <v>0.75</v>
          </cell>
          <cell r="K1096">
            <v>9.5</v>
          </cell>
          <cell r="L1096">
            <v>172.14</v>
          </cell>
          <cell r="O1096" t="str">
            <v>Y</v>
          </cell>
          <cell r="P1096" t="str">
            <v>N</v>
          </cell>
          <cell r="Q1096" t="str">
            <v>Vacancy</v>
          </cell>
          <cell r="S1096">
            <v>0.25</v>
          </cell>
        </row>
        <row r="1097">
          <cell r="D1097">
            <v>808004065</v>
          </cell>
          <cell r="E1097" t="str">
            <v>BEAUTY NGIDI</v>
          </cell>
          <cell r="F1097" t="str">
            <v>D (MD)</v>
          </cell>
          <cell r="H1097" t="str">
            <v>Mayday</v>
          </cell>
          <cell r="I1097">
            <v>0.83333333333333337</v>
          </cell>
          <cell r="J1097">
            <v>0.33333333333333331</v>
          </cell>
          <cell r="K1097">
            <v>11.3333333333333</v>
          </cell>
          <cell r="L1097">
            <v>475.74</v>
          </cell>
          <cell r="O1097" t="str">
            <v>Y</v>
          </cell>
          <cell r="P1097" t="str">
            <v>N</v>
          </cell>
          <cell r="Q1097" t="str">
            <v>Extra Capacity</v>
          </cell>
          <cell r="S1097">
            <v>0.3</v>
          </cell>
        </row>
        <row r="1098">
          <cell r="D1098">
            <v>808004072</v>
          </cell>
          <cell r="E1098" t="str">
            <v>BRIGHTNESS NDEBELE</v>
          </cell>
          <cell r="F1098" t="str">
            <v>D (MD)</v>
          </cell>
          <cell r="G1098">
            <v>332457</v>
          </cell>
          <cell r="H1098" t="str">
            <v>Mayday</v>
          </cell>
          <cell r="I1098">
            <v>0.83333333333333337</v>
          </cell>
          <cell r="J1098">
            <v>0.33333333333333331</v>
          </cell>
          <cell r="K1098">
            <v>11.3333333333333</v>
          </cell>
          <cell r="L1098">
            <v>475.74</v>
          </cell>
          <cell r="O1098" t="str">
            <v>Y</v>
          </cell>
          <cell r="P1098" t="str">
            <v>N</v>
          </cell>
          <cell r="Q1098" t="str">
            <v>Extra Capacity</v>
          </cell>
          <cell r="S1098">
            <v>0.3</v>
          </cell>
        </row>
        <row r="1099">
          <cell r="D1099">
            <v>808006254</v>
          </cell>
          <cell r="E1099" t="str">
            <v>CATH CHIDAVAYENZI</v>
          </cell>
          <cell r="F1099" t="str">
            <v>D (Ch)</v>
          </cell>
          <cell r="G1099">
            <v>16859</v>
          </cell>
          <cell r="H1099" t="str">
            <v>Choice</v>
          </cell>
          <cell r="I1099">
            <v>0.82291666666666663</v>
          </cell>
          <cell r="J1099">
            <v>0.34375</v>
          </cell>
          <cell r="K1099">
            <v>11.5</v>
          </cell>
          <cell r="L1099">
            <v>364.33</v>
          </cell>
          <cell r="O1099" t="str">
            <v>Y</v>
          </cell>
          <cell r="P1099" t="str">
            <v>N</v>
          </cell>
          <cell r="Q1099" t="str">
            <v>Vacancy</v>
          </cell>
          <cell r="S1099">
            <v>0.31</v>
          </cell>
        </row>
        <row r="1100">
          <cell r="D1100">
            <v>908003729</v>
          </cell>
          <cell r="E1100" t="str">
            <v>CHRIS STULAR</v>
          </cell>
          <cell r="F1100" t="str">
            <v>D General (Orio</v>
          </cell>
          <cell r="G1100" t="str">
            <v>Invsd Smt checked</v>
          </cell>
          <cell r="H1100" t="str">
            <v>Orion</v>
          </cell>
          <cell r="I1100">
            <v>0.33333333333333331</v>
          </cell>
          <cell r="J1100">
            <v>0.75</v>
          </cell>
          <cell r="K1100">
            <v>9.5</v>
          </cell>
          <cell r="L1100">
            <v>172.14</v>
          </cell>
          <cell r="O1100" t="str">
            <v>Y</v>
          </cell>
          <cell r="P1100" t="str">
            <v>N</v>
          </cell>
          <cell r="Q1100" t="str">
            <v>Vacancy</v>
          </cell>
          <cell r="S1100">
            <v>0.25</v>
          </cell>
        </row>
        <row r="1101">
          <cell r="D1101">
            <v>908003660</v>
          </cell>
          <cell r="E1101" t="str">
            <v>COLLEN SIBANDA</v>
          </cell>
          <cell r="F1101" t="str">
            <v>D (Ch)</v>
          </cell>
          <cell r="G1101">
            <v>16812</v>
          </cell>
          <cell r="H1101" t="str">
            <v>Choice</v>
          </cell>
          <cell r="I1101">
            <v>0.3125</v>
          </cell>
          <cell r="J1101">
            <v>0.54166666666666663</v>
          </cell>
          <cell r="K1101">
            <v>5.5</v>
          </cell>
          <cell r="L1101">
            <v>134.03</v>
          </cell>
          <cell r="O1101" t="str">
            <v>Y</v>
          </cell>
          <cell r="P1101" t="str">
            <v>N</v>
          </cell>
          <cell r="Q1101" t="str">
            <v>Vacancy</v>
          </cell>
          <cell r="S1101">
            <v>0.15</v>
          </cell>
        </row>
        <row r="1102">
          <cell r="D1102">
            <v>908004378</v>
          </cell>
          <cell r="E1102" t="str">
            <v>COLLEN SIBANDA</v>
          </cell>
          <cell r="F1102" t="str">
            <v>D (Ch)</v>
          </cell>
          <cell r="G1102">
            <v>16812</v>
          </cell>
          <cell r="H1102" t="str">
            <v>Choice</v>
          </cell>
          <cell r="I1102">
            <v>0.625</v>
          </cell>
          <cell r="J1102">
            <v>0.85416666666666663</v>
          </cell>
          <cell r="K1102">
            <v>5.5</v>
          </cell>
          <cell r="L1102">
            <v>134.03</v>
          </cell>
          <cell r="O1102" t="str">
            <v>Y</v>
          </cell>
          <cell r="P1102" t="str">
            <v>N</v>
          </cell>
          <cell r="Q1102" t="str">
            <v>Vacancy</v>
          </cell>
          <cell r="S1102">
            <v>0.15</v>
          </cell>
        </row>
        <row r="1103">
          <cell r="D1103">
            <v>908001356</v>
          </cell>
          <cell r="E1103" t="str">
            <v>CYNTHIA DELMO</v>
          </cell>
          <cell r="F1103" t="str">
            <v>D (Ch)</v>
          </cell>
          <cell r="G1103">
            <v>16805</v>
          </cell>
          <cell r="H1103" t="str">
            <v>Choice</v>
          </cell>
          <cell r="I1103">
            <v>0.875</v>
          </cell>
          <cell r="J1103">
            <v>0.30208333333333331</v>
          </cell>
          <cell r="K1103">
            <v>9.9166666666666696</v>
          </cell>
          <cell r="L1103">
            <v>314.17</v>
          </cell>
          <cell r="O1103" t="str">
            <v>Y</v>
          </cell>
          <cell r="P1103" t="str">
            <v>N</v>
          </cell>
          <cell r="Q1103" t="str">
            <v>Vacancy</v>
          </cell>
          <cell r="S1103">
            <v>0.26</v>
          </cell>
        </row>
        <row r="1104">
          <cell r="D1104">
            <v>1008000282</v>
          </cell>
          <cell r="E1104" t="str">
            <v>DEBBIE HARRIS</v>
          </cell>
          <cell r="F1104" t="str">
            <v>D (MD)</v>
          </cell>
          <cell r="H1104" t="str">
            <v>Mayday</v>
          </cell>
          <cell r="I1104">
            <v>0.60416666666666663</v>
          </cell>
          <cell r="J1104">
            <v>0.85416666666666663</v>
          </cell>
          <cell r="K1104">
            <v>6</v>
          </cell>
          <cell r="L1104">
            <v>193.74</v>
          </cell>
          <cell r="O1104" t="str">
            <v>Y</v>
          </cell>
          <cell r="P1104" t="str">
            <v>N</v>
          </cell>
          <cell r="Q1104" t="str">
            <v>Acuity</v>
          </cell>
          <cell r="S1104">
            <v>0.16</v>
          </cell>
        </row>
        <row r="1105">
          <cell r="D1105">
            <v>1008000514</v>
          </cell>
          <cell r="E1105" t="str">
            <v>DEVIKA SAMAROO</v>
          </cell>
          <cell r="F1105" t="str">
            <v>D (Amb)</v>
          </cell>
          <cell r="G1105">
            <v>750273</v>
          </cell>
          <cell r="H1105" t="str">
            <v>Ambition</v>
          </cell>
          <cell r="I1105">
            <v>0.58333333333333337</v>
          </cell>
          <cell r="J1105">
            <v>0.84375</v>
          </cell>
          <cell r="K1105">
            <v>6.25</v>
          </cell>
          <cell r="L1105">
            <v>244.38</v>
          </cell>
          <cell r="O1105" t="str">
            <v>Y</v>
          </cell>
          <cell r="P1105" t="str">
            <v>N</v>
          </cell>
          <cell r="Q1105" t="str">
            <v>Vacancy</v>
          </cell>
          <cell r="S1105">
            <v>0.17</v>
          </cell>
        </row>
        <row r="1106">
          <cell r="D1106">
            <v>908005326</v>
          </cell>
          <cell r="E1106" t="str">
            <v>GLENDA RONA</v>
          </cell>
          <cell r="F1106" t="str">
            <v>D (Ch)</v>
          </cell>
          <cell r="H1106" t="str">
            <v>Choice</v>
          </cell>
          <cell r="I1106">
            <v>0.83333333333333337</v>
          </cell>
          <cell r="J1106">
            <v>0.33333333333333331</v>
          </cell>
          <cell r="K1106">
            <v>11.3333333333333</v>
          </cell>
          <cell r="L1106">
            <v>359.05</v>
          </cell>
          <cell r="O1106" t="str">
            <v>Y</v>
          </cell>
          <cell r="P1106" t="str">
            <v>N</v>
          </cell>
          <cell r="Q1106" t="str">
            <v>Extra Capacity</v>
          </cell>
          <cell r="S1106">
            <v>0.3</v>
          </cell>
        </row>
        <row r="1107">
          <cell r="D1107">
            <v>908005076</v>
          </cell>
          <cell r="E1107" t="str">
            <v>GRACE CHIKWAVA</v>
          </cell>
          <cell r="F1107" t="str">
            <v>D (Ch)</v>
          </cell>
          <cell r="G1107">
            <v>16794</v>
          </cell>
          <cell r="H1107" t="str">
            <v>Choice</v>
          </cell>
          <cell r="I1107">
            <v>0.3125</v>
          </cell>
          <cell r="J1107">
            <v>0.5625</v>
          </cell>
          <cell r="K1107">
            <v>5.6666666666666696</v>
          </cell>
          <cell r="L1107">
            <v>138.1</v>
          </cell>
          <cell r="O1107" t="str">
            <v>Y</v>
          </cell>
          <cell r="P1107" t="str">
            <v>N</v>
          </cell>
          <cell r="Q1107" t="str">
            <v>Under Established</v>
          </cell>
          <cell r="S1107">
            <v>0.15</v>
          </cell>
        </row>
        <row r="1108">
          <cell r="D1108">
            <v>1008000124</v>
          </cell>
          <cell r="E1108" t="str">
            <v>HILDA SHANGE</v>
          </cell>
          <cell r="F1108" t="str">
            <v>D (Ch)</v>
          </cell>
          <cell r="G1108">
            <v>16859</v>
          </cell>
          <cell r="H1108" t="str">
            <v>Choice</v>
          </cell>
          <cell r="I1108">
            <v>0.875</v>
          </cell>
          <cell r="J1108">
            <v>0.3125</v>
          </cell>
          <cell r="K1108">
            <v>10.1666666666667</v>
          </cell>
          <cell r="L1108">
            <v>322.08999999999997</v>
          </cell>
          <cell r="O1108" t="str">
            <v>Y</v>
          </cell>
          <cell r="P1108" t="str">
            <v>N</v>
          </cell>
          <cell r="Q1108" t="str">
            <v>Extra Capacity</v>
          </cell>
          <cell r="S1108">
            <v>0.27</v>
          </cell>
        </row>
        <row r="1109">
          <cell r="D1109">
            <v>908005520</v>
          </cell>
          <cell r="E1109" t="str">
            <v>JAMES MCCLEMENTS</v>
          </cell>
          <cell r="F1109" t="str">
            <v>D (MD)</v>
          </cell>
          <cell r="H1109" t="str">
            <v>Mayday</v>
          </cell>
          <cell r="I1109">
            <v>0.3125</v>
          </cell>
          <cell r="J1109">
            <v>0.54166666666666663</v>
          </cell>
          <cell r="K1109">
            <v>5.5</v>
          </cell>
          <cell r="L1109">
            <v>177.59</v>
          </cell>
          <cell r="O1109" t="str">
            <v>Y</v>
          </cell>
          <cell r="P1109" t="str">
            <v>N</v>
          </cell>
          <cell r="Q1109" t="str">
            <v>Extra Capacity</v>
          </cell>
          <cell r="S1109">
            <v>0.15</v>
          </cell>
        </row>
        <row r="1110">
          <cell r="D1110">
            <v>908005522</v>
          </cell>
          <cell r="E1110" t="str">
            <v>JAMES MCCLEMENTS</v>
          </cell>
          <cell r="F1110" t="str">
            <v>D (MD)</v>
          </cell>
          <cell r="H1110" t="str">
            <v>Mayday</v>
          </cell>
          <cell r="I1110">
            <v>0.625</v>
          </cell>
          <cell r="J1110">
            <v>0.85416666666666663</v>
          </cell>
          <cell r="K1110">
            <v>5.5</v>
          </cell>
          <cell r="L1110">
            <v>177.59</v>
          </cell>
          <cell r="O1110" t="str">
            <v>Y</v>
          </cell>
          <cell r="P1110" t="str">
            <v>N</v>
          </cell>
          <cell r="Q1110" t="str">
            <v>Extra Capacity</v>
          </cell>
          <cell r="S1110">
            <v>0.15</v>
          </cell>
        </row>
        <row r="1111">
          <cell r="D1111">
            <v>908005439</v>
          </cell>
          <cell r="E1111" t="str">
            <v>JEAN NGONA</v>
          </cell>
          <cell r="F1111" t="str">
            <v>D (MD)</v>
          </cell>
          <cell r="G1111">
            <v>336613</v>
          </cell>
          <cell r="H1111" t="str">
            <v>Mayday</v>
          </cell>
          <cell r="I1111">
            <v>0.3125</v>
          </cell>
          <cell r="J1111">
            <v>0.58333333333333337</v>
          </cell>
          <cell r="K1111">
            <v>6.1666666666666696</v>
          </cell>
          <cell r="L1111">
            <v>199.12</v>
          </cell>
          <cell r="O1111" t="str">
            <v>Y</v>
          </cell>
          <cell r="P1111" t="str">
            <v>N</v>
          </cell>
          <cell r="Q1111" t="str">
            <v>Vacancy</v>
          </cell>
          <cell r="S1111">
            <v>0.16</v>
          </cell>
        </row>
        <row r="1112">
          <cell r="D1112">
            <v>908005616</v>
          </cell>
          <cell r="E1112" t="str">
            <v>JOAN LEWIS</v>
          </cell>
          <cell r="F1112" t="str">
            <v>D (MD)</v>
          </cell>
          <cell r="G1112">
            <v>332465</v>
          </cell>
          <cell r="H1112" t="str">
            <v>Mayday</v>
          </cell>
          <cell r="I1112">
            <v>0.3125</v>
          </cell>
          <cell r="J1112">
            <v>0.60416666666666663</v>
          </cell>
          <cell r="K1112">
            <v>6.6666666666666696</v>
          </cell>
          <cell r="L1112">
            <v>215.27</v>
          </cell>
          <cell r="O1112" t="str">
            <v>Y</v>
          </cell>
          <cell r="P1112" t="str">
            <v>N</v>
          </cell>
          <cell r="Q1112" t="str">
            <v>Short Term Sick</v>
          </cell>
          <cell r="S1112">
            <v>0.18</v>
          </cell>
        </row>
        <row r="1113">
          <cell r="D1113">
            <v>1008000123</v>
          </cell>
          <cell r="E1113" t="str">
            <v>JOAN LEWIS</v>
          </cell>
          <cell r="F1113" t="str">
            <v>D (MD)</v>
          </cell>
          <cell r="G1113">
            <v>332466</v>
          </cell>
          <cell r="H1113" t="str">
            <v>Mayday</v>
          </cell>
          <cell r="I1113">
            <v>0.625</v>
          </cell>
          <cell r="J1113">
            <v>0.89583333333333337</v>
          </cell>
          <cell r="K1113">
            <v>6.6666666666666696</v>
          </cell>
          <cell r="L1113">
            <v>215.27</v>
          </cell>
          <cell r="O1113" t="str">
            <v>Y</v>
          </cell>
          <cell r="P1113" t="str">
            <v>N</v>
          </cell>
          <cell r="Q1113" t="str">
            <v>Extra Capacity</v>
          </cell>
          <cell r="S1113">
            <v>0.18</v>
          </cell>
        </row>
        <row r="1114">
          <cell r="D1114">
            <v>908003659</v>
          </cell>
          <cell r="E1114" t="str">
            <v>JOANNE BUSS</v>
          </cell>
          <cell r="F1114" t="str">
            <v>D (MD)</v>
          </cell>
          <cell r="G1114">
            <v>333126</v>
          </cell>
          <cell r="H1114" t="str">
            <v>Mayday</v>
          </cell>
          <cell r="I1114">
            <v>0.3125</v>
          </cell>
          <cell r="J1114">
            <v>0.54166666666666663</v>
          </cell>
          <cell r="K1114">
            <v>5.5</v>
          </cell>
          <cell r="L1114">
            <v>177.59</v>
          </cell>
          <cell r="O1114" t="str">
            <v>Y</v>
          </cell>
          <cell r="P1114" t="str">
            <v>N</v>
          </cell>
          <cell r="Q1114" t="str">
            <v>Vacancy</v>
          </cell>
          <cell r="S1114">
            <v>0.15</v>
          </cell>
        </row>
        <row r="1115">
          <cell r="D1115">
            <v>908005635</v>
          </cell>
          <cell r="E1115" t="str">
            <v>JOSEPH BASS</v>
          </cell>
          <cell r="F1115" t="str">
            <v>D (MD)</v>
          </cell>
          <cell r="G1115">
            <v>332506</v>
          </cell>
          <cell r="H1115" t="str">
            <v>Mayday</v>
          </cell>
          <cell r="I1115">
            <v>0.82291666666666663</v>
          </cell>
          <cell r="J1115">
            <v>0.34375</v>
          </cell>
          <cell r="K1115">
            <v>11.8333333333333</v>
          </cell>
          <cell r="L1115">
            <v>496.73</v>
          </cell>
          <cell r="O1115" t="str">
            <v>Y</v>
          </cell>
          <cell r="P1115" t="str">
            <v>N</v>
          </cell>
          <cell r="Q1115" t="str">
            <v>Vacancy</v>
          </cell>
          <cell r="S1115">
            <v>0.32</v>
          </cell>
        </row>
        <row r="1116">
          <cell r="D1116">
            <v>1008000600</v>
          </cell>
          <cell r="E1116" t="str">
            <v>JOY MABITLE</v>
          </cell>
          <cell r="F1116" t="str">
            <v>D (MD)</v>
          </cell>
          <cell r="G1116">
            <v>347474</v>
          </cell>
          <cell r="H1116" t="str">
            <v>Mayday</v>
          </cell>
          <cell r="I1116">
            <v>0.8125</v>
          </cell>
          <cell r="J1116">
            <v>0.33333333333333331</v>
          </cell>
          <cell r="K1116">
            <v>11.8333333333333</v>
          </cell>
          <cell r="L1116">
            <v>496.73</v>
          </cell>
          <cell r="O1116" t="str">
            <v>Y</v>
          </cell>
          <cell r="P1116" t="str">
            <v>N</v>
          </cell>
          <cell r="Q1116" t="str">
            <v>Short Term Sick</v>
          </cell>
          <cell r="S1116">
            <v>0.32</v>
          </cell>
        </row>
        <row r="1117">
          <cell r="D1117">
            <v>908005875</v>
          </cell>
          <cell r="E1117" t="str">
            <v>KAREN VAUGHAN</v>
          </cell>
          <cell r="F1117" t="str">
            <v>D General (Orio</v>
          </cell>
          <cell r="G1117" t="str">
            <v>Invsd Smt checked</v>
          </cell>
          <cell r="H1117" t="str">
            <v>Orion</v>
          </cell>
          <cell r="I1117">
            <v>0.33333333333333331</v>
          </cell>
          <cell r="J1117">
            <v>0.54166666666666663</v>
          </cell>
          <cell r="K1117">
            <v>5</v>
          </cell>
          <cell r="L1117">
            <v>90.6</v>
          </cell>
          <cell r="O1117" t="str">
            <v>Y</v>
          </cell>
          <cell r="P1117" t="str">
            <v>N</v>
          </cell>
          <cell r="Q1117" t="str">
            <v>Vacancy</v>
          </cell>
          <cell r="S1117">
            <v>0.13</v>
          </cell>
        </row>
        <row r="1118">
          <cell r="D1118">
            <v>908006883</v>
          </cell>
          <cell r="E1118" t="str">
            <v>KATIE KEAVENEY</v>
          </cell>
          <cell r="F1118" t="str">
            <v>D (MD)</v>
          </cell>
          <cell r="H1118" t="str">
            <v>Mayday</v>
          </cell>
          <cell r="I1118">
            <v>0.33333333333333331</v>
          </cell>
          <cell r="J1118">
            <v>0.58333333333333337</v>
          </cell>
          <cell r="K1118">
            <v>5.6666666666666696</v>
          </cell>
          <cell r="L1118">
            <v>182.98</v>
          </cell>
          <cell r="O1118" t="str">
            <v>Y</v>
          </cell>
          <cell r="P1118" t="str">
            <v>N</v>
          </cell>
          <cell r="Q1118" t="str">
            <v>Nurse Moved</v>
          </cell>
          <cell r="S1118">
            <v>0.15</v>
          </cell>
        </row>
        <row r="1119">
          <cell r="D1119">
            <v>1008000908</v>
          </cell>
          <cell r="E1119" t="str">
            <v>LETECIA MENIANO</v>
          </cell>
          <cell r="F1119" t="str">
            <v>D (Ch)</v>
          </cell>
          <cell r="G1119">
            <v>16807</v>
          </cell>
          <cell r="H1119" t="str">
            <v>Choice</v>
          </cell>
          <cell r="I1119">
            <v>0.82291666666666663</v>
          </cell>
          <cell r="J1119">
            <v>0.34375</v>
          </cell>
          <cell r="K1119">
            <v>11.5</v>
          </cell>
          <cell r="L1119">
            <v>364.33</v>
          </cell>
          <cell r="O1119" t="str">
            <v>Y</v>
          </cell>
          <cell r="P1119" t="str">
            <v>N</v>
          </cell>
          <cell r="Q1119" t="str">
            <v>On-Call</v>
          </cell>
          <cell r="S1119">
            <v>0.31</v>
          </cell>
        </row>
        <row r="1120">
          <cell r="D1120">
            <v>1008000626</v>
          </cell>
          <cell r="E1120" t="str">
            <v>LOUISE SEYMOUR</v>
          </cell>
          <cell r="F1120" t="str">
            <v>D (MD)</v>
          </cell>
          <cell r="G1120">
            <v>332077</v>
          </cell>
          <cell r="H1120" t="str">
            <v>Mayday</v>
          </cell>
          <cell r="I1120">
            <v>0.52083333333333337</v>
          </cell>
          <cell r="J1120">
            <v>0.85416666666666663</v>
          </cell>
          <cell r="K1120">
            <v>7.5</v>
          </cell>
          <cell r="L1120">
            <v>242.17</v>
          </cell>
          <cell r="O1120" t="str">
            <v>Y</v>
          </cell>
          <cell r="P1120" t="str">
            <v>N</v>
          </cell>
          <cell r="Q1120" t="str">
            <v>Short Term Sick</v>
          </cell>
          <cell r="S1120">
            <v>0.2</v>
          </cell>
        </row>
        <row r="1121">
          <cell r="D1121">
            <v>808006253</v>
          </cell>
          <cell r="E1121" t="str">
            <v>MAVIS SIBANDA</v>
          </cell>
          <cell r="F1121" t="str">
            <v>D (Ch)</v>
          </cell>
          <cell r="G1121">
            <v>16798</v>
          </cell>
          <cell r="H1121" t="str">
            <v>Choice</v>
          </cell>
          <cell r="I1121">
            <v>0.82291666666666663</v>
          </cell>
          <cell r="J1121">
            <v>0.34375</v>
          </cell>
          <cell r="K1121">
            <v>11.5</v>
          </cell>
          <cell r="L1121">
            <v>364.33</v>
          </cell>
          <cell r="O1121" t="str">
            <v>Y</v>
          </cell>
          <cell r="P1121" t="str">
            <v>N</v>
          </cell>
          <cell r="Q1121" t="str">
            <v>Vacancy</v>
          </cell>
          <cell r="S1121">
            <v>0.31</v>
          </cell>
        </row>
        <row r="1122">
          <cell r="D1122">
            <v>808004030</v>
          </cell>
          <cell r="E1122" t="str">
            <v>PAT DUBE</v>
          </cell>
          <cell r="F1122" t="str">
            <v>D (MD)</v>
          </cell>
          <cell r="G1122">
            <v>333837</v>
          </cell>
          <cell r="H1122" t="str">
            <v>Mayday</v>
          </cell>
          <cell r="I1122">
            <v>0.3125</v>
          </cell>
          <cell r="J1122">
            <v>0.64583333333333337</v>
          </cell>
          <cell r="K1122">
            <v>7.6666666666666696</v>
          </cell>
          <cell r="L1122">
            <v>247.56</v>
          </cell>
          <cell r="O1122" t="str">
            <v>Y</v>
          </cell>
          <cell r="P1122" t="str">
            <v>N</v>
          </cell>
          <cell r="Q1122" t="str">
            <v>Extra Capacity</v>
          </cell>
          <cell r="S1122">
            <v>0.2</v>
          </cell>
        </row>
        <row r="1123">
          <cell r="D1123">
            <v>808004044</v>
          </cell>
          <cell r="E1123" t="str">
            <v>PAT DUBE</v>
          </cell>
          <cell r="F1123" t="str">
            <v>D (MD)</v>
          </cell>
          <cell r="G1123">
            <v>333837</v>
          </cell>
          <cell r="H1123" t="str">
            <v>Mayday</v>
          </cell>
          <cell r="I1123">
            <v>0.64583333333333337</v>
          </cell>
          <cell r="J1123">
            <v>0.85416666666666663</v>
          </cell>
          <cell r="K1123">
            <v>5</v>
          </cell>
          <cell r="L1123">
            <v>161.44999999999999</v>
          </cell>
          <cell r="O1123" t="str">
            <v>Y</v>
          </cell>
          <cell r="P1123" t="str">
            <v>N</v>
          </cell>
          <cell r="Q1123" t="str">
            <v>Extra Capacity</v>
          </cell>
          <cell r="S1123">
            <v>0.13</v>
          </cell>
        </row>
        <row r="1124">
          <cell r="D1124">
            <v>1008000347</v>
          </cell>
          <cell r="E1124" t="str">
            <v>PATRICK CUNNINGHAM</v>
          </cell>
          <cell r="F1124" t="str">
            <v>D (MD)</v>
          </cell>
          <cell r="H1124" t="str">
            <v>Mayday</v>
          </cell>
          <cell r="I1124">
            <v>0.3125</v>
          </cell>
          <cell r="J1124">
            <v>0.85416666666666663</v>
          </cell>
          <cell r="K1124">
            <v>12.3333333333333</v>
          </cell>
          <cell r="L1124">
            <v>398.24</v>
          </cell>
          <cell r="O1124" t="str">
            <v>Y</v>
          </cell>
          <cell r="P1124" t="str">
            <v>N</v>
          </cell>
          <cell r="Q1124" t="str">
            <v>Acuity</v>
          </cell>
          <cell r="S1124">
            <v>0.33</v>
          </cell>
        </row>
        <row r="1125">
          <cell r="D1125">
            <v>808006407</v>
          </cell>
          <cell r="E1125" t="str">
            <v>PEGGY CHIRIKURE</v>
          </cell>
          <cell r="F1125" t="str">
            <v>D (Ch)</v>
          </cell>
          <cell r="G1125">
            <v>16793</v>
          </cell>
          <cell r="H1125" t="str">
            <v>Choice</v>
          </cell>
          <cell r="I1125">
            <v>0.3125</v>
          </cell>
          <cell r="J1125">
            <v>0.54166666666666663</v>
          </cell>
          <cell r="K1125">
            <v>5.5</v>
          </cell>
          <cell r="L1125">
            <v>134.03</v>
          </cell>
          <cell r="O1125" t="str">
            <v>Y</v>
          </cell>
          <cell r="P1125" t="str">
            <v>N</v>
          </cell>
          <cell r="Q1125" t="str">
            <v>Vacancy</v>
          </cell>
          <cell r="S1125">
            <v>0.15</v>
          </cell>
        </row>
        <row r="1126">
          <cell r="D1126">
            <v>808006408</v>
          </cell>
          <cell r="E1126" t="str">
            <v>PEGGY CHIRIKURE</v>
          </cell>
          <cell r="F1126" t="str">
            <v>D (Ch)</v>
          </cell>
          <cell r="G1126">
            <v>16793</v>
          </cell>
          <cell r="H1126" t="str">
            <v>Choice</v>
          </cell>
          <cell r="I1126">
            <v>0.625</v>
          </cell>
          <cell r="J1126">
            <v>0.85416666666666663</v>
          </cell>
          <cell r="K1126">
            <v>5.5</v>
          </cell>
          <cell r="L1126">
            <v>134.03</v>
          </cell>
          <cell r="O1126" t="str">
            <v>Y</v>
          </cell>
          <cell r="P1126" t="str">
            <v>N</v>
          </cell>
          <cell r="Q1126" t="str">
            <v>Vacancy</v>
          </cell>
          <cell r="S1126">
            <v>0.15</v>
          </cell>
        </row>
        <row r="1127">
          <cell r="D1127">
            <v>908005617</v>
          </cell>
          <cell r="E1127" t="str">
            <v>PEGGY MAPOGO</v>
          </cell>
          <cell r="F1127" t="str">
            <v>D (Ch)</v>
          </cell>
          <cell r="G1127">
            <v>16804</v>
          </cell>
          <cell r="H1127" t="str">
            <v>Choice</v>
          </cell>
          <cell r="I1127">
            <v>0.3125</v>
          </cell>
          <cell r="J1127">
            <v>0.60416666666666663</v>
          </cell>
          <cell r="K1127">
            <v>6.6666666666666696</v>
          </cell>
          <cell r="L1127">
            <v>162.47</v>
          </cell>
          <cell r="O1127" t="str">
            <v>Y</v>
          </cell>
          <cell r="P1127" t="str">
            <v>N</v>
          </cell>
          <cell r="Q1127" t="str">
            <v>Short Term Sick</v>
          </cell>
          <cell r="S1127">
            <v>0.18</v>
          </cell>
        </row>
        <row r="1128">
          <cell r="D1128">
            <v>908005618</v>
          </cell>
          <cell r="E1128" t="str">
            <v>PEGGY MAPOGO</v>
          </cell>
          <cell r="F1128" t="str">
            <v>D (Ch)</v>
          </cell>
          <cell r="G1128">
            <v>16804</v>
          </cell>
          <cell r="H1128" t="str">
            <v>Choice</v>
          </cell>
          <cell r="I1128">
            <v>0.60416666666666663</v>
          </cell>
          <cell r="J1128">
            <v>0.85416666666666663</v>
          </cell>
          <cell r="K1128">
            <v>5.6666666666666696</v>
          </cell>
          <cell r="L1128">
            <v>138.1</v>
          </cell>
          <cell r="O1128" t="str">
            <v>Y</v>
          </cell>
          <cell r="P1128" t="str">
            <v>N</v>
          </cell>
          <cell r="Q1128" t="str">
            <v>Short Term Sick</v>
          </cell>
          <cell r="S1128">
            <v>0.15</v>
          </cell>
        </row>
        <row r="1129">
          <cell r="D1129">
            <v>1008000461</v>
          </cell>
          <cell r="E1129" t="str">
            <v>RUTH MILMINE</v>
          </cell>
          <cell r="F1129" t="str">
            <v>D (Amb)</v>
          </cell>
          <cell r="G1129">
            <v>746123</v>
          </cell>
          <cell r="H1129" t="str">
            <v>Ambition</v>
          </cell>
          <cell r="I1129">
            <v>0.625</v>
          </cell>
          <cell r="J1129">
            <v>0.89583333333333337</v>
          </cell>
          <cell r="K1129">
            <v>6.1666666666666696</v>
          </cell>
          <cell r="L1129">
            <v>241.12</v>
          </cell>
          <cell r="O1129" t="str">
            <v>Y</v>
          </cell>
          <cell r="P1129" t="str">
            <v>N</v>
          </cell>
          <cell r="Q1129" t="str">
            <v>Short Term Sick</v>
          </cell>
          <cell r="S1129">
            <v>0.16</v>
          </cell>
        </row>
        <row r="1130">
          <cell r="D1130">
            <v>1008000428</v>
          </cell>
          <cell r="E1130" t="str">
            <v>SAM KELEM</v>
          </cell>
          <cell r="F1130" t="str">
            <v>D (Ch)</v>
          </cell>
          <cell r="G1130">
            <v>16793</v>
          </cell>
          <cell r="H1130" t="str">
            <v>Choice</v>
          </cell>
          <cell r="I1130">
            <v>0.83333333333333337</v>
          </cell>
          <cell r="J1130">
            <v>0.33333333333333331</v>
          </cell>
          <cell r="K1130">
            <v>11.3333333333333</v>
          </cell>
          <cell r="L1130">
            <v>359.05</v>
          </cell>
          <cell r="O1130" t="str">
            <v>Y</v>
          </cell>
          <cell r="P1130" t="str">
            <v>N</v>
          </cell>
          <cell r="Q1130" t="str">
            <v>Vacancy</v>
          </cell>
          <cell r="S1130">
            <v>0.3</v>
          </cell>
        </row>
        <row r="1131">
          <cell r="D1131">
            <v>908005620</v>
          </cell>
          <cell r="E1131" t="str">
            <v>TAEL MHANGO</v>
          </cell>
          <cell r="F1131" t="str">
            <v>D (Ch)</v>
          </cell>
          <cell r="G1131">
            <v>16804</v>
          </cell>
          <cell r="H1131" t="str">
            <v>Choice</v>
          </cell>
          <cell r="I1131">
            <v>0.83333333333333337</v>
          </cell>
          <cell r="J1131">
            <v>0.33333333333333331</v>
          </cell>
          <cell r="K1131">
            <v>11.3333333333333</v>
          </cell>
          <cell r="L1131">
            <v>359.05</v>
          </cell>
          <cell r="O1131" t="str">
            <v>Y</v>
          </cell>
          <cell r="P1131" t="str">
            <v>N</v>
          </cell>
          <cell r="Q1131" t="str">
            <v>Under Established</v>
          </cell>
          <cell r="S1131">
            <v>0.3</v>
          </cell>
        </row>
        <row r="1132">
          <cell r="D1132">
            <v>908002465</v>
          </cell>
          <cell r="E1132" t="str">
            <v>TAMBU JENA</v>
          </cell>
          <cell r="F1132" t="str">
            <v>D (Ch)</v>
          </cell>
          <cell r="G1132">
            <v>16803</v>
          </cell>
          <cell r="H1132" t="str">
            <v>Choice</v>
          </cell>
          <cell r="I1132">
            <v>0.625</v>
          </cell>
          <cell r="J1132">
            <v>0.875</v>
          </cell>
          <cell r="K1132">
            <v>5.75</v>
          </cell>
          <cell r="L1132">
            <v>140.13</v>
          </cell>
          <cell r="O1132" t="str">
            <v>Y</v>
          </cell>
          <cell r="P1132" t="str">
            <v>N</v>
          </cell>
          <cell r="Q1132" t="str">
            <v>Long Term Sick</v>
          </cell>
          <cell r="S1132">
            <v>0.15</v>
          </cell>
        </row>
        <row r="1133">
          <cell r="D1133">
            <v>1008000453</v>
          </cell>
          <cell r="E1133" t="str">
            <v>TAMBU JENA</v>
          </cell>
          <cell r="F1133" t="str">
            <v>D (Ch)</v>
          </cell>
          <cell r="G1133">
            <v>16802</v>
          </cell>
          <cell r="H1133" t="str">
            <v>Choice</v>
          </cell>
          <cell r="I1133">
            <v>0.32291666666666669</v>
          </cell>
          <cell r="J1133">
            <v>0.58333333333333337</v>
          </cell>
          <cell r="K1133">
            <v>5.9166666666666696</v>
          </cell>
          <cell r="L1133">
            <v>144.19</v>
          </cell>
          <cell r="O1133" t="str">
            <v>Y</v>
          </cell>
          <cell r="P1133" t="str">
            <v>N</v>
          </cell>
          <cell r="Q1133" t="str">
            <v>On-Call</v>
          </cell>
          <cell r="S1133">
            <v>0.16</v>
          </cell>
        </row>
        <row r="1134">
          <cell r="D1134">
            <v>808003957</v>
          </cell>
          <cell r="E1134" t="str">
            <v>TARA MASSIE</v>
          </cell>
          <cell r="F1134" t="str">
            <v>D (MD)</v>
          </cell>
          <cell r="H1134" t="str">
            <v>Mayday</v>
          </cell>
          <cell r="I1134">
            <v>0.3125</v>
          </cell>
          <cell r="J1134">
            <v>0.64583333333333337</v>
          </cell>
          <cell r="K1134">
            <v>7.6666666666666696</v>
          </cell>
          <cell r="L1134">
            <v>247.56</v>
          </cell>
          <cell r="O1134" t="str">
            <v>Y</v>
          </cell>
          <cell r="P1134" t="str">
            <v>N</v>
          </cell>
          <cell r="Q1134" t="str">
            <v>Extra Capacity</v>
          </cell>
          <cell r="S1134">
            <v>0.2</v>
          </cell>
        </row>
        <row r="1135">
          <cell r="D1135">
            <v>808003972</v>
          </cell>
          <cell r="E1135" t="str">
            <v>TARA MASSIE</v>
          </cell>
          <cell r="F1135" t="str">
            <v>D (MD)</v>
          </cell>
          <cell r="H1135" t="str">
            <v>Mayday</v>
          </cell>
          <cell r="I1135">
            <v>0.64583333333333337</v>
          </cell>
          <cell r="J1135">
            <v>0.85416666666666663</v>
          </cell>
          <cell r="K1135">
            <v>5</v>
          </cell>
          <cell r="L1135">
            <v>161.44999999999999</v>
          </cell>
          <cell r="O1135" t="str">
            <v>Y</v>
          </cell>
          <cell r="P1135" t="str">
            <v>N</v>
          </cell>
          <cell r="Q1135" t="str">
            <v>Extra Capacity</v>
          </cell>
          <cell r="S1135">
            <v>0.13</v>
          </cell>
        </row>
        <row r="1136">
          <cell r="D1136">
            <v>908005876</v>
          </cell>
          <cell r="E1136" t="str">
            <v>TOM OSBOURNE</v>
          </cell>
          <cell r="F1136" t="str">
            <v>D General (Orio</v>
          </cell>
          <cell r="G1136" t="str">
            <v>Invsd Smt checked</v>
          </cell>
          <cell r="H1136" t="str">
            <v>Orion</v>
          </cell>
          <cell r="I1136">
            <v>0.33333333333333331</v>
          </cell>
          <cell r="J1136">
            <v>0.54166666666666663</v>
          </cell>
          <cell r="K1136">
            <v>5</v>
          </cell>
          <cell r="L1136">
            <v>90.6</v>
          </cell>
          <cell r="O1136" t="str">
            <v>Y</v>
          </cell>
          <cell r="P1136" t="str">
            <v>N</v>
          </cell>
          <cell r="Q1136" t="str">
            <v>Vacancy</v>
          </cell>
          <cell r="S1136">
            <v>0.13</v>
          </cell>
        </row>
        <row r="1137">
          <cell r="D1137">
            <v>1008000650</v>
          </cell>
          <cell r="E1137" t="str">
            <v>ALEX TYLER</v>
          </cell>
          <cell r="F1137" t="str">
            <v>A/2 (PS)</v>
          </cell>
          <cell r="H1137" t="str">
            <v>Pinnacle Staffing</v>
          </cell>
          <cell r="I1137">
            <v>0.3125</v>
          </cell>
          <cell r="J1137">
            <v>0.54166666666666663</v>
          </cell>
          <cell r="K1137">
            <v>5.5</v>
          </cell>
          <cell r="L1137">
            <v>68.790000000000006</v>
          </cell>
          <cell r="O1137" t="str">
            <v>Y</v>
          </cell>
          <cell r="P1137" t="str">
            <v>N</v>
          </cell>
          <cell r="Q1137" t="str">
            <v>Short Term Sick</v>
          </cell>
          <cell r="S1137">
            <v>0.15</v>
          </cell>
        </row>
        <row r="1138">
          <cell r="D1138">
            <v>908004788</v>
          </cell>
          <cell r="E1138" t="str">
            <v>ALMA DEPENA</v>
          </cell>
          <cell r="F1138" t="str">
            <v>D (Ch)</v>
          </cell>
          <cell r="G1138">
            <v>16800</v>
          </cell>
          <cell r="H1138" t="str">
            <v>Choice</v>
          </cell>
          <cell r="I1138">
            <v>0.82291666666666663</v>
          </cell>
          <cell r="J1138">
            <v>0.34375</v>
          </cell>
          <cell r="K1138">
            <v>11.5</v>
          </cell>
          <cell r="L1138">
            <v>364.33</v>
          </cell>
          <cell r="O1138" t="str">
            <v>Y</v>
          </cell>
          <cell r="P1138" t="str">
            <v>N</v>
          </cell>
          <cell r="Q1138" t="str">
            <v>Maternity Leave</v>
          </cell>
          <cell r="S1138">
            <v>0.31</v>
          </cell>
        </row>
        <row r="1139">
          <cell r="D1139">
            <v>908002274</v>
          </cell>
          <cell r="E1139" t="str">
            <v>ANNA BONNERUP</v>
          </cell>
          <cell r="F1139" t="str">
            <v>D / 5 General (</v>
          </cell>
          <cell r="G1139" t="str">
            <v>604-150997</v>
          </cell>
          <cell r="H1139" t="str">
            <v>Blue Arrow</v>
          </cell>
          <cell r="I1139">
            <v>0.3125</v>
          </cell>
          <cell r="J1139">
            <v>0.54166666666666663</v>
          </cell>
          <cell r="K1139">
            <v>5.5</v>
          </cell>
          <cell r="L1139">
            <v>120.69</v>
          </cell>
          <cell r="O1139" t="str">
            <v>Y</v>
          </cell>
          <cell r="P1139" t="str">
            <v>N</v>
          </cell>
          <cell r="Q1139" t="str">
            <v>Vacancy</v>
          </cell>
          <cell r="S1139">
            <v>0.15</v>
          </cell>
        </row>
        <row r="1140">
          <cell r="D1140">
            <v>808003988</v>
          </cell>
          <cell r="E1140" t="str">
            <v>BEAUTY NGIDI</v>
          </cell>
          <cell r="F1140" t="str">
            <v>D (MD)</v>
          </cell>
          <cell r="H1140" t="str">
            <v>Mayday</v>
          </cell>
          <cell r="I1140">
            <v>0.83333333333333337</v>
          </cell>
          <cell r="J1140">
            <v>0.33333333333333331</v>
          </cell>
          <cell r="K1140">
            <v>11.3333333333333</v>
          </cell>
          <cell r="L1140">
            <v>475.74</v>
          </cell>
          <cell r="O1140" t="str">
            <v>Y</v>
          </cell>
          <cell r="P1140" t="str">
            <v>N</v>
          </cell>
          <cell r="Q1140" t="str">
            <v>Extra Capacity</v>
          </cell>
          <cell r="S1140">
            <v>0.3</v>
          </cell>
        </row>
        <row r="1141">
          <cell r="D1141">
            <v>808003995</v>
          </cell>
          <cell r="E1141" t="str">
            <v>BRIGHTNESS NDEBELE</v>
          </cell>
          <cell r="F1141" t="str">
            <v>D (MD)</v>
          </cell>
          <cell r="G1141">
            <v>332455</v>
          </cell>
          <cell r="H1141" t="str">
            <v>Mayday</v>
          </cell>
          <cell r="I1141">
            <v>0.83333333333333337</v>
          </cell>
          <cell r="J1141">
            <v>0.33333333333333331</v>
          </cell>
          <cell r="K1141">
            <v>11.3333333333333</v>
          </cell>
          <cell r="L1141">
            <v>475.74</v>
          </cell>
          <cell r="O1141" t="str">
            <v>Y</v>
          </cell>
          <cell r="P1141" t="str">
            <v>N</v>
          </cell>
          <cell r="Q1141" t="str">
            <v>Extra Capacity</v>
          </cell>
          <cell r="S1141">
            <v>0.3</v>
          </cell>
        </row>
        <row r="1142">
          <cell r="D1142">
            <v>1008000304</v>
          </cell>
          <cell r="E1142" t="str">
            <v>CARL HIBBERT</v>
          </cell>
          <cell r="F1142" t="str">
            <v>D (Ch)</v>
          </cell>
          <cell r="G1142">
            <v>16812</v>
          </cell>
          <cell r="H1142" t="str">
            <v>Choice</v>
          </cell>
          <cell r="I1142">
            <v>0.83333333333333337</v>
          </cell>
          <cell r="J1142">
            <v>0.33333333333333331</v>
          </cell>
          <cell r="K1142">
            <v>11.3333333333333</v>
          </cell>
          <cell r="L1142">
            <v>359.05</v>
          </cell>
          <cell r="O1142" t="str">
            <v>Y</v>
          </cell>
          <cell r="P1142" t="str">
            <v>N</v>
          </cell>
          <cell r="Q1142" t="str">
            <v>Short Term Sick</v>
          </cell>
          <cell r="S1142">
            <v>0.3</v>
          </cell>
        </row>
        <row r="1143">
          <cell r="D1143">
            <v>1008000942</v>
          </cell>
          <cell r="E1143" t="str">
            <v>CYNTHIA DELMO</v>
          </cell>
          <cell r="F1143" t="str">
            <v>D (Ch)</v>
          </cell>
          <cell r="G1143">
            <v>16798</v>
          </cell>
          <cell r="H1143" t="str">
            <v>Choice</v>
          </cell>
          <cell r="I1143">
            <v>0.82291666666666663</v>
          </cell>
          <cell r="J1143">
            <v>0.34375</v>
          </cell>
          <cell r="K1143">
            <v>11.5</v>
          </cell>
          <cell r="L1143">
            <v>364.33</v>
          </cell>
          <cell r="O1143" t="str">
            <v>Y</v>
          </cell>
          <cell r="P1143" t="str">
            <v>N</v>
          </cell>
          <cell r="Q1143" t="str">
            <v>On-Call</v>
          </cell>
          <cell r="S1143">
            <v>0.31</v>
          </cell>
        </row>
        <row r="1144">
          <cell r="D1144">
            <v>908002473</v>
          </cell>
          <cell r="E1144" t="str">
            <v>DIGRACIA  NAPE</v>
          </cell>
          <cell r="F1144" t="str">
            <v>D (MD)</v>
          </cell>
          <cell r="H1144" t="str">
            <v>Mayday</v>
          </cell>
          <cell r="I1144">
            <v>0.625</v>
          </cell>
          <cell r="J1144">
            <v>0.875</v>
          </cell>
          <cell r="K1144">
            <v>5.75</v>
          </cell>
          <cell r="L1144">
            <v>241.37</v>
          </cell>
          <cell r="O1144" t="str">
            <v>Y</v>
          </cell>
          <cell r="P1144" t="str">
            <v>N</v>
          </cell>
          <cell r="Q1144" t="str">
            <v>Long Term Sick</v>
          </cell>
          <cell r="S1144">
            <v>0.15</v>
          </cell>
        </row>
        <row r="1145">
          <cell r="D1145">
            <v>908005334</v>
          </cell>
          <cell r="E1145" t="str">
            <v>EMMANUEL SALAKO</v>
          </cell>
          <cell r="F1145" t="str">
            <v>D (MD)</v>
          </cell>
          <cell r="G1145">
            <v>332523</v>
          </cell>
          <cell r="H1145" t="str">
            <v>Mayday</v>
          </cell>
          <cell r="I1145">
            <v>0.3125</v>
          </cell>
          <cell r="J1145">
            <v>0.625</v>
          </cell>
          <cell r="K1145">
            <v>7.1666666666666696</v>
          </cell>
          <cell r="L1145">
            <v>300.83999999999997</v>
          </cell>
          <cell r="O1145" t="str">
            <v>Y</v>
          </cell>
          <cell r="P1145" t="str">
            <v>N</v>
          </cell>
          <cell r="Q1145" t="str">
            <v>Extra Capacity</v>
          </cell>
          <cell r="S1145">
            <v>0.19</v>
          </cell>
        </row>
        <row r="1146">
          <cell r="D1146">
            <v>908006271</v>
          </cell>
          <cell r="E1146" t="str">
            <v>GRACE CHIKWAVA</v>
          </cell>
          <cell r="F1146" t="str">
            <v>D (Ch)</v>
          </cell>
          <cell r="G1146">
            <v>16794</v>
          </cell>
          <cell r="H1146" t="str">
            <v>Choice</v>
          </cell>
          <cell r="I1146">
            <v>0.3125</v>
          </cell>
          <cell r="J1146">
            <v>0.89583333333333337</v>
          </cell>
          <cell r="K1146">
            <v>13.3333333333333</v>
          </cell>
          <cell r="L1146">
            <v>422.41</v>
          </cell>
          <cell r="O1146" t="str">
            <v>Y</v>
          </cell>
          <cell r="P1146" t="str">
            <v>N</v>
          </cell>
          <cell r="Q1146" t="str">
            <v>Vacancy</v>
          </cell>
          <cell r="S1146">
            <v>0.36</v>
          </cell>
        </row>
        <row r="1147">
          <cell r="D1147">
            <v>1008000704</v>
          </cell>
          <cell r="E1147" t="str">
            <v>HILDA SHANGE</v>
          </cell>
          <cell r="F1147" t="str">
            <v>D (Ch)</v>
          </cell>
          <cell r="G1147">
            <v>17030</v>
          </cell>
          <cell r="H1147" t="str">
            <v>Choice</v>
          </cell>
          <cell r="I1147">
            <v>0.88541666666666663</v>
          </cell>
          <cell r="J1147">
            <v>0.3125</v>
          </cell>
          <cell r="K1147">
            <v>9.25</v>
          </cell>
          <cell r="L1147">
            <v>293.05</v>
          </cell>
          <cell r="O1147" t="str">
            <v>Y</v>
          </cell>
          <cell r="P1147" t="str">
            <v>N</v>
          </cell>
          <cell r="Q1147" t="str">
            <v>Short Term Sick</v>
          </cell>
          <cell r="S1147">
            <v>0.25</v>
          </cell>
        </row>
        <row r="1148">
          <cell r="D1148">
            <v>908005523</v>
          </cell>
          <cell r="E1148" t="str">
            <v>JAMES MCCLEMENTS</v>
          </cell>
          <cell r="F1148" t="str">
            <v>D (MD)</v>
          </cell>
          <cell r="H1148" t="str">
            <v>Mayday</v>
          </cell>
          <cell r="I1148">
            <v>0.3125</v>
          </cell>
          <cell r="J1148">
            <v>0.54166666666666663</v>
          </cell>
          <cell r="K1148">
            <v>5.5</v>
          </cell>
          <cell r="L1148">
            <v>230.87</v>
          </cell>
          <cell r="O1148" t="str">
            <v>Y</v>
          </cell>
          <cell r="P1148" t="str">
            <v>N</v>
          </cell>
          <cell r="Q1148" t="str">
            <v>Extra Capacity</v>
          </cell>
          <cell r="S1148">
            <v>0.15</v>
          </cell>
        </row>
        <row r="1149">
          <cell r="D1149">
            <v>908005436</v>
          </cell>
          <cell r="E1149" t="str">
            <v>JEAN NGONA</v>
          </cell>
          <cell r="F1149" t="str">
            <v>D (MD)</v>
          </cell>
          <cell r="G1149">
            <v>336610</v>
          </cell>
          <cell r="H1149" t="str">
            <v>Mayday</v>
          </cell>
          <cell r="I1149">
            <v>0.625</v>
          </cell>
          <cell r="J1149">
            <v>0.85416666666666663</v>
          </cell>
          <cell r="K1149">
            <v>5.5</v>
          </cell>
          <cell r="L1149">
            <v>230.87</v>
          </cell>
          <cell r="O1149" t="str">
            <v>Y</v>
          </cell>
          <cell r="P1149" t="str">
            <v>N</v>
          </cell>
          <cell r="Q1149" t="str">
            <v>Vacancy</v>
          </cell>
          <cell r="S1149">
            <v>0.15</v>
          </cell>
        </row>
        <row r="1150">
          <cell r="D1150">
            <v>908005622</v>
          </cell>
          <cell r="E1150" t="str">
            <v>JOAN LEWIS</v>
          </cell>
          <cell r="F1150" t="str">
            <v>D (MD)</v>
          </cell>
          <cell r="G1150">
            <v>332468</v>
          </cell>
          <cell r="H1150" t="str">
            <v>Mayday</v>
          </cell>
          <cell r="I1150">
            <v>0.3125</v>
          </cell>
          <cell r="J1150">
            <v>0.60416666666666663</v>
          </cell>
          <cell r="K1150">
            <v>6.6666666666666696</v>
          </cell>
          <cell r="L1150">
            <v>279.85000000000002</v>
          </cell>
          <cell r="O1150" t="str">
            <v>Y</v>
          </cell>
          <cell r="P1150" t="str">
            <v>N</v>
          </cell>
          <cell r="Q1150" t="str">
            <v>Short Term Sick</v>
          </cell>
          <cell r="S1150">
            <v>0.18</v>
          </cell>
        </row>
        <row r="1151">
          <cell r="D1151">
            <v>1008000631</v>
          </cell>
          <cell r="E1151" t="str">
            <v>KATHY CHIDAVA</v>
          </cell>
          <cell r="F1151" t="str">
            <v>D (Ch)</v>
          </cell>
          <cell r="H1151" t="str">
            <v>Choice</v>
          </cell>
          <cell r="I1151">
            <v>0.83333333333333337</v>
          </cell>
          <cell r="J1151">
            <v>0.32291666666666669</v>
          </cell>
          <cell r="K1151">
            <v>10.75</v>
          </cell>
          <cell r="L1151">
            <v>340.57</v>
          </cell>
          <cell r="O1151" t="str">
            <v>Y</v>
          </cell>
          <cell r="P1151" t="str">
            <v>N</v>
          </cell>
          <cell r="Q1151" t="str">
            <v>Vacancy</v>
          </cell>
          <cell r="S1151">
            <v>0.28999999999999998</v>
          </cell>
        </row>
        <row r="1152">
          <cell r="D1152">
            <v>908001332</v>
          </cell>
          <cell r="E1152" t="str">
            <v>KATIE KEAVENEY</v>
          </cell>
          <cell r="F1152" t="str">
            <v>D (MD)</v>
          </cell>
          <cell r="H1152" t="str">
            <v>Mayday</v>
          </cell>
          <cell r="I1152">
            <v>0.625</v>
          </cell>
          <cell r="J1152">
            <v>0.875</v>
          </cell>
          <cell r="K1152">
            <v>6</v>
          </cell>
          <cell r="L1152">
            <v>251.86</v>
          </cell>
          <cell r="O1152" t="str">
            <v>Y</v>
          </cell>
          <cell r="P1152" t="str">
            <v>N</v>
          </cell>
          <cell r="Q1152" t="str">
            <v>Vacancy</v>
          </cell>
          <cell r="S1152">
            <v>0.16</v>
          </cell>
        </row>
        <row r="1153">
          <cell r="D1153">
            <v>908004789</v>
          </cell>
          <cell r="E1153" t="str">
            <v>LERENZO  BAHILLO</v>
          </cell>
          <cell r="F1153" t="str">
            <v>Band 5 (DN)</v>
          </cell>
          <cell r="G1153">
            <v>19003</v>
          </cell>
          <cell r="H1153" t="str">
            <v>Direct Nursing</v>
          </cell>
          <cell r="I1153">
            <v>0.82291666666666663</v>
          </cell>
          <cell r="J1153">
            <v>0.34375</v>
          </cell>
          <cell r="K1153">
            <v>11.5</v>
          </cell>
          <cell r="L1153">
            <v>263.12</v>
          </cell>
          <cell r="O1153" t="str">
            <v>Y</v>
          </cell>
          <cell r="P1153" t="str">
            <v>N</v>
          </cell>
          <cell r="Q1153" t="str">
            <v>Vacancy</v>
          </cell>
          <cell r="S1153">
            <v>0.31</v>
          </cell>
        </row>
        <row r="1154">
          <cell r="D1154">
            <v>1008000909</v>
          </cell>
          <cell r="E1154" t="str">
            <v>LETECIA MENIANO</v>
          </cell>
          <cell r="F1154" t="str">
            <v>D (Ch)</v>
          </cell>
          <cell r="H1154" t="str">
            <v>Choice</v>
          </cell>
          <cell r="I1154">
            <v>0.88541666666666663</v>
          </cell>
          <cell r="J1154">
            <v>0.3125</v>
          </cell>
          <cell r="K1154">
            <v>9.25</v>
          </cell>
          <cell r="L1154">
            <v>293.05</v>
          </cell>
          <cell r="O1154" t="str">
            <v>Y</v>
          </cell>
          <cell r="P1154" t="str">
            <v>N</v>
          </cell>
          <cell r="Q1154" t="str">
            <v>On-Call</v>
          </cell>
          <cell r="S1154">
            <v>0.25</v>
          </cell>
        </row>
        <row r="1155">
          <cell r="D1155">
            <v>1008000912</v>
          </cell>
          <cell r="E1155" t="str">
            <v>NILO DANUGO</v>
          </cell>
          <cell r="F1155" t="str">
            <v>D (Ch)</v>
          </cell>
          <cell r="G1155">
            <v>16791</v>
          </cell>
          <cell r="H1155" t="str">
            <v>Choice</v>
          </cell>
          <cell r="I1155">
            <v>0.88541666666666663</v>
          </cell>
          <cell r="J1155">
            <v>0.30208333333333331</v>
          </cell>
          <cell r="K1155">
            <v>9</v>
          </cell>
          <cell r="L1155">
            <v>285.13</v>
          </cell>
          <cell r="O1155" t="str">
            <v>Y</v>
          </cell>
          <cell r="P1155" t="str">
            <v>N</v>
          </cell>
          <cell r="Q1155" t="str">
            <v>On-Call</v>
          </cell>
          <cell r="S1155">
            <v>0.24</v>
          </cell>
        </row>
        <row r="1156">
          <cell r="D1156">
            <v>808004031</v>
          </cell>
          <cell r="E1156" t="str">
            <v>PAT DUBE</v>
          </cell>
          <cell r="F1156" t="str">
            <v>D (MD)</v>
          </cell>
          <cell r="G1156">
            <v>333837</v>
          </cell>
          <cell r="H1156" t="str">
            <v>Mayday</v>
          </cell>
          <cell r="I1156">
            <v>0.3125</v>
          </cell>
          <cell r="J1156">
            <v>0.64583333333333337</v>
          </cell>
          <cell r="K1156">
            <v>7.6666666666666696</v>
          </cell>
          <cell r="L1156">
            <v>321.82</v>
          </cell>
          <cell r="O1156" t="str">
            <v>Y</v>
          </cell>
          <cell r="P1156" t="str">
            <v>N</v>
          </cell>
          <cell r="Q1156" t="str">
            <v>Extra Capacity</v>
          </cell>
          <cell r="S1156">
            <v>0.2</v>
          </cell>
        </row>
        <row r="1157">
          <cell r="D1157">
            <v>908005079</v>
          </cell>
          <cell r="E1157" t="str">
            <v>PEGGY MAPOGO</v>
          </cell>
          <cell r="F1157" t="str">
            <v>D (Ch)</v>
          </cell>
          <cell r="H1157" t="str">
            <v>Choice</v>
          </cell>
          <cell r="I1157">
            <v>0.3125</v>
          </cell>
          <cell r="J1157">
            <v>0.5625</v>
          </cell>
          <cell r="K1157">
            <v>5.6666666666666696</v>
          </cell>
          <cell r="L1157">
            <v>179.53</v>
          </cell>
          <cell r="O1157" t="str">
            <v>Y</v>
          </cell>
          <cell r="P1157" t="str">
            <v>N</v>
          </cell>
          <cell r="Q1157" t="str">
            <v>Under Established</v>
          </cell>
          <cell r="S1157">
            <v>0.15</v>
          </cell>
        </row>
        <row r="1158">
          <cell r="D1158">
            <v>908005080</v>
          </cell>
          <cell r="E1158" t="str">
            <v>PEGGY MAPOGO</v>
          </cell>
          <cell r="F1158" t="str">
            <v>D (Ch)</v>
          </cell>
          <cell r="H1158" t="str">
            <v>Choice</v>
          </cell>
          <cell r="I1158">
            <v>0.5625</v>
          </cell>
          <cell r="J1158">
            <v>0.89583333333333337</v>
          </cell>
          <cell r="K1158">
            <v>7.6666666666666696</v>
          </cell>
          <cell r="L1158">
            <v>242.89</v>
          </cell>
          <cell r="O1158" t="str">
            <v>Y</v>
          </cell>
          <cell r="P1158" t="str">
            <v>N</v>
          </cell>
          <cell r="Q1158" t="str">
            <v>Under Established</v>
          </cell>
          <cell r="S1158">
            <v>0.2</v>
          </cell>
        </row>
        <row r="1159">
          <cell r="D1159">
            <v>808004052</v>
          </cell>
          <cell r="E1159" t="str">
            <v>RICCA PARADA</v>
          </cell>
          <cell r="F1159" t="str">
            <v>D (Ch)</v>
          </cell>
          <cell r="G1159">
            <v>16808</v>
          </cell>
          <cell r="H1159" t="str">
            <v>Choice</v>
          </cell>
          <cell r="I1159">
            <v>0.52083333333333337</v>
          </cell>
          <cell r="J1159">
            <v>0.85416666666666663</v>
          </cell>
          <cell r="K1159">
            <v>7.6666666666666696</v>
          </cell>
          <cell r="L1159">
            <v>242.89</v>
          </cell>
          <cell r="O1159" t="str">
            <v>Y</v>
          </cell>
          <cell r="P1159" t="str">
            <v>N</v>
          </cell>
          <cell r="Q1159" t="str">
            <v>Extra Capacity</v>
          </cell>
          <cell r="S1159">
            <v>0.2</v>
          </cell>
        </row>
        <row r="1160">
          <cell r="D1160">
            <v>1008000948</v>
          </cell>
          <cell r="E1160" t="str">
            <v>RICCA PARADA</v>
          </cell>
          <cell r="F1160" t="str">
            <v>D (Ch)</v>
          </cell>
          <cell r="G1160">
            <v>16803</v>
          </cell>
          <cell r="H1160" t="str">
            <v>Choice</v>
          </cell>
          <cell r="I1160">
            <v>0.3125</v>
          </cell>
          <cell r="J1160">
            <v>0.52083333333333337</v>
          </cell>
          <cell r="K1160">
            <v>5</v>
          </cell>
          <cell r="L1160">
            <v>158.41</v>
          </cell>
          <cell r="O1160" t="str">
            <v>Y</v>
          </cell>
          <cell r="P1160" t="str">
            <v>N</v>
          </cell>
          <cell r="Q1160" t="str">
            <v>On-Call</v>
          </cell>
          <cell r="S1160">
            <v>0.13</v>
          </cell>
        </row>
        <row r="1161">
          <cell r="D1161">
            <v>1008000702</v>
          </cell>
          <cell r="E1161" t="str">
            <v>SAM KELEM</v>
          </cell>
          <cell r="F1161" t="str">
            <v>D (Ch)</v>
          </cell>
          <cell r="G1161">
            <v>16801</v>
          </cell>
          <cell r="H1161" t="str">
            <v>Choice</v>
          </cell>
          <cell r="I1161">
            <v>0.83333333333333337</v>
          </cell>
          <cell r="J1161">
            <v>0.33333333333333331</v>
          </cell>
          <cell r="K1161">
            <v>11.3333333333333</v>
          </cell>
          <cell r="L1161">
            <v>359.05</v>
          </cell>
          <cell r="O1161" t="str">
            <v>Y</v>
          </cell>
          <cell r="P1161" t="str">
            <v>N</v>
          </cell>
          <cell r="Q1161" t="str">
            <v>Short Term Sick</v>
          </cell>
          <cell r="S1161">
            <v>0.3</v>
          </cell>
        </row>
        <row r="1162">
          <cell r="D1162">
            <v>908006260</v>
          </cell>
          <cell r="E1162" t="str">
            <v>SAMSON BARACENA</v>
          </cell>
          <cell r="F1162" t="str">
            <v>D (Ch)</v>
          </cell>
          <cell r="H1162" t="str">
            <v>Choice</v>
          </cell>
          <cell r="I1162">
            <v>0.875</v>
          </cell>
          <cell r="J1162">
            <v>0.30208333333333331</v>
          </cell>
          <cell r="K1162">
            <v>9.9166666666666696</v>
          </cell>
          <cell r="L1162">
            <v>314.17</v>
          </cell>
          <cell r="O1162" t="str">
            <v>Y</v>
          </cell>
          <cell r="P1162" t="str">
            <v>N</v>
          </cell>
          <cell r="Q1162" t="str">
            <v>Vacancy</v>
          </cell>
          <cell r="S1162">
            <v>0.26</v>
          </cell>
        </row>
        <row r="1163">
          <cell r="D1163">
            <v>908000138</v>
          </cell>
          <cell r="E1163" t="str">
            <v>TAEL MHANGO</v>
          </cell>
          <cell r="F1163" t="str">
            <v>D (Ch)</v>
          </cell>
          <cell r="G1163">
            <v>16813</v>
          </cell>
          <cell r="H1163" t="str">
            <v>Choice</v>
          </cell>
          <cell r="I1163">
            <v>0.83333333333333337</v>
          </cell>
          <cell r="J1163">
            <v>0.33333333333333331</v>
          </cell>
          <cell r="K1163">
            <v>11</v>
          </cell>
          <cell r="L1163">
            <v>348.49</v>
          </cell>
          <cell r="O1163" t="str">
            <v>Y</v>
          </cell>
          <cell r="P1163" t="str">
            <v>N</v>
          </cell>
          <cell r="Q1163" t="str">
            <v>Vacancy</v>
          </cell>
          <cell r="S1163">
            <v>0.28999999999999998</v>
          </cell>
        </row>
        <row r="1164">
          <cell r="D1164">
            <v>808003958</v>
          </cell>
          <cell r="E1164" t="str">
            <v>TARA MASSIE</v>
          </cell>
          <cell r="F1164" t="str">
            <v>D (MD)</v>
          </cell>
          <cell r="H1164" t="str">
            <v>Mayday</v>
          </cell>
          <cell r="I1164">
            <v>0.3125</v>
          </cell>
          <cell r="J1164">
            <v>0.64583333333333337</v>
          </cell>
          <cell r="K1164">
            <v>7.6666666666666696</v>
          </cell>
          <cell r="L1164">
            <v>321.82</v>
          </cell>
          <cell r="O1164" t="str">
            <v>Y</v>
          </cell>
          <cell r="P1164" t="str">
            <v>N</v>
          </cell>
          <cell r="Q1164" t="str">
            <v>Extra Capacity</v>
          </cell>
          <cell r="S1164">
            <v>0.2</v>
          </cell>
        </row>
        <row r="1165">
          <cell r="D1165">
            <v>808006727</v>
          </cell>
          <cell r="E1165" t="str">
            <v>TONDERA MAKAZA</v>
          </cell>
          <cell r="F1165" t="str">
            <v>A (Ch)</v>
          </cell>
          <cell r="G1165">
            <v>16794</v>
          </cell>
          <cell r="H1165" t="str">
            <v>Choice</v>
          </cell>
          <cell r="I1165">
            <v>0.875</v>
          </cell>
          <cell r="J1165">
            <v>0.3125</v>
          </cell>
          <cell r="K1165">
            <v>10.1666666666667</v>
          </cell>
          <cell r="L1165">
            <v>150.33000000000001</v>
          </cell>
          <cell r="O1165" t="str">
            <v>Y</v>
          </cell>
          <cell r="P1165" t="str">
            <v>N</v>
          </cell>
          <cell r="Q1165" t="str">
            <v>Vacancy</v>
          </cell>
          <cell r="S1165">
            <v>0.27</v>
          </cell>
        </row>
        <row r="1166">
          <cell r="D1166">
            <v>908005524</v>
          </cell>
          <cell r="E1166" t="str">
            <v>VAL ZUNGA</v>
          </cell>
          <cell r="F1166" t="str">
            <v>D (Ch)</v>
          </cell>
          <cell r="G1166">
            <v>16793</v>
          </cell>
          <cell r="H1166" t="str">
            <v>Choice</v>
          </cell>
          <cell r="I1166">
            <v>0.3125</v>
          </cell>
          <cell r="J1166">
            <v>0.54166666666666663</v>
          </cell>
          <cell r="K1166">
            <v>5.5</v>
          </cell>
          <cell r="L1166">
            <v>174.25</v>
          </cell>
          <cell r="O1166" t="str">
            <v>Y</v>
          </cell>
          <cell r="P1166" t="str">
            <v>N</v>
          </cell>
          <cell r="Q1166" t="str">
            <v>Extra Capacity</v>
          </cell>
          <cell r="S1166">
            <v>0.15</v>
          </cell>
        </row>
        <row r="1167">
          <cell r="D1167">
            <v>908005525</v>
          </cell>
          <cell r="E1167" t="str">
            <v>VAL ZUNGA</v>
          </cell>
          <cell r="F1167" t="str">
            <v>D (Ch)</v>
          </cell>
          <cell r="G1167">
            <v>16793</v>
          </cell>
          <cell r="H1167" t="str">
            <v>Choice</v>
          </cell>
          <cell r="I1167">
            <v>0.625</v>
          </cell>
          <cell r="J1167">
            <v>0.85416666666666663</v>
          </cell>
          <cell r="K1167">
            <v>5.5</v>
          </cell>
          <cell r="L1167">
            <v>174.25</v>
          </cell>
          <cell r="O1167" t="str">
            <v>Y</v>
          </cell>
          <cell r="P1167" t="str">
            <v>N</v>
          </cell>
          <cell r="Q1167" t="str">
            <v>Extra Capacity</v>
          </cell>
          <cell r="S1167">
            <v>0.15</v>
          </cell>
        </row>
        <row r="1168">
          <cell r="D1168">
            <v>908005630</v>
          </cell>
          <cell r="E1168" t="str">
            <v>ALMA DEPENA</v>
          </cell>
          <cell r="F1168" t="str">
            <v>D (Ch)</v>
          </cell>
          <cell r="G1168">
            <v>16804</v>
          </cell>
          <cell r="H1168" t="str">
            <v>Choice</v>
          </cell>
          <cell r="I1168">
            <v>0.83333333333333337</v>
          </cell>
          <cell r="J1168">
            <v>0.33333333333333331</v>
          </cell>
          <cell r="K1168">
            <v>11.3333333333333</v>
          </cell>
          <cell r="L1168">
            <v>441.91</v>
          </cell>
          <cell r="O1168" t="str">
            <v>Y</v>
          </cell>
          <cell r="P1168" t="str">
            <v>N</v>
          </cell>
          <cell r="Q1168" t="str">
            <v>Under Established</v>
          </cell>
          <cell r="S1168">
            <v>0.3</v>
          </cell>
        </row>
        <row r="1169">
          <cell r="D1169">
            <v>908003681</v>
          </cell>
          <cell r="E1169" t="str">
            <v>ANNA BONNERUP</v>
          </cell>
          <cell r="F1169" t="str">
            <v>D / 5 General (</v>
          </cell>
          <cell r="G1169" t="str">
            <v>604-150997</v>
          </cell>
          <cell r="H1169" t="str">
            <v>Blue Arrow</v>
          </cell>
          <cell r="I1169">
            <v>0.3125</v>
          </cell>
          <cell r="J1169">
            <v>0.54166666666666663</v>
          </cell>
          <cell r="K1169">
            <v>5.5</v>
          </cell>
          <cell r="L1169">
            <v>148.54</v>
          </cell>
          <cell r="O1169" t="str">
            <v>Y</v>
          </cell>
          <cell r="P1169" t="str">
            <v>N</v>
          </cell>
          <cell r="Q1169" t="str">
            <v>Vacancy</v>
          </cell>
          <cell r="S1169">
            <v>0.15</v>
          </cell>
        </row>
        <row r="1170">
          <cell r="D1170">
            <v>908003685</v>
          </cell>
          <cell r="E1170" t="str">
            <v>ANNA BONNERUP</v>
          </cell>
          <cell r="F1170" t="str">
            <v>D / 5 General (</v>
          </cell>
          <cell r="G1170" t="str">
            <v>604-150997</v>
          </cell>
          <cell r="H1170" t="str">
            <v>Blue Arrow</v>
          </cell>
          <cell r="I1170">
            <v>0.625</v>
          </cell>
          <cell r="J1170">
            <v>0.85416666666666663</v>
          </cell>
          <cell r="K1170">
            <v>5.5</v>
          </cell>
          <cell r="L1170">
            <v>148.54</v>
          </cell>
          <cell r="O1170" t="str">
            <v>Y</v>
          </cell>
          <cell r="P1170" t="str">
            <v>N</v>
          </cell>
          <cell r="Q1170" t="str">
            <v>Vacancy</v>
          </cell>
          <cell r="S1170">
            <v>0.15</v>
          </cell>
        </row>
        <row r="1171">
          <cell r="D1171">
            <v>908004208</v>
          </cell>
          <cell r="E1171" t="str">
            <v>ATINUKE OKE-OLATUNDE</v>
          </cell>
          <cell r="F1171" t="str">
            <v>D (MD)</v>
          </cell>
          <cell r="G1171">
            <v>333647</v>
          </cell>
          <cell r="H1171" t="str">
            <v>Mayday</v>
          </cell>
          <cell r="I1171">
            <v>0.84375</v>
          </cell>
          <cell r="J1171">
            <v>0.3125</v>
          </cell>
          <cell r="K1171">
            <v>10.25</v>
          </cell>
          <cell r="L1171">
            <v>529.55999999999995</v>
          </cell>
          <cell r="O1171" t="str">
            <v>Y</v>
          </cell>
          <cell r="P1171" t="str">
            <v>N</v>
          </cell>
          <cell r="Q1171" t="str">
            <v>Vacancy</v>
          </cell>
          <cell r="S1171">
            <v>0.27</v>
          </cell>
        </row>
        <row r="1172">
          <cell r="D1172">
            <v>808004074</v>
          </cell>
          <cell r="E1172" t="str">
            <v>BEAUTY NGIDI</v>
          </cell>
          <cell r="F1172" t="str">
            <v>D (MD)</v>
          </cell>
          <cell r="H1172" t="str">
            <v>Mayday</v>
          </cell>
          <cell r="I1172">
            <v>0.83333333333333337</v>
          </cell>
          <cell r="J1172">
            <v>0.33333333333333331</v>
          </cell>
          <cell r="K1172">
            <v>11.3333333333333</v>
          </cell>
          <cell r="L1172">
            <v>585.53</v>
          </cell>
          <cell r="O1172" t="str">
            <v>Y</v>
          </cell>
          <cell r="P1172" t="str">
            <v>N</v>
          </cell>
          <cell r="Q1172" t="str">
            <v>Extra Capacity</v>
          </cell>
          <cell r="S1172">
            <v>0.3</v>
          </cell>
        </row>
        <row r="1173">
          <cell r="D1173">
            <v>808003996</v>
          </cell>
          <cell r="E1173" t="str">
            <v>BRIGHTNESS NDEBELE</v>
          </cell>
          <cell r="F1173" t="str">
            <v>D (MD)</v>
          </cell>
          <cell r="G1173">
            <v>332455</v>
          </cell>
          <cell r="H1173" t="str">
            <v>Mayday</v>
          </cell>
          <cell r="I1173">
            <v>0.83333333333333337</v>
          </cell>
          <cell r="J1173">
            <v>0.33333333333333331</v>
          </cell>
          <cell r="K1173">
            <v>11.3333333333333</v>
          </cell>
          <cell r="L1173">
            <v>585.53</v>
          </cell>
          <cell r="O1173" t="str">
            <v>Y</v>
          </cell>
          <cell r="P1173" t="str">
            <v>N</v>
          </cell>
          <cell r="Q1173" t="str">
            <v>Extra Capacity</v>
          </cell>
          <cell r="S1173">
            <v>0.3</v>
          </cell>
        </row>
        <row r="1174">
          <cell r="D1174">
            <v>908005631</v>
          </cell>
          <cell r="E1174" t="str">
            <v>CARL HIBBERT</v>
          </cell>
          <cell r="F1174" t="str">
            <v>D (Ch)</v>
          </cell>
          <cell r="G1174">
            <v>16804</v>
          </cell>
          <cell r="H1174" t="str">
            <v>Choice</v>
          </cell>
          <cell r="I1174">
            <v>0.83333333333333337</v>
          </cell>
          <cell r="J1174">
            <v>0.33333333333333331</v>
          </cell>
          <cell r="K1174">
            <v>11.3333333333333</v>
          </cell>
          <cell r="L1174">
            <v>441.91</v>
          </cell>
          <cell r="O1174" t="str">
            <v>Y</v>
          </cell>
          <cell r="P1174" t="str">
            <v>N</v>
          </cell>
          <cell r="Q1174" t="str">
            <v>Under Established</v>
          </cell>
          <cell r="S1174">
            <v>0.3</v>
          </cell>
        </row>
        <row r="1175">
          <cell r="D1175">
            <v>1008000953</v>
          </cell>
          <cell r="E1175" t="str">
            <v>DIGRACIA  NAPE</v>
          </cell>
          <cell r="F1175" t="str">
            <v>D (MD)</v>
          </cell>
          <cell r="H1175" t="str">
            <v>Mayday</v>
          </cell>
          <cell r="I1175">
            <v>0.625</v>
          </cell>
          <cell r="J1175">
            <v>0.875</v>
          </cell>
          <cell r="K1175">
            <v>5.6666666666666696</v>
          </cell>
          <cell r="L1175">
            <v>292.76</v>
          </cell>
          <cell r="O1175" t="str">
            <v>Y</v>
          </cell>
          <cell r="P1175" t="str">
            <v>N</v>
          </cell>
          <cell r="Q1175" t="str">
            <v>On-Call</v>
          </cell>
          <cell r="S1175">
            <v>0.15</v>
          </cell>
        </row>
        <row r="1176">
          <cell r="D1176">
            <v>908001366</v>
          </cell>
          <cell r="E1176" t="str">
            <v>GLENDA RONA</v>
          </cell>
          <cell r="F1176" t="str">
            <v>D (Ch)</v>
          </cell>
          <cell r="H1176" t="str">
            <v>Choice</v>
          </cell>
          <cell r="I1176">
            <v>0.875</v>
          </cell>
          <cell r="J1176">
            <v>0.30208333333333331</v>
          </cell>
          <cell r="K1176">
            <v>9.9166666666666696</v>
          </cell>
          <cell r="L1176">
            <v>386.67</v>
          </cell>
          <cell r="O1176" t="str">
            <v>Y</v>
          </cell>
          <cell r="P1176" t="str">
            <v>N</v>
          </cell>
          <cell r="Q1176" t="str">
            <v>Vacancy</v>
          </cell>
          <cell r="S1176">
            <v>0.26</v>
          </cell>
        </row>
        <row r="1177">
          <cell r="D1177">
            <v>1008000916</v>
          </cell>
          <cell r="E1177" t="str">
            <v>HILDA SHANGE</v>
          </cell>
          <cell r="F1177" t="str">
            <v>D (Ch)</v>
          </cell>
          <cell r="G1177">
            <v>16878</v>
          </cell>
          <cell r="H1177" t="str">
            <v>Choice</v>
          </cell>
          <cell r="I1177">
            <v>0.88541666666666663</v>
          </cell>
          <cell r="J1177">
            <v>0.3125</v>
          </cell>
          <cell r="K1177">
            <v>9.25</v>
          </cell>
          <cell r="L1177">
            <v>360.68</v>
          </cell>
          <cell r="O1177" t="str">
            <v>Y</v>
          </cell>
          <cell r="P1177" t="str">
            <v>N</v>
          </cell>
          <cell r="Q1177" t="str">
            <v>On-Call</v>
          </cell>
          <cell r="S1177">
            <v>0.25</v>
          </cell>
        </row>
        <row r="1178">
          <cell r="D1178">
            <v>908002875</v>
          </cell>
          <cell r="E1178" t="str">
            <v>HILDA WENYERE</v>
          </cell>
          <cell r="F1178" t="str">
            <v>A (Ch)</v>
          </cell>
          <cell r="G1178">
            <v>16791</v>
          </cell>
          <cell r="H1178" t="str">
            <v>Choice</v>
          </cell>
          <cell r="I1178">
            <v>0.88541666666666663</v>
          </cell>
          <cell r="J1178">
            <v>0.30208333333333331</v>
          </cell>
          <cell r="K1178">
            <v>9</v>
          </cell>
          <cell r="L1178">
            <v>166.35</v>
          </cell>
          <cell r="O1178" t="str">
            <v>Y</v>
          </cell>
          <cell r="P1178" t="str">
            <v>N</v>
          </cell>
          <cell r="Q1178" t="str">
            <v>Vacancy</v>
          </cell>
          <cell r="S1178">
            <v>0.24</v>
          </cell>
        </row>
        <row r="1179">
          <cell r="D1179">
            <v>908005628</v>
          </cell>
          <cell r="E1179" t="str">
            <v>JASMINE ESGUERRA</v>
          </cell>
          <cell r="F1179" t="str">
            <v>D (Ch)</v>
          </cell>
          <cell r="G1179">
            <v>16804</v>
          </cell>
          <cell r="H1179" t="str">
            <v>Choice</v>
          </cell>
          <cell r="I1179">
            <v>0.3125</v>
          </cell>
          <cell r="J1179">
            <v>0.60416666666666663</v>
          </cell>
          <cell r="K1179">
            <v>6.6666666666666696</v>
          </cell>
          <cell r="L1179">
            <v>259.95</v>
          </cell>
          <cell r="O1179" t="str">
            <v>Y</v>
          </cell>
          <cell r="P1179" t="str">
            <v>N</v>
          </cell>
          <cell r="Q1179" t="str">
            <v>Short Term Sick</v>
          </cell>
          <cell r="S1179">
            <v>0.18</v>
          </cell>
        </row>
        <row r="1180">
          <cell r="D1180">
            <v>1008000945</v>
          </cell>
          <cell r="E1180" t="str">
            <v>JESSICA BELLAMY</v>
          </cell>
          <cell r="F1180" t="str">
            <v>D (MD)</v>
          </cell>
          <cell r="G1180">
            <v>333831</v>
          </cell>
          <cell r="H1180" t="str">
            <v>Mayday</v>
          </cell>
          <cell r="I1180">
            <v>0.875</v>
          </cell>
          <cell r="J1180">
            <v>0.30208333333333331</v>
          </cell>
          <cell r="K1180">
            <v>9.9166666666666696</v>
          </cell>
          <cell r="L1180">
            <v>512.33000000000004</v>
          </cell>
          <cell r="O1180" t="str">
            <v>Y</v>
          </cell>
          <cell r="P1180" t="str">
            <v>N</v>
          </cell>
          <cell r="Q1180" t="str">
            <v>On-Call</v>
          </cell>
          <cell r="S1180">
            <v>0.26</v>
          </cell>
        </row>
        <row r="1181">
          <cell r="D1181">
            <v>908002836</v>
          </cell>
          <cell r="E1181" t="str">
            <v>KATHY CHIDAVA</v>
          </cell>
          <cell r="F1181" t="str">
            <v>D (Ch)</v>
          </cell>
          <cell r="H1181" t="str">
            <v>Choice</v>
          </cell>
          <cell r="I1181">
            <v>0.88541666666666663</v>
          </cell>
          <cell r="J1181">
            <v>0.30208333333333331</v>
          </cell>
          <cell r="K1181">
            <v>9</v>
          </cell>
          <cell r="L1181">
            <v>350.93</v>
          </cell>
          <cell r="O1181" t="str">
            <v>Y</v>
          </cell>
          <cell r="P1181" t="str">
            <v>N</v>
          </cell>
          <cell r="Q1181" t="str">
            <v>Vacancy</v>
          </cell>
          <cell r="S1181">
            <v>0.24</v>
          </cell>
        </row>
        <row r="1182">
          <cell r="D1182">
            <v>808004032</v>
          </cell>
          <cell r="E1182" t="str">
            <v>KERRI GALLOWAY</v>
          </cell>
          <cell r="F1182" t="str">
            <v>D (MD)</v>
          </cell>
          <cell r="G1182">
            <v>332497</v>
          </cell>
          <cell r="H1182" t="str">
            <v>Mayday</v>
          </cell>
          <cell r="I1182">
            <v>0.3125</v>
          </cell>
          <cell r="J1182">
            <v>0.64583333333333337</v>
          </cell>
          <cell r="K1182">
            <v>7.6666666666666696</v>
          </cell>
          <cell r="L1182">
            <v>396.09</v>
          </cell>
          <cell r="O1182" t="str">
            <v>Y</v>
          </cell>
          <cell r="P1182" t="str">
            <v>N</v>
          </cell>
          <cell r="Q1182" t="str">
            <v>Extra Capacity</v>
          </cell>
          <cell r="S1182">
            <v>0.2</v>
          </cell>
        </row>
        <row r="1183">
          <cell r="D1183">
            <v>808004046</v>
          </cell>
          <cell r="E1183" t="str">
            <v>KERRI GALLOWAY</v>
          </cell>
          <cell r="F1183" t="str">
            <v>D (MD)</v>
          </cell>
          <cell r="G1183">
            <v>332497</v>
          </cell>
          <cell r="H1183" t="str">
            <v>Mayday</v>
          </cell>
          <cell r="I1183">
            <v>0.64583333333333337</v>
          </cell>
          <cell r="J1183">
            <v>0.85416666666666663</v>
          </cell>
          <cell r="K1183">
            <v>5</v>
          </cell>
          <cell r="L1183">
            <v>258.32</v>
          </cell>
          <cell r="O1183" t="str">
            <v>Y</v>
          </cell>
          <cell r="P1183" t="str">
            <v>N</v>
          </cell>
          <cell r="Q1183" t="str">
            <v>Extra Capacity</v>
          </cell>
          <cell r="S1183">
            <v>0.13</v>
          </cell>
        </row>
        <row r="1184">
          <cell r="D1184">
            <v>1008000915</v>
          </cell>
          <cell r="E1184" t="str">
            <v>LETECIA MENIANO</v>
          </cell>
          <cell r="F1184" t="str">
            <v>D (Ch)</v>
          </cell>
          <cell r="G1184">
            <v>16792</v>
          </cell>
          <cell r="H1184" t="str">
            <v>Choice</v>
          </cell>
          <cell r="I1184">
            <v>0.8125</v>
          </cell>
          <cell r="J1184">
            <v>0.33333333333333331</v>
          </cell>
          <cell r="K1184">
            <v>11.5</v>
          </cell>
          <cell r="L1184">
            <v>448.41</v>
          </cell>
          <cell r="O1184" t="str">
            <v>Y</v>
          </cell>
          <cell r="P1184" t="str">
            <v>N</v>
          </cell>
          <cell r="Q1184" t="str">
            <v>On-Call</v>
          </cell>
          <cell r="S1184">
            <v>0.31</v>
          </cell>
        </row>
        <row r="1185">
          <cell r="D1185">
            <v>1008000697</v>
          </cell>
          <cell r="E1185" t="str">
            <v>NATHI ZULU</v>
          </cell>
          <cell r="F1185" t="str">
            <v>D (MD)</v>
          </cell>
          <cell r="H1185" t="str">
            <v>Mayday</v>
          </cell>
          <cell r="I1185">
            <v>0.83333333333333337</v>
          </cell>
          <cell r="J1185">
            <v>0.33333333333333331</v>
          </cell>
          <cell r="K1185">
            <v>11.3333333333333</v>
          </cell>
          <cell r="L1185">
            <v>585.53</v>
          </cell>
          <cell r="O1185" t="str">
            <v>Y</v>
          </cell>
          <cell r="P1185" t="str">
            <v>N</v>
          </cell>
          <cell r="Q1185" t="str">
            <v>Extra Capacity</v>
          </cell>
          <cell r="S1185">
            <v>0.3</v>
          </cell>
        </row>
        <row r="1186">
          <cell r="D1186">
            <v>908003690</v>
          </cell>
          <cell r="E1186" t="str">
            <v>NOLIZWI MGANDELA</v>
          </cell>
          <cell r="F1186" t="str">
            <v>D (MD)</v>
          </cell>
          <cell r="G1186">
            <v>335143</v>
          </cell>
          <cell r="H1186" t="str">
            <v>Mayday</v>
          </cell>
          <cell r="I1186">
            <v>0.83333333333333337</v>
          </cell>
          <cell r="J1186">
            <v>0.33333333333333331</v>
          </cell>
          <cell r="K1186">
            <v>11.3333333333333</v>
          </cell>
          <cell r="L1186">
            <v>585.53</v>
          </cell>
          <cell r="O1186" t="str">
            <v>Y</v>
          </cell>
          <cell r="P1186" t="str">
            <v>N</v>
          </cell>
          <cell r="Q1186" t="str">
            <v>Vacancy</v>
          </cell>
          <cell r="S1186">
            <v>0.3</v>
          </cell>
        </row>
        <row r="1187">
          <cell r="D1187">
            <v>1008000917</v>
          </cell>
          <cell r="E1187" t="str">
            <v>OUSMAN JAWO</v>
          </cell>
          <cell r="F1187" t="str">
            <v>D (MD)</v>
          </cell>
          <cell r="G1187">
            <v>333828</v>
          </cell>
          <cell r="H1187" t="str">
            <v>Mayday</v>
          </cell>
          <cell r="I1187">
            <v>0.83333333333333337</v>
          </cell>
          <cell r="J1187">
            <v>0.125</v>
          </cell>
          <cell r="K1187">
            <v>6.6666666666666696</v>
          </cell>
          <cell r="L1187">
            <v>344.43</v>
          </cell>
          <cell r="O1187" t="str">
            <v>Y</v>
          </cell>
          <cell r="P1187" t="str">
            <v>N</v>
          </cell>
          <cell r="Q1187" t="str">
            <v>On-Call</v>
          </cell>
          <cell r="S1187">
            <v>0.18</v>
          </cell>
        </row>
        <row r="1188">
          <cell r="D1188">
            <v>808003981</v>
          </cell>
          <cell r="E1188" t="str">
            <v>PAT DUBE</v>
          </cell>
          <cell r="F1188" t="str">
            <v>D (MD)</v>
          </cell>
          <cell r="G1188">
            <v>333838</v>
          </cell>
          <cell r="H1188" t="str">
            <v>Mayday</v>
          </cell>
          <cell r="I1188">
            <v>0.52083333333333337</v>
          </cell>
          <cell r="J1188">
            <v>0.85416666666666663</v>
          </cell>
          <cell r="K1188">
            <v>7.6666666666666696</v>
          </cell>
          <cell r="L1188">
            <v>396.09</v>
          </cell>
          <cell r="O1188" t="str">
            <v>Y</v>
          </cell>
          <cell r="P1188" t="str">
            <v>N</v>
          </cell>
          <cell r="Q1188" t="str">
            <v>Extra Capacity</v>
          </cell>
          <cell r="S1188">
            <v>0.2</v>
          </cell>
        </row>
        <row r="1189">
          <cell r="D1189">
            <v>1008000703</v>
          </cell>
          <cell r="E1189" t="str">
            <v>SAM KELEM</v>
          </cell>
          <cell r="F1189" t="str">
            <v>D (Ch)</v>
          </cell>
          <cell r="G1189">
            <v>16801</v>
          </cell>
          <cell r="H1189" t="str">
            <v>Choice</v>
          </cell>
          <cell r="I1189">
            <v>0.83333333333333337</v>
          </cell>
          <cell r="J1189">
            <v>0.33333333333333331</v>
          </cell>
          <cell r="K1189">
            <v>11.3333333333333</v>
          </cell>
          <cell r="L1189">
            <v>441.91</v>
          </cell>
          <cell r="O1189" t="str">
            <v>Y</v>
          </cell>
          <cell r="P1189" t="str">
            <v>N</v>
          </cell>
          <cell r="Q1189" t="str">
            <v>Short Term Sick</v>
          </cell>
          <cell r="S1189">
            <v>0.3</v>
          </cell>
        </row>
        <row r="1190">
          <cell r="D1190">
            <v>908001364</v>
          </cell>
          <cell r="E1190" t="str">
            <v>SAMSON BARACENA</v>
          </cell>
          <cell r="F1190" t="str">
            <v>D (Ch)</v>
          </cell>
          <cell r="H1190" t="str">
            <v>Choice</v>
          </cell>
          <cell r="I1190">
            <v>0.875</v>
          </cell>
          <cell r="J1190">
            <v>0.30208333333333331</v>
          </cell>
          <cell r="K1190">
            <v>9.9166666666666696</v>
          </cell>
          <cell r="L1190">
            <v>386.67</v>
          </cell>
          <cell r="O1190" t="str">
            <v>Y</v>
          </cell>
          <cell r="P1190" t="str">
            <v>N</v>
          </cell>
          <cell r="Q1190" t="str">
            <v>Vacancy</v>
          </cell>
          <cell r="S1190">
            <v>0.26</v>
          </cell>
        </row>
        <row r="1191">
          <cell r="D1191">
            <v>908002837</v>
          </cell>
          <cell r="E1191" t="str">
            <v>TAEL MHANGO</v>
          </cell>
          <cell r="F1191" t="str">
            <v>D (Ch)</v>
          </cell>
          <cell r="G1191">
            <v>16791</v>
          </cell>
          <cell r="H1191" t="str">
            <v>Choice</v>
          </cell>
          <cell r="I1191">
            <v>0.88541666666666663</v>
          </cell>
          <cell r="J1191">
            <v>0.30208333333333331</v>
          </cell>
          <cell r="K1191">
            <v>9</v>
          </cell>
          <cell r="L1191">
            <v>350.93</v>
          </cell>
          <cell r="O1191" t="str">
            <v>Y</v>
          </cell>
          <cell r="P1191" t="str">
            <v>N</v>
          </cell>
          <cell r="Q1191" t="str">
            <v>Vacancy</v>
          </cell>
          <cell r="S1191">
            <v>0.24</v>
          </cell>
        </row>
        <row r="1192">
          <cell r="D1192">
            <v>808003989</v>
          </cell>
          <cell r="E1192" t="str">
            <v>TEMBE NGIDI</v>
          </cell>
          <cell r="F1192" t="str">
            <v>D (MD)</v>
          </cell>
          <cell r="G1192">
            <v>332458</v>
          </cell>
          <cell r="H1192" t="str">
            <v>Mayday</v>
          </cell>
          <cell r="I1192">
            <v>0.83333333333333337</v>
          </cell>
          <cell r="J1192">
            <v>0.33333333333333331</v>
          </cell>
          <cell r="K1192">
            <v>11.3333333333333</v>
          </cell>
          <cell r="L1192">
            <v>585.53</v>
          </cell>
          <cell r="O1192" t="str">
            <v>Y</v>
          </cell>
          <cell r="P1192" t="str">
            <v>N</v>
          </cell>
          <cell r="Q1192" t="str">
            <v>Extra Capacity</v>
          </cell>
          <cell r="S1192">
            <v>0.3</v>
          </cell>
        </row>
        <row r="1193">
          <cell r="D1193">
            <v>808006730</v>
          </cell>
          <cell r="E1193" t="str">
            <v>TONDERA MAKAZA</v>
          </cell>
          <cell r="F1193" t="str">
            <v>A (Ch)</v>
          </cell>
          <cell r="G1193">
            <v>16794</v>
          </cell>
          <cell r="H1193" t="str">
            <v>Choice</v>
          </cell>
          <cell r="I1193">
            <v>0.875</v>
          </cell>
          <cell r="J1193">
            <v>0.3125</v>
          </cell>
          <cell r="K1193">
            <v>10.1666666666667</v>
          </cell>
          <cell r="L1193">
            <v>187.91</v>
          </cell>
          <cell r="O1193" t="str">
            <v>Y</v>
          </cell>
          <cell r="P1193" t="str">
            <v>N</v>
          </cell>
          <cell r="Q1193" t="str">
            <v>Vacancy</v>
          </cell>
          <cell r="S1193">
            <v>0.27</v>
          </cell>
        </row>
        <row r="1194">
          <cell r="D1194">
            <v>908005527</v>
          </cell>
          <cell r="E1194" t="str">
            <v>VAL ZUNGA</v>
          </cell>
          <cell r="F1194" t="str">
            <v>D (Ch)</v>
          </cell>
          <cell r="G1194">
            <v>16793</v>
          </cell>
          <cell r="H1194" t="str">
            <v>Choice</v>
          </cell>
          <cell r="I1194">
            <v>0.3125</v>
          </cell>
          <cell r="J1194">
            <v>0.54166666666666663</v>
          </cell>
          <cell r="K1194">
            <v>5.5</v>
          </cell>
          <cell r="L1194">
            <v>214.46</v>
          </cell>
          <cell r="O1194" t="str">
            <v>Y</v>
          </cell>
          <cell r="P1194" t="str">
            <v>N</v>
          </cell>
          <cell r="Q1194" t="str">
            <v>Extra Capacity</v>
          </cell>
          <cell r="S1194">
            <v>0.15</v>
          </cell>
        </row>
        <row r="1195">
          <cell r="D1195">
            <v>908005529</v>
          </cell>
          <cell r="E1195" t="str">
            <v>VAL ZUNGA</v>
          </cell>
          <cell r="F1195" t="str">
            <v>D (Ch)</v>
          </cell>
          <cell r="G1195">
            <v>16793</v>
          </cell>
          <cell r="H1195" t="str">
            <v>Choice</v>
          </cell>
          <cell r="I1195">
            <v>0.625</v>
          </cell>
          <cell r="J1195">
            <v>0.85416666666666663</v>
          </cell>
          <cell r="K1195">
            <v>5.5</v>
          </cell>
          <cell r="L1195">
            <v>214.46</v>
          </cell>
          <cell r="O1195" t="str">
            <v>Y</v>
          </cell>
          <cell r="P1195" t="str">
            <v>N</v>
          </cell>
          <cell r="Q1195" t="str">
            <v>Extra Capacity</v>
          </cell>
          <cell r="S1195">
            <v>0.15</v>
          </cell>
        </row>
        <row r="1196">
          <cell r="D1196">
            <v>1008000746</v>
          </cell>
          <cell r="E1196" t="str">
            <v>ANDREA VENEURELA</v>
          </cell>
          <cell r="F1196" t="str">
            <v>D (Ch)</v>
          </cell>
          <cell r="H1196" t="str">
            <v>Choice</v>
          </cell>
          <cell r="I1196">
            <v>0.83333333333333337</v>
          </cell>
          <cell r="J1196">
            <v>0.33333333333333331</v>
          </cell>
          <cell r="K1196">
            <v>11.3333333333333</v>
          </cell>
          <cell r="L1196">
            <v>359.05</v>
          </cell>
          <cell r="O1196" t="str">
            <v>Y</v>
          </cell>
          <cell r="P1196" t="str">
            <v>N</v>
          </cell>
          <cell r="Q1196" t="str">
            <v>Extra Capacity</v>
          </cell>
          <cell r="S1196">
            <v>0.3</v>
          </cell>
        </row>
        <row r="1197">
          <cell r="D1197">
            <v>808004242</v>
          </cell>
          <cell r="E1197" t="str">
            <v>ATINUKE OKE-OLATUNDE</v>
          </cell>
          <cell r="F1197" t="str">
            <v>D (MD)</v>
          </cell>
          <cell r="G1197">
            <v>333853</v>
          </cell>
          <cell r="H1197" t="str">
            <v>Mayday</v>
          </cell>
          <cell r="I1197">
            <v>0.83333333333333337</v>
          </cell>
          <cell r="J1197">
            <v>0.33333333333333331</v>
          </cell>
          <cell r="K1197">
            <v>11.3333333333333</v>
          </cell>
          <cell r="L1197">
            <v>475.74</v>
          </cell>
          <cell r="O1197" t="str">
            <v>Y</v>
          </cell>
          <cell r="P1197" t="str">
            <v>N</v>
          </cell>
          <cell r="Q1197" t="str">
            <v>Extra Capacity</v>
          </cell>
          <cell r="S1197">
            <v>0.3</v>
          </cell>
        </row>
        <row r="1198">
          <cell r="D1198">
            <v>808004235</v>
          </cell>
          <cell r="E1198" t="str">
            <v>BEAUTY NGIDI</v>
          </cell>
          <cell r="F1198" t="str">
            <v>D (MD)</v>
          </cell>
          <cell r="G1198">
            <v>333846</v>
          </cell>
          <cell r="H1198" t="str">
            <v>Mayday</v>
          </cell>
          <cell r="I1198">
            <v>0.83333333333333337</v>
          </cell>
          <cell r="J1198">
            <v>0.33333333333333331</v>
          </cell>
          <cell r="K1198">
            <v>11.3333333333333</v>
          </cell>
          <cell r="L1198">
            <v>475.74</v>
          </cell>
          <cell r="O1198" t="str">
            <v>Y</v>
          </cell>
          <cell r="P1198" t="str">
            <v>N</v>
          </cell>
          <cell r="Q1198" t="str">
            <v>Extra Capacity</v>
          </cell>
          <cell r="S1198">
            <v>0.3</v>
          </cell>
        </row>
        <row r="1199">
          <cell r="D1199">
            <v>908005531</v>
          </cell>
          <cell r="E1199" t="str">
            <v>BHEENADEVI BASSOO</v>
          </cell>
          <cell r="F1199" t="str">
            <v>D (Ch)</v>
          </cell>
          <cell r="G1199">
            <v>16861</v>
          </cell>
          <cell r="H1199" t="str">
            <v>Choice</v>
          </cell>
          <cell r="I1199">
            <v>0.3125</v>
          </cell>
          <cell r="J1199">
            <v>0.54166666666666663</v>
          </cell>
          <cell r="K1199">
            <v>5.5</v>
          </cell>
          <cell r="L1199">
            <v>134.03</v>
          </cell>
          <cell r="O1199" t="str">
            <v>Y</v>
          </cell>
          <cell r="P1199" t="str">
            <v>N</v>
          </cell>
          <cell r="Q1199" t="str">
            <v>Extra Capacity</v>
          </cell>
          <cell r="S1199">
            <v>0.15</v>
          </cell>
        </row>
        <row r="1200">
          <cell r="D1200">
            <v>908006216</v>
          </cell>
          <cell r="E1200" t="str">
            <v>BHEENADEVI BASSOO</v>
          </cell>
          <cell r="F1200" t="str">
            <v>D (Ch)</v>
          </cell>
          <cell r="G1200">
            <v>16883</v>
          </cell>
          <cell r="H1200" t="str">
            <v>Choice</v>
          </cell>
          <cell r="I1200">
            <v>0.625</v>
          </cell>
          <cell r="J1200">
            <v>0.85416666666666663</v>
          </cell>
          <cell r="K1200">
            <v>5.5</v>
          </cell>
          <cell r="L1200">
            <v>134.03</v>
          </cell>
          <cell r="O1200" t="str">
            <v>Y</v>
          </cell>
          <cell r="P1200" t="str">
            <v>N</v>
          </cell>
          <cell r="Q1200" t="str">
            <v>Vacancy</v>
          </cell>
          <cell r="S1200">
            <v>0.15</v>
          </cell>
        </row>
        <row r="1201">
          <cell r="D1201">
            <v>1008000864</v>
          </cell>
          <cell r="E1201" t="str">
            <v>CARL HIBBERT</v>
          </cell>
          <cell r="F1201" t="str">
            <v>D (Ch)</v>
          </cell>
          <cell r="G1201">
            <v>16864</v>
          </cell>
          <cell r="H1201" t="str">
            <v>Choice</v>
          </cell>
          <cell r="I1201">
            <v>0.83333333333333337</v>
          </cell>
          <cell r="J1201">
            <v>0.33333333333333331</v>
          </cell>
          <cell r="K1201">
            <v>11.3333333333333</v>
          </cell>
          <cell r="L1201">
            <v>359.05</v>
          </cell>
          <cell r="O1201" t="str">
            <v>Y</v>
          </cell>
          <cell r="P1201" t="str">
            <v>N</v>
          </cell>
          <cell r="Q1201" t="str">
            <v>Short Term Sick</v>
          </cell>
          <cell r="S1201">
            <v>0.3</v>
          </cell>
        </row>
        <row r="1202">
          <cell r="D1202">
            <v>1008001088</v>
          </cell>
          <cell r="E1202" t="str">
            <v>CHARLES MASUNGU</v>
          </cell>
          <cell r="F1202" t="str">
            <v>D (MD)</v>
          </cell>
          <cell r="G1202">
            <v>333651</v>
          </cell>
          <cell r="H1202" t="str">
            <v>Mayday</v>
          </cell>
          <cell r="I1202">
            <v>0.83333333333333337</v>
          </cell>
          <cell r="J1202">
            <v>0.33333333333333331</v>
          </cell>
          <cell r="K1202">
            <v>11</v>
          </cell>
          <cell r="L1202">
            <v>461.75</v>
          </cell>
          <cell r="O1202" t="str">
            <v>Y</v>
          </cell>
          <cell r="P1202" t="str">
            <v>N</v>
          </cell>
          <cell r="Q1202" t="str">
            <v>Short Term Sick</v>
          </cell>
          <cell r="S1202">
            <v>0.28999999999999998</v>
          </cell>
        </row>
        <row r="1203">
          <cell r="D1203">
            <v>908003751</v>
          </cell>
          <cell r="E1203" t="str">
            <v>CHRIS STULAR</v>
          </cell>
          <cell r="F1203" t="str">
            <v>D General (Orio</v>
          </cell>
          <cell r="G1203" t="str">
            <v>Invsd Smt checked</v>
          </cell>
          <cell r="H1203" t="str">
            <v>Orion</v>
          </cell>
          <cell r="I1203">
            <v>0.33333333333333331</v>
          </cell>
          <cell r="J1203">
            <v>0.75</v>
          </cell>
          <cell r="K1203">
            <v>9.5</v>
          </cell>
          <cell r="L1203">
            <v>172.14</v>
          </cell>
          <cell r="O1203" t="str">
            <v>Y</v>
          </cell>
          <cell r="P1203" t="str">
            <v>N</v>
          </cell>
          <cell r="Q1203" t="str">
            <v>Vacancy</v>
          </cell>
          <cell r="S1203">
            <v>0.25</v>
          </cell>
        </row>
        <row r="1204">
          <cell r="D1204">
            <v>1008001685</v>
          </cell>
          <cell r="E1204" t="str">
            <v>GEORGINA MAFISA</v>
          </cell>
          <cell r="F1204" t="str">
            <v>D (MD)</v>
          </cell>
          <cell r="G1204">
            <v>335028</v>
          </cell>
          <cell r="H1204" t="str">
            <v>Mayday</v>
          </cell>
          <cell r="I1204">
            <v>0.83333333333333337</v>
          </cell>
          <cell r="J1204">
            <v>0.33333333333333331</v>
          </cell>
          <cell r="K1204">
            <v>11</v>
          </cell>
          <cell r="L1204">
            <v>461.75</v>
          </cell>
          <cell r="O1204" t="str">
            <v>Y</v>
          </cell>
          <cell r="P1204" t="str">
            <v>N</v>
          </cell>
          <cell r="Q1204" t="str">
            <v>Short Term Sick</v>
          </cell>
          <cell r="S1204">
            <v>0.28999999999999998</v>
          </cell>
        </row>
        <row r="1205">
          <cell r="D1205">
            <v>908006838</v>
          </cell>
          <cell r="E1205" t="str">
            <v>GERTRUDE CHIGWADA</v>
          </cell>
          <cell r="F1205" t="str">
            <v>D (MD)</v>
          </cell>
          <cell r="G1205">
            <v>335141</v>
          </cell>
          <cell r="H1205" t="str">
            <v>Mayday</v>
          </cell>
          <cell r="I1205">
            <v>0.3125</v>
          </cell>
          <cell r="J1205">
            <v>0.5625</v>
          </cell>
          <cell r="K1205">
            <v>13.3333333333333</v>
          </cell>
          <cell r="L1205">
            <v>430.53</v>
          </cell>
          <cell r="O1205" t="str">
            <v>Y</v>
          </cell>
          <cell r="P1205" t="str">
            <v>N</v>
          </cell>
          <cell r="Q1205" t="str">
            <v>Under Established</v>
          </cell>
          <cell r="S1205">
            <v>0.36</v>
          </cell>
        </row>
        <row r="1206">
          <cell r="D1206">
            <v>808004200</v>
          </cell>
          <cell r="E1206" t="str">
            <v>GRACE CHIKWAVA</v>
          </cell>
          <cell r="F1206" t="str">
            <v>D (Ch)</v>
          </cell>
          <cell r="G1206">
            <v>16879</v>
          </cell>
          <cell r="H1206" t="str">
            <v>Choice</v>
          </cell>
          <cell r="I1206">
            <v>0.3125</v>
          </cell>
          <cell r="J1206">
            <v>0.58333333333333337</v>
          </cell>
          <cell r="K1206">
            <v>6.1666666666666696</v>
          </cell>
          <cell r="L1206">
            <v>150.28</v>
          </cell>
          <cell r="O1206" t="str">
            <v>Y</v>
          </cell>
          <cell r="P1206" t="str">
            <v>N</v>
          </cell>
          <cell r="Q1206" t="str">
            <v>Extra Capacity</v>
          </cell>
          <cell r="S1206">
            <v>0.16</v>
          </cell>
        </row>
        <row r="1207">
          <cell r="D1207">
            <v>1008000132</v>
          </cell>
          <cell r="E1207" t="str">
            <v>GRACE CHIKWAVA</v>
          </cell>
          <cell r="F1207" t="str">
            <v>D (Ch)</v>
          </cell>
          <cell r="G1207">
            <v>16880</v>
          </cell>
          <cell r="H1207" t="str">
            <v>Choice</v>
          </cell>
          <cell r="I1207">
            <v>0.58333333333333337</v>
          </cell>
          <cell r="J1207">
            <v>0.89583333333333337</v>
          </cell>
          <cell r="K1207">
            <v>7.1666666666666696</v>
          </cell>
          <cell r="L1207">
            <v>174.65</v>
          </cell>
          <cell r="O1207" t="str">
            <v>Y</v>
          </cell>
          <cell r="P1207" t="str">
            <v>N</v>
          </cell>
          <cell r="Q1207" t="str">
            <v>Extra Capacity</v>
          </cell>
          <cell r="S1207">
            <v>0.19</v>
          </cell>
        </row>
        <row r="1208">
          <cell r="D1208">
            <v>908002279</v>
          </cell>
          <cell r="E1208" t="str">
            <v>JAMES MCCLEMENTS</v>
          </cell>
          <cell r="F1208" t="str">
            <v>D (MD)</v>
          </cell>
          <cell r="G1208">
            <v>335204</v>
          </cell>
          <cell r="H1208" t="str">
            <v>Mayday</v>
          </cell>
          <cell r="I1208">
            <v>0.625</v>
          </cell>
          <cell r="J1208">
            <v>0.85416666666666663</v>
          </cell>
          <cell r="K1208">
            <v>5.5</v>
          </cell>
          <cell r="L1208">
            <v>177.59</v>
          </cell>
          <cell r="O1208" t="str">
            <v>Y</v>
          </cell>
          <cell r="P1208" t="str">
            <v>N</v>
          </cell>
          <cell r="Q1208" t="str">
            <v>Vacancy</v>
          </cell>
          <cell r="S1208">
            <v>0.15</v>
          </cell>
        </row>
        <row r="1209">
          <cell r="D1209">
            <v>908003693</v>
          </cell>
          <cell r="E1209" t="str">
            <v>JAMES MCCLEMENTS</v>
          </cell>
          <cell r="F1209" t="str">
            <v>D (MD)</v>
          </cell>
          <cell r="G1209">
            <v>335204</v>
          </cell>
          <cell r="H1209" t="str">
            <v>Mayday</v>
          </cell>
          <cell r="I1209">
            <v>0.3125</v>
          </cell>
          <cell r="J1209">
            <v>0.54166666666666663</v>
          </cell>
          <cell r="K1209">
            <v>5.5</v>
          </cell>
          <cell r="L1209">
            <v>177.59</v>
          </cell>
          <cell r="O1209" t="str">
            <v>Y</v>
          </cell>
          <cell r="P1209" t="str">
            <v>N</v>
          </cell>
          <cell r="Q1209" t="str">
            <v>Vacancy</v>
          </cell>
          <cell r="S1209">
            <v>0.15</v>
          </cell>
        </row>
        <row r="1210">
          <cell r="D1210">
            <v>1008001050</v>
          </cell>
          <cell r="E1210" t="str">
            <v>JASMINE ESGUERRA</v>
          </cell>
          <cell r="F1210" t="str">
            <v>D (Ch)</v>
          </cell>
          <cell r="G1210">
            <v>16858</v>
          </cell>
          <cell r="H1210" t="str">
            <v>Choice</v>
          </cell>
          <cell r="I1210">
            <v>0.88541666666666663</v>
          </cell>
          <cell r="J1210">
            <v>0.25</v>
          </cell>
          <cell r="K1210">
            <v>7.75</v>
          </cell>
          <cell r="L1210">
            <v>245.53</v>
          </cell>
          <cell r="O1210" t="str">
            <v>Y</v>
          </cell>
          <cell r="P1210" t="str">
            <v>N</v>
          </cell>
          <cell r="Q1210" t="str">
            <v>Extra Capacity</v>
          </cell>
          <cell r="S1210">
            <v>0.21</v>
          </cell>
        </row>
        <row r="1211">
          <cell r="D1211">
            <v>1008000919</v>
          </cell>
          <cell r="E1211" t="str">
            <v>JOAN LEWIS</v>
          </cell>
          <cell r="F1211" t="str">
            <v>D (MD)</v>
          </cell>
          <cell r="G1211">
            <v>333843</v>
          </cell>
          <cell r="H1211" t="str">
            <v>Mayday</v>
          </cell>
          <cell r="I1211">
            <v>0.58333333333333337</v>
          </cell>
          <cell r="J1211">
            <v>0.84375</v>
          </cell>
          <cell r="K1211">
            <v>6</v>
          </cell>
          <cell r="L1211">
            <v>193.74</v>
          </cell>
          <cell r="O1211" t="str">
            <v>Y</v>
          </cell>
          <cell r="P1211" t="str">
            <v>N</v>
          </cell>
          <cell r="Q1211" t="str">
            <v>Short Term Sick</v>
          </cell>
          <cell r="S1211">
            <v>0.16</v>
          </cell>
        </row>
        <row r="1212">
          <cell r="D1212">
            <v>908003234</v>
          </cell>
          <cell r="E1212" t="str">
            <v>JOANNE DUCKER</v>
          </cell>
          <cell r="F1212" t="str">
            <v>D / 5 General (</v>
          </cell>
          <cell r="G1212" t="str">
            <v>604-151530</v>
          </cell>
          <cell r="H1212" t="str">
            <v>Medacs</v>
          </cell>
          <cell r="I1212">
            <v>0.625</v>
          </cell>
          <cell r="J1212">
            <v>0.875</v>
          </cell>
          <cell r="K1212">
            <v>6</v>
          </cell>
          <cell r="L1212">
            <v>101.28</v>
          </cell>
          <cell r="O1212" t="str">
            <v>Y</v>
          </cell>
          <cell r="P1212" t="str">
            <v>N</v>
          </cell>
          <cell r="Q1212" t="str">
            <v>Vacancy</v>
          </cell>
          <cell r="S1212">
            <v>0.16</v>
          </cell>
        </row>
        <row r="1213">
          <cell r="D1213">
            <v>908004094</v>
          </cell>
          <cell r="E1213" t="str">
            <v>JOANNE LOWES</v>
          </cell>
          <cell r="F1213" t="str">
            <v>D (MD)</v>
          </cell>
          <cell r="G1213">
            <v>333841</v>
          </cell>
          <cell r="H1213" t="str">
            <v>Mayday</v>
          </cell>
          <cell r="I1213">
            <v>0.3125</v>
          </cell>
          <cell r="J1213">
            <v>0.83333333333333337</v>
          </cell>
          <cell r="K1213">
            <v>11.5</v>
          </cell>
          <cell r="L1213">
            <v>371.33</v>
          </cell>
          <cell r="O1213" t="str">
            <v>Y</v>
          </cell>
          <cell r="P1213" t="str">
            <v>N</v>
          </cell>
          <cell r="Q1213" t="str">
            <v>Vacancy</v>
          </cell>
          <cell r="S1213">
            <v>0.31</v>
          </cell>
        </row>
        <row r="1214">
          <cell r="D1214">
            <v>1008000109</v>
          </cell>
          <cell r="E1214" t="str">
            <v>KAREN VAUGHAN</v>
          </cell>
          <cell r="F1214" t="str">
            <v>D General (Orio</v>
          </cell>
          <cell r="G1214" t="str">
            <v>Invsd Smt checked</v>
          </cell>
          <cell r="H1214" t="str">
            <v>Orion</v>
          </cell>
          <cell r="I1214">
            <v>0.33333333333333331</v>
          </cell>
          <cell r="J1214">
            <v>0.54166666666666663</v>
          </cell>
          <cell r="K1214">
            <v>5</v>
          </cell>
          <cell r="L1214">
            <v>90.6</v>
          </cell>
          <cell r="O1214" t="str">
            <v>Y</v>
          </cell>
          <cell r="P1214" t="str">
            <v>N</v>
          </cell>
          <cell r="Q1214" t="str">
            <v>Vacancy</v>
          </cell>
          <cell r="S1214">
            <v>0.13</v>
          </cell>
        </row>
        <row r="1215">
          <cell r="D1215">
            <v>1008000346</v>
          </cell>
          <cell r="E1215" t="str">
            <v>KATE GUTHRIE</v>
          </cell>
          <cell r="F1215" t="str">
            <v>5 General (Adva</v>
          </cell>
          <cell r="G1215">
            <v>1400608</v>
          </cell>
          <cell r="H1215" t="str">
            <v>Advantage</v>
          </cell>
          <cell r="I1215">
            <v>0.875</v>
          </cell>
          <cell r="J1215">
            <v>0.3125</v>
          </cell>
          <cell r="K1215">
            <v>9.5</v>
          </cell>
          <cell r="L1215">
            <v>198.09</v>
          </cell>
          <cell r="O1215" t="str">
            <v>Y</v>
          </cell>
          <cell r="P1215" t="str">
            <v>N</v>
          </cell>
          <cell r="Q1215" t="str">
            <v>Extra Capacity</v>
          </cell>
          <cell r="S1215">
            <v>0.25</v>
          </cell>
        </row>
        <row r="1216">
          <cell r="D1216">
            <v>808004172</v>
          </cell>
          <cell r="E1216" t="str">
            <v>LEONA CONTRERAS</v>
          </cell>
          <cell r="F1216" t="str">
            <v>D (MD)</v>
          </cell>
          <cell r="G1216">
            <v>334313</v>
          </cell>
          <cell r="H1216" t="str">
            <v>Mayday</v>
          </cell>
          <cell r="I1216">
            <v>0.83333333333333337</v>
          </cell>
          <cell r="J1216">
            <v>0.33333333333333331</v>
          </cell>
          <cell r="K1216">
            <v>11.3333333333333</v>
          </cell>
          <cell r="L1216">
            <v>475.74</v>
          </cell>
          <cell r="O1216" t="str">
            <v>Y</v>
          </cell>
          <cell r="P1216" t="str">
            <v>N</v>
          </cell>
          <cell r="Q1216" t="str">
            <v>Extra Capacity</v>
          </cell>
          <cell r="S1216">
            <v>0.3</v>
          </cell>
        </row>
        <row r="1217">
          <cell r="D1217">
            <v>1008000747</v>
          </cell>
          <cell r="E1217" t="str">
            <v>LETECIA MENIANO</v>
          </cell>
          <cell r="F1217" t="str">
            <v>D (Ch)</v>
          </cell>
          <cell r="G1217">
            <v>16878</v>
          </cell>
          <cell r="H1217" t="str">
            <v>Choice</v>
          </cell>
          <cell r="I1217">
            <v>0.83333333333333337</v>
          </cell>
          <cell r="J1217">
            <v>0.33333333333333331</v>
          </cell>
          <cell r="K1217">
            <v>11.3333333333333</v>
          </cell>
          <cell r="L1217">
            <v>359.05</v>
          </cell>
          <cell r="O1217" t="str">
            <v>Y</v>
          </cell>
          <cell r="P1217" t="str">
            <v>N</v>
          </cell>
          <cell r="Q1217" t="str">
            <v>Extra Capacity</v>
          </cell>
          <cell r="S1217">
            <v>0.3</v>
          </cell>
        </row>
        <row r="1218">
          <cell r="D1218">
            <v>908006152</v>
          </cell>
          <cell r="E1218" t="str">
            <v>NILO DANUGO</v>
          </cell>
          <cell r="F1218" t="str">
            <v>D (Ch)</v>
          </cell>
          <cell r="G1218">
            <v>16859</v>
          </cell>
          <cell r="H1218" t="str">
            <v>Choice</v>
          </cell>
          <cell r="I1218">
            <v>0.88541666666666663</v>
          </cell>
          <cell r="J1218">
            <v>0.25</v>
          </cell>
          <cell r="K1218">
            <v>7.75</v>
          </cell>
          <cell r="L1218">
            <v>245.53</v>
          </cell>
          <cell r="O1218" t="str">
            <v>Y</v>
          </cell>
          <cell r="P1218" t="str">
            <v>N</v>
          </cell>
          <cell r="Q1218" t="str">
            <v>Vacancy</v>
          </cell>
          <cell r="S1218">
            <v>0.21</v>
          </cell>
        </row>
        <row r="1219">
          <cell r="D1219">
            <v>1008000918</v>
          </cell>
          <cell r="E1219" t="str">
            <v>OUSMAN JAWO</v>
          </cell>
          <cell r="F1219" t="str">
            <v>D (MD)</v>
          </cell>
          <cell r="H1219" t="str">
            <v>Mayday</v>
          </cell>
          <cell r="I1219">
            <v>0.125</v>
          </cell>
          <cell r="J1219">
            <v>0.33333333333333331</v>
          </cell>
          <cell r="K1219">
            <v>5</v>
          </cell>
          <cell r="L1219">
            <v>209.89</v>
          </cell>
          <cell r="O1219" t="str">
            <v>Y</v>
          </cell>
          <cell r="P1219" t="str">
            <v>N</v>
          </cell>
          <cell r="Q1219" t="str">
            <v>On-Call</v>
          </cell>
          <cell r="S1219">
            <v>0.13</v>
          </cell>
        </row>
        <row r="1220">
          <cell r="D1220">
            <v>808004193</v>
          </cell>
          <cell r="E1220" t="str">
            <v>PAT DUBE</v>
          </cell>
          <cell r="F1220" t="str">
            <v>D (MD)</v>
          </cell>
          <cell r="G1220">
            <v>335619</v>
          </cell>
          <cell r="H1220" t="str">
            <v>Mayday</v>
          </cell>
          <cell r="I1220">
            <v>0.3125</v>
          </cell>
          <cell r="J1220">
            <v>0.64583333333333337</v>
          </cell>
          <cell r="K1220">
            <v>7.6666666666666696</v>
          </cell>
          <cell r="L1220">
            <v>247.56</v>
          </cell>
          <cell r="O1220" t="str">
            <v>Y</v>
          </cell>
          <cell r="P1220" t="str">
            <v>N</v>
          </cell>
          <cell r="Q1220" t="str">
            <v>Extra Capacity</v>
          </cell>
          <cell r="S1220">
            <v>0.2</v>
          </cell>
        </row>
        <row r="1221">
          <cell r="D1221">
            <v>808004221</v>
          </cell>
          <cell r="E1221" t="str">
            <v>PAT DUBE</v>
          </cell>
          <cell r="F1221" t="str">
            <v>D (MD)</v>
          </cell>
          <cell r="G1221">
            <v>335619</v>
          </cell>
          <cell r="H1221" t="str">
            <v>Mayday</v>
          </cell>
          <cell r="I1221">
            <v>0.64583333333333337</v>
          </cell>
          <cell r="J1221">
            <v>0.85416666666666663</v>
          </cell>
          <cell r="K1221">
            <v>5</v>
          </cell>
          <cell r="L1221">
            <v>161.44999999999999</v>
          </cell>
          <cell r="O1221" t="str">
            <v>Y</v>
          </cell>
          <cell r="P1221" t="str">
            <v>N</v>
          </cell>
          <cell r="Q1221" t="str">
            <v>Extra Capacity</v>
          </cell>
          <cell r="S1221">
            <v>0.13</v>
          </cell>
        </row>
        <row r="1222">
          <cell r="D1222">
            <v>908005532</v>
          </cell>
          <cell r="E1222" t="str">
            <v>PEGGY CHIRIKURE</v>
          </cell>
          <cell r="F1222" t="str">
            <v>D (Ch)</v>
          </cell>
          <cell r="G1222">
            <v>16861</v>
          </cell>
          <cell r="H1222" t="str">
            <v>Choice</v>
          </cell>
          <cell r="I1222">
            <v>0.3125</v>
          </cell>
          <cell r="J1222">
            <v>0.54166666666666663</v>
          </cell>
          <cell r="K1222">
            <v>5.5</v>
          </cell>
          <cell r="L1222">
            <v>134.03</v>
          </cell>
          <cell r="O1222" t="str">
            <v>Y</v>
          </cell>
          <cell r="P1222" t="str">
            <v>N</v>
          </cell>
          <cell r="Q1222" t="str">
            <v>Extra Capacity</v>
          </cell>
          <cell r="S1222">
            <v>0.15</v>
          </cell>
        </row>
        <row r="1223">
          <cell r="D1223">
            <v>908005533</v>
          </cell>
          <cell r="E1223" t="str">
            <v>PEGGY CHIRIKURE</v>
          </cell>
          <cell r="F1223" t="str">
            <v>D (Ch)</v>
          </cell>
          <cell r="G1223">
            <v>16861</v>
          </cell>
          <cell r="H1223" t="str">
            <v>Choice</v>
          </cell>
          <cell r="I1223">
            <v>0.625</v>
          </cell>
          <cell r="J1223">
            <v>0.85416666666666663</v>
          </cell>
          <cell r="K1223">
            <v>5.5</v>
          </cell>
          <cell r="L1223">
            <v>134.03</v>
          </cell>
          <cell r="O1223" t="str">
            <v>Y</v>
          </cell>
          <cell r="P1223" t="str">
            <v>N</v>
          </cell>
          <cell r="Q1223" t="str">
            <v>Extra Capacity</v>
          </cell>
          <cell r="S1223">
            <v>0.15</v>
          </cell>
        </row>
        <row r="1224">
          <cell r="D1224">
            <v>908003692</v>
          </cell>
          <cell r="E1224" t="str">
            <v>PEGGY MAPOGO</v>
          </cell>
          <cell r="F1224" t="str">
            <v>D (Ch)</v>
          </cell>
          <cell r="G1224">
            <v>16883</v>
          </cell>
          <cell r="H1224" t="str">
            <v>Choice</v>
          </cell>
          <cell r="I1224">
            <v>0.3125</v>
          </cell>
          <cell r="J1224">
            <v>0.54166666666666663</v>
          </cell>
          <cell r="K1224">
            <v>5.5</v>
          </cell>
          <cell r="L1224">
            <v>134.03</v>
          </cell>
          <cell r="O1224" t="str">
            <v>Y</v>
          </cell>
          <cell r="P1224" t="str">
            <v>N</v>
          </cell>
          <cell r="Q1224" t="str">
            <v>Vacancy</v>
          </cell>
          <cell r="S1224">
            <v>0.15</v>
          </cell>
        </row>
        <row r="1225">
          <cell r="D1225">
            <v>908004379</v>
          </cell>
          <cell r="E1225" t="str">
            <v>PEGGY MAPOGO</v>
          </cell>
          <cell r="F1225" t="str">
            <v>D (Ch)</v>
          </cell>
          <cell r="G1225">
            <v>16883</v>
          </cell>
          <cell r="H1225" t="str">
            <v>Choice</v>
          </cell>
          <cell r="I1225">
            <v>0.625</v>
          </cell>
          <cell r="J1225">
            <v>0.85416666666666663</v>
          </cell>
          <cell r="K1225">
            <v>5.5</v>
          </cell>
          <cell r="L1225">
            <v>134.03</v>
          </cell>
          <cell r="O1225" t="str">
            <v>Y</v>
          </cell>
          <cell r="P1225" t="str">
            <v>N</v>
          </cell>
          <cell r="Q1225" t="str">
            <v>Vacancy</v>
          </cell>
          <cell r="S1225">
            <v>0.15</v>
          </cell>
        </row>
        <row r="1226">
          <cell r="D1226">
            <v>1008000291</v>
          </cell>
          <cell r="E1226" t="str">
            <v>SAM KELEM</v>
          </cell>
          <cell r="F1226" t="str">
            <v>D (Ch)</v>
          </cell>
          <cell r="G1226">
            <v>16881</v>
          </cell>
          <cell r="H1226" t="str">
            <v>Choice</v>
          </cell>
          <cell r="I1226">
            <v>0.875</v>
          </cell>
          <cell r="J1226">
            <v>0.32291666666666669</v>
          </cell>
          <cell r="K1226">
            <v>10</v>
          </cell>
          <cell r="L1226">
            <v>316.81</v>
          </cell>
          <cell r="O1226" t="str">
            <v>Y</v>
          </cell>
          <cell r="P1226" t="str">
            <v>N</v>
          </cell>
          <cell r="Q1226" t="str">
            <v>Vacancy</v>
          </cell>
          <cell r="S1226">
            <v>0.27</v>
          </cell>
        </row>
        <row r="1227">
          <cell r="D1227">
            <v>1008000946</v>
          </cell>
          <cell r="E1227" t="str">
            <v>TAMBU JENA</v>
          </cell>
          <cell r="F1227" t="str">
            <v>D (Ch)</v>
          </cell>
          <cell r="G1227">
            <v>16875</v>
          </cell>
          <cell r="H1227" t="str">
            <v>Choice</v>
          </cell>
          <cell r="I1227">
            <v>0.29166666666666669</v>
          </cell>
          <cell r="J1227">
            <v>0.54166666666666663</v>
          </cell>
          <cell r="K1227">
            <v>14.25</v>
          </cell>
          <cell r="L1227">
            <v>347.27</v>
          </cell>
          <cell r="O1227" t="str">
            <v>Y</v>
          </cell>
          <cell r="P1227" t="str">
            <v>N</v>
          </cell>
          <cell r="Q1227" t="str">
            <v>On-Call</v>
          </cell>
          <cell r="S1227">
            <v>0.38</v>
          </cell>
        </row>
        <row r="1228">
          <cell r="D1228">
            <v>808004165</v>
          </cell>
          <cell r="E1228" t="str">
            <v>TEMBE NGIDI</v>
          </cell>
          <cell r="F1228" t="str">
            <v>D (MD)</v>
          </cell>
          <cell r="G1228">
            <v>334356</v>
          </cell>
          <cell r="H1228" t="str">
            <v>Mayday</v>
          </cell>
          <cell r="I1228">
            <v>0.83333333333333337</v>
          </cell>
          <cell r="J1228">
            <v>0.33333333333333331</v>
          </cell>
          <cell r="K1228">
            <v>11.3333333333333</v>
          </cell>
          <cell r="L1228">
            <v>475.74</v>
          </cell>
          <cell r="O1228" t="str">
            <v>Y</v>
          </cell>
          <cell r="P1228" t="str">
            <v>N</v>
          </cell>
          <cell r="Q1228" t="str">
            <v>Extra Capacity</v>
          </cell>
          <cell r="S1228">
            <v>0.3</v>
          </cell>
        </row>
        <row r="1229">
          <cell r="D1229">
            <v>1008000110</v>
          </cell>
          <cell r="E1229" t="str">
            <v>TOM OSBOURNE</v>
          </cell>
          <cell r="F1229" t="str">
            <v>D General (Orio</v>
          </cell>
          <cell r="G1229" t="str">
            <v>Invsd Smt checked</v>
          </cell>
          <cell r="H1229" t="str">
            <v>Orion</v>
          </cell>
          <cell r="I1229">
            <v>0.33333333333333331</v>
          </cell>
          <cell r="J1229">
            <v>0.54166666666666663</v>
          </cell>
          <cell r="K1229">
            <v>5</v>
          </cell>
          <cell r="L1229">
            <v>90.6</v>
          </cell>
          <cell r="O1229" t="str">
            <v>Y</v>
          </cell>
          <cell r="P1229" t="str">
            <v>N</v>
          </cell>
          <cell r="Q1229" t="str">
            <v>Vacancy</v>
          </cell>
          <cell r="S1229">
            <v>0.13</v>
          </cell>
        </row>
        <row r="1230">
          <cell r="D1230">
            <v>1008001052</v>
          </cell>
          <cell r="E1230" t="str">
            <v>ANDREA VENEURELA</v>
          </cell>
          <cell r="F1230" t="str">
            <v>D (Ch)</v>
          </cell>
          <cell r="G1230">
            <v>16867</v>
          </cell>
          <cell r="H1230" t="str">
            <v>Choice</v>
          </cell>
          <cell r="I1230">
            <v>0.84375</v>
          </cell>
          <cell r="J1230">
            <v>0.3125</v>
          </cell>
          <cell r="K1230">
            <v>10.25</v>
          </cell>
          <cell r="L1230">
            <v>324.73</v>
          </cell>
          <cell r="O1230" t="str">
            <v>Y</v>
          </cell>
          <cell r="P1230" t="str">
            <v>N</v>
          </cell>
          <cell r="Q1230" t="str">
            <v>Vacancy</v>
          </cell>
          <cell r="S1230">
            <v>0.27</v>
          </cell>
        </row>
        <row r="1231">
          <cell r="D1231">
            <v>808004173</v>
          </cell>
          <cell r="E1231" t="str">
            <v>ATINUKE OKE-OLATUNDE</v>
          </cell>
          <cell r="F1231" t="str">
            <v>D (MD)</v>
          </cell>
          <cell r="G1231">
            <v>335618</v>
          </cell>
          <cell r="H1231" t="str">
            <v>Mayday</v>
          </cell>
          <cell r="I1231">
            <v>0.83333333333333337</v>
          </cell>
          <cell r="J1231">
            <v>0.33333333333333331</v>
          </cell>
          <cell r="K1231">
            <v>11.3333333333333</v>
          </cell>
          <cell r="L1231">
            <v>475.74</v>
          </cell>
          <cell r="O1231" t="str">
            <v>Y</v>
          </cell>
          <cell r="P1231" t="str">
            <v>N</v>
          </cell>
          <cell r="Q1231" t="str">
            <v>Extra Capacity</v>
          </cell>
          <cell r="S1231">
            <v>0.3</v>
          </cell>
        </row>
        <row r="1232">
          <cell r="D1232">
            <v>808004236</v>
          </cell>
          <cell r="E1232" t="str">
            <v>BEAUTY NGIDI</v>
          </cell>
          <cell r="F1232" t="str">
            <v>D (MD)</v>
          </cell>
          <cell r="G1232">
            <v>333844</v>
          </cell>
          <cell r="H1232" t="str">
            <v>Mayday</v>
          </cell>
          <cell r="I1232">
            <v>0.83333333333333337</v>
          </cell>
          <cell r="J1232">
            <v>0.33333333333333331</v>
          </cell>
          <cell r="K1232">
            <v>11.3333333333333</v>
          </cell>
          <cell r="L1232">
            <v>475.74</v>
          </cell>
          <cell r="O1232" t="str">
            <v>Y</v>
          </cell>
          <cell r="P1232" t="str">
            <v>N</v>
          </cell>
          <cell r="Q1232" t="str">
            <v>Extra Capacity</v>
          </cell>
          <cell r="S1232">
            <v>0.3</v>
          </cell>
        </row>
        <row r="1233">
          <cell r="D1233">
            <v>1008002203</v>
          </cell>
          <cell r="E1233" t="str">
            <v>BHEENADEVI BASSOO</v>
          </cell>
          <cell r="F1233" t="str">
            <v>D (Ch)</v>
          </cell>
          <cell r="H1233" t="str">
            <v>Choice</v>
          </cell>
          <cell r="I1233">
            <v>0.3125</v>
          </cell>
          <cell r="J1233">
            <v>0.54166666666666663</v>
          </cell>
          <cell r="K1233">
            <v>5.5</v>
          </cell>
          <cell r="L1233">
            <v>134.03</v>
          </cell>
          <cell r="O1233" t="str">
            <v>Y</v>
          </cell>
          <cell r="P1233" t="str">
            <v>N</v>
          </cell>
          <cell r="Q1233" t="str">
            <v>Nurse Moved</v>
          </cell>
          <cell r="S1233">
            <v>0.15</v>
          </cell>
        </row>
        <row r="1234">
          <cell r="D1234">
            <v>1008002207</v>
          </cell>
          <cell r="E1234" t="str">
            <v>BHEENADEVI BASSOO</v>
          </cell>
          <cell r="F1234" t="str">
            <v>D (Ch)</v>
          </cell>
          <cell r="H1234" t="str">
            <v>Choice</v>
          </cell>
          <cell r="I1234">
            <v>0.625</v>
          </cell>
          <cell r="J1234">
            <v>0.85416666666666663</v>
          </cell>
          <cell r="K1234">
            <v>5.5</v>
          </cell>
          <cell r="L1234">
            <v>134.03</v>
          </cell>
          <cell r="O1234" t="str">
            <v>Y</v>
          </cell>
          <cell r="P1234" t="str">
            <v>N</v>
          </cell>
          <cell r="Q1234" t="str">
            <v>Nurse Moved</v>
          </cell>
          <cell r="S1234">
            <v>0.15</v>
          </cell>
        </row>
        <row r="1235">
          <cell r="D1235">
            <v>808004201</v>
          </cell>
          <cell r="E1235" t="str">
            <v>BRIGHTNESS NDEBELE</v>
          </cell>
          <cell r="F1235" t="str">
            <v>D (MD)</v>
          </cell>
          <cell r="G1235">
            <v>334345</v>
          </cell>
          <cell r="H1235" t="str">
            <v>Mayday</v>
          </cell>
          <cell r="I1235">
            <v>0.3125</v>
          </cell>
          <cell r="J1235">
            <v>0.64583333333333337</v>
          </cell>
          <cell r="K1235">
            <v>7.6666666666666696</v>
          </cell>
          <cell r="L1235">
            <v>247.56</v>
          </cell>
          <cell r="O1235" t="str">
            <v>Y</v>
          </cell>
          <cell r="P1235" t="str">
            <v>N</v>
          </cell>
          <cell r="Q1235" t="str">
            <v>Extra Capacity</v>
          </cell>
          <cell r="S1235">
            <v>0.2</v>
          </cell>
        </row>
        <row r="1236">
          <cell r="D1236">
            <v>808004215</v>
          </cell>
          <cell r="E1236" t="str">
            <v>BRIGHTNESS NDEBELE</v>
          </cell>
          <cell r="F1236" t="str">
            <v>D (MD)</v>
          </cell>
          <cell r="G1236">
            <v>334345</v>
          </cell>
          <cell r="H1236" t="str">
            <v>Mayday</v>
          </cell>
          <cell r="I1236">
            <v>0.64583333333333337</v>
          </cell>
          <cell r="J1236">
            <v>0.85416666666666663</v>
          </cell>
          <cell r="K1236">
            <v>5</v>
          </cell>
          <cell r="L1236">
            <v>161.44999999999999</v>
          </cell>
          <cell r="O1236" t="str">
            <v>Y</v>
          </cell>
          <cell r="P1236" t="str">
            <v>N</v>
          </cell>
          <cell r="Q1236" t="str">
            <v>Extra Capacity</v>
          </cell>
          <cell r="S1236">
            <v>0.13</v>
          </cell>
        </row>
        <row r="1237">
          <cell r="D1237">
            <v>1008001491</v>
          </cell>
          <cell r="E1237" t="str">
            <v>CARL HIBBERT</v>
          </cell>
          <cell r="F1237" t="str">
            <v>D (Ch)</v>
          </cell>
          <cell r="G1237">
            <v>16862</v>
          </cell>
          <cell r="H1237" t="str">
            <v>Choice</v>
          </cell>
          <cell r="I1237">
            <v>0.875</v>
          </cell>
          <cell r="J1237">
            <v>0.33333333333333331</v>
          </cell>
          <cell r="K1237">
            <v>10.6666666666667</v>
          </cell>
          <cell r="L1237">
            <v>337.93</v>
          </cell>
          <cell r="O1237" t="str">
            <v>Y</v>
          </cell>
          <cell r="P1237" t="str">
            <v>N</v>
          </cell>
          <cell r="Q1237" t="str">
            <v>Short Term Sick</v>
          </cell>
          <cell r="S1237">
            <v>0.28000000000000003</v>
          </cell>
        </row>
        <row r="1238">
          <cell r="D1238">
            <v>908003752</v>
          </cell>
          <cell r="E1238" t="str">
            <v>CHRIS STULAR</v>
          </cell>
          <cell r="F1238" t="str">
            <v>D General (Orio</v>
          </cell>
          <cell r="G1238" t="str">
            <v>Invsd Smt checked</v>
          </cell>
          <cell r="H1238" t="str">
            <v>Orion</v>
          </cell>
          <cell r="I1238">
            <v>0.33333333333333331</v>
          </cell>
          <cell r="J1238">
            <v>0.75</v>
          </cell>
          <cell r="K1238">
            <v>9.5</v>
          </cell>
          <cell r="L1238">
            <v>172.14</v>
          </cell>
          <cell r="O1238" t="str">
            <v>Y</v>
          </cell>
          <cell r="P1238" t="str">
            <v>N</v>
          </cell>
          <cell r="Q1238" t="str">
            <v>Vacancy</v>
          </cell>
          <cell r="S1238">
            <v>0.25</v>
          </cell>
        </row>
        <row r="1239">
          <cell r="D1239">
            <v>908002926</v>
          </cell>
          <cell r="E1239" t="str">
            <v>COLLEN SIBANDA</v>
          </cell>
          <cell r="F1239" t="str">
            <v>D (Ch)</v>
          </cell>
          <cell r="G1239">
            <v>16875</v>
          </cell>
          <cell r="H1239" t="str">
            <v>Choice</v>
          </cell>
          <cell r="I1239">
            <v>0.625</v>
          </cell>
          <cell r="J1239">
            <v>0.875</v>
          </cell>
          <cell r="K1239">
            <v>5.75</v>
          </cell>
          <cell r="L1239">
            <v>140.13</v>
          </cell>
          <cell r="O1239" t="str">
            <v>Y</v>
          </cell>
          <cell r="P1239" t="str">
            <v>N</v>
          </cell>
          <cell r="Q1239" t="str">
            <v>Vacancy</v>
          </cell>
          <cell r="S1239">
            <v>0.15</v>
          </cell>
        </row>
        <row r="1240">
          <cell r="D1240">
            <v>908006842</v>
          </cell>
          <cell r="E1240" t="str">
            <v>DIGRACIA  NAPE</v>
          </cell>
          <cell r="F1240" t="str">
            <v>D (MD)</v>
          </cell>
          <cell r="G1240">
            <v>335200</v>
          </cell>
          <cell r="H1240" t="str">
            <v>Mayday</v>
          </cell>
          <cell r="I1240">
            <v>0.5625</v>
          </cell>
          <cell r="J1240">
            <v>0.89583333333333337</v>
          </cell>
          <cell r="K1240">
            <v>7.6666666666666696</v>
          </cell>
          <cell r="L1240">
            <v>247.56</v>
          </cell>
          <cell r="O1240" t="str">
            <v>Y</v>
          </cell>
          <cell r="P1240" t="str">
            <v>N</v>
          </cell>
          <cell r="Q1240" t="str">
            <v>Under Established</v>
          </cell>
          <cell r="S1240">
            <v>0.2</v>
          </cell>
        </row>
        <row r="1241">
          <cell r="D1241">
            <v>908005535</v>
          </cell>
          <cell r="E1241" t="str">
            <v>EVELYN PANESA</v>
          </cell>
          <cell r="F1241" t="str">
            <v>D (Ch)</v>
          </cell>
          <cell r="G1241">
            <v>16861</v>
          </cell>
          <cell r="H1241" t="str">
            <v>Choice</v>
          </cell>
          <cell r="I1241">
            <v>0.3125</v>
          </cell>
          <cell r="J1241">
            <v>0.54166666666666663</v>
          </cell>
          <cell r="K1241">
            <v>5.5</v>
          </cell>
          <cell r="L1241">
            <v>134.03</v>
          </cell>
          <cell r="O1241" t="str">
            <v>Y</v>
          </cell>
          <cell r="P1241" t="str">
            <v>N</v>
          </cell>
          <cell r="Q1241" t="str">
            <v>Extra Capacity</v>
          </cell>
          <cell r="S1241">
            <v>0.15</v>
          </cell>
        </row>
        <row r="1242">
          <cell r="D1242">
            <v>1008000994</v>
          </cell>
          <cell r="E1242" t="str">
            <v>EVELYN PANESA</v>
          </cell>
          <cell r="F1242" t="str">
            <v>D (Ch)</v>
          </cell>
          <cell r="H1242" t="str">
            <v>Choice</v>
          </cell>
          <cell r="I1242">
            <v>0.625</v>
          </cell>
          <cell r="J1242">
            <v>0.85416666666666663</v>
          </cell>
          <cell r="K1242">
            <v>5.5</v>
          </cell>
          <cell r="L1242">
            <v>134.03</v>
          </cell>
          <cell r="O1242" t="str">
            <v>Y</v>
          </cell>
          <cell r="P1242" t="str">
            <v>N</v>
          </cell>
          <cell r="Q1242" t="str">
            <v>Short Term Sick</v>
          </cell>
          <cell r="S1242">
            <v>0.15</v>
          </cell>
        </row>
        <row r="1243">
          <cell r="D1243">
            <v>1008001686</v>
          </cell>
          <cell r="E1243" t="str">
            <v>GEORGINA MAFISA</v>
          </cell>
          <cell r="F1243" t="str">
            <v>D (MD)</v>
          </cell>
          <cell r="G1243">
            <v>335028</v>
          </cell>
          <cell r="H1243" t="str">
            <v>Mayday</v>
          </cell>
          <cell r="I1243">
            <v>0.83333333333333337</v>
          </cell>
          <cell r="J1243">
            <v>0.33333333333333331</v>
          </cell>
          <cell r="K1243">
            <v>11</v>
          </cell>
          <cell r="L1243">
            <v>461.75</v>
          </cell>
          <cell r="O1243" t="str">
            <v>Y</v>
          </cell>
          <cell r="P1243" t="str">
            <v>N</v>
          </cell>
          <cell r="Q1243" t="str">
            <v>Short Term Sick</v>
          </cell>
          <cell r="S1243">
            <v>0.28999999999999998</v>
          </cell>
        </row>
        <row r="1244">
          <cell r="D1244">
            <v>1008001767</v>
          </cell>
          <cell r="E1244" t="str">
            <v>GLENDA RONA</v>
          </cell>
          <cell r="F1244" t="str">
            <v>D (Ch)</v>
          </cell>
          <cell r="G1244">
            <v>16882</v>
          </cell>
          <cell r="H1244" t="str">
            <v>Choice</v>
          </cell>
          <cell r="I1244">
            <v>0.83333333333333337</v>
          </cell>
          <cell r="J1244">
            <v>6.25E-2</v>
          </cell>
          <cell r="K1244">
            <v>5.5</v>
          </cell>
          <cell r="L1244">
            <v>134.03</v>
          </cell>
          <cell r="O1244" t="str">
            <v>Y</v>
          </cell>
          <cell r="P1244" t="str">
            <v>N</v>
          </cell>
          <cell r="Q1244" t="str">
            <v>Extra Capacity</v>
          </cell>
          <cell r="S1244">
            <v>0.15</v>
          </cell>
        </row>
        <row r="1245">
          <cell r="D1245">
            <v>1008001127</v>
          </cell>
          <cell r="E1245" t="str">
            <v>GRACE CHIKWAVA</v>
          </cell>
          <cell r="F1245" t="str">
            <v>D (Ch)</v>
          </cell>
          <cell r="G1245">
            <v>16866</v>
          </cell>
          <cell r="H1245" t="str">
            <v>Choice</v>
          </cell>
          <cell r="I1245">
            <v>0.3125</v>
          </cell>
          <cell r="J1245">
            <v>0.64583333333333337</v>
          </cell>
          <cell r="K1245">
            <v>7.5</v>
          </cell>
          <cell r="L1245">
            <v>182.78</v>
          </cell>
          <cell r="O1245" t="str">
            <v>Y</v>
          </cell>
          <cell r="P1245" t="str">
            <v>N</v>
          </cell>
          <cell r="Q1245" t="str">
            <v>Short Term Sick</v>
          </cell>
          <cell r="S1245">
            <v>0.2</v>
          </cell>
        </row>
        <row r="1246">
          <cell r="D1246">
            <v>1008001130</v>
          </cell>
          <cell r="E1246" t="str">
            <v>GRACE CHIKWAVA</v>
          </cell>
          <cell r="F1246" t="str">
            <v>D (Ch)</v>
          </cell>
          <cell r="G1246">
            <v>16866</v>
          </cell>
          <cell r="H1246" t="str">
            <v>Choice</v>
          </cell>
          <cell r="I1246">
            <v>0.64583333333333337</v>
          </cell>
          <cell r="J1246">
            <v>0.85416666666666663</v>
          </cell>
          <cell r="K1246">
            <v>5</v>
          </cell>
          <cell r="L1246">
            <v>121.85</v>
          </cell>
          <cell r="O1246" t="str">
            <v>Y</v>
          </cell>
          <cell r="P1246" t="str">
            <v>N</v>
          </cell>
          <cell r="Q1246" t="str">
            <v>Short Term Sick</v>
          </cell>
          <cell r="S1246">
            <v>0.13</v>
          </cell>
        </row>
        <row r="1247">
          <cell r="D1247">
            <v>1008000454</v>
          </cell>
          <cell r="E1247" t="str">
            <v>GRACE PANDARAOAM</v>
          </cell>
          <cell r="F1247" t="str">
            <v>D (Ch)</v>
          </cell>
          <cell r="H1247" t="str">
            <v>Choice</v>
          </cell>
          <cell r="I1247">
            <v>0.88541666666666663</v>
          </cell>
          <cell r="J1247">
            <v>0.30208333333333331</v>
          </cell>
          <cell r="K1247">
            <v>9</v>
          </cell>
          <cell r="L1247">
            <v>285.13</v>
          </cell>
          <cell r="O1247" t="str">
            <v>Y</v>
          </cell>
          <cell r="P1247" t="str">
            <v>N</v>
          </cell>
          <cell r="Q1247" t="str">
            <v>Vacancy</v>
          </cell>
          <cell r="S1247">
            <v>0.24</v>
          </cell>
        </row>
        <row r="1248">
          <cell r="D1248">
            <v>908003699</v>
          </cell>
          <cell r="E1248" t="str">
            <v>JAMES MCCLEMENTS</v>
          </cell>
          <cell r="F1248" t="str">
            <v>D (MD)</v>
          </cell>
          <cell r="G1248">
            <v>335204</v>
          </cell>
          <cell r="H1248" t="str">
            <v>Mayday</v>
          </cell>
          <cell r="I1248">
            <v>0.625</v>
          </cell>
          <cell r="J1248">
            <v>0.85416666666666663</v>
          </cell>
          <cell r="K1248">
            <v>5.5</v>
          </cell>
          <cell r="L1248">
            <v>177.59</v>
          </cell>
          <cell r="O1248" t="str">
            <v>Y</v>
          </cell>
          <cell r="P1248" t="str">
            <v>N</v>
          </cell>
          <cell r="Q1248" t="str">
            <v>Vacancy</v>
          </cell>
          <cell r="S1248">
            <v>0.15</v>
          </cell>
        </row>
        <row r="1249">
          <cell r="D1249">
            <v>808004152</v>
          </cell>
          <cell r="E1249" t="str">
            <v>JOAN LEWIS</v>
          </cell>
          <cell r="F1249" t="str">
            <v>D (MD)</v>
          </cell>
          <cell r="G1249">
            <v>333840</v>
          </cell>
          <cell r="H1249" t="str">
            <v>Mayday</v>
          </cell>
          <cell r="I1249">
            <v>0.625</v>
          </cell>
          <cell r="J1249">
            <v>0.85416666666666663</v>
          </cell>
          <cell r="K1249">
            <v>5.5</v>
          </cell>
          <cell r="L1249">
            <v>177.59</v>
          </cell>
          <cell r="O1249" t="str">
            <v>Y</v>
          </cell>
          <cell r="P1249" t="str">
            <v>N</v>
          </cell>
          <cell r="Q1249" t="str">
            <v>Extra Capacity</v>
          </cell>
          <cell r="S1249">
            <v>0.15</v>
          </cell>
        </row>
        <row r="1250">
          <cell r="D1250">
            <v>908004809</v>
          </cell>
          <cell r="E1250" t="str">
            <v>JOANNE DUCKER</v>
          </cell>
          <cell r="F1250" t="str">
            <v>D / 5 General (</v>
          </cell>
          <cell r="G1250" t="str">
            <v>604-151623</v>
          </cell>
          <cell r="H1250" t="str">
            <v>Medacs</v>
          </cell>
          <cell r="I1250">
            <v>0.58333333333333337</v>
          </cell>
          <cell r="J1250">
            <v>0.84375</v>
          </cell>
          <cell r="K1250">
            <v>6</v>
          </cell>
          <cell r="L1250">
            <v>101.28</v>
          </cell>
          <cell r="O1250" t="str">
            <v>Y</v>
          </cell>
          <cell r="P1250" t="str">
            <v>N</v>
          </cell>
          <cell r="Q1250" t="str">
            <v>Vacancy</v>
          </cell>
          <cell r="S1250">
            <v>0.16</v>
          </cell>
        </row>
        <row r="1251">
          <cell r="D1251">
            <v>1008000113</v>
          </cell>
          <cell r="E1251" t="str">
            <v>KAREN VAUGHAN</v>
          </cell>
          <cell r="F1251" t="str">
            <v>D General (Orio</v>
          </cell>
          <cell r="G1251" t="str">
            <v>Invsd Smt checked</v>
          </cell>
          <cell r="H1251" t="str">
            <v>Orion</v>
          </cell>
          <cell r="I1251">
            <v>0.33333333333333331</v>
          </cell>
          <cell r="J1251">
            <v>0.54166666666666663</v>
          </cell>
          <cell r="K1251">
            <v>5</v>
          </cell>
          <cell r="L1251">
            <v>90.6</v>
          </cell>
          <cell r="O1251" t="str">
            <v>Y</v>
          </cell>
          <cell r="P1251" t="str">
            <v>N</v>
          </cell>
          <cell r="Q1251" t="str">
            <v>Vacancy</v>
          </cell>
          <cell r="S1251">
            <v>0.13</v>
          </cell>
        </row>
        <row r="1252">
          <cell r="D1252">
            <v>808004222</v>
          </cell>
          <cell r="E1252" t="str">
            <v>KERRI GALLOWAY</v>
          </cell>
          <cell r="F1252" t="str">
            <v>D (MD)</v>
          </cell>
          <cell r="G1252">
            <v>334312</v>
          </cell>
          <cell r="H1252" t="str">
            <v>Mayday</v>
          </cell>
          <cell r="I1252">
            <v>0.52083333333333337</v>
          </cell>
          <cell r="J1252">
            <v>0.85416666666666663</v>
          </cell>
          <cell r="K1252">
            <v>7.6666666666666696</v>
          </cell>
          <cell r="L1252">
            <v>247.56</v>
          </cell>
          <cell r="O1252" t="str">
            <v>Y</v>
          </cell>
          <cell r="P1252" t="str">
            <v>N</v>
          </cell>
          <cell r="Q1252" t="str">
            <v>Extra Capacity</v>
          </cell>
          <cell r="S1252">
            <v>0.2</v>
          </cell>
        </row>
        <row r="1253">
          <cell r="D1253">
            <v>808006414</v>
          </cell>
          <cell r="E1253" t="str">
            <v>KIU TOA</v>
          </cell>
          <cell r="F1253" t="str">
            <v>Band 5 (DN)</v>
          </cell>
          <cell r="H1253" t="str">
            <v>Direct Nursing</v>
          </cell>
          <cell r="I1253">
            <v>0.625</v>
          </cell>
          <cell r="J1253">
            <v>0.85416666666666663</v>
          </cell>
          <cell r="K1253">
            <v>5.5</v>
          </cell>
          <cell r="L1253">
            <v>96.8</v>
          </cell>
          <cell r="O1253" t="str">
            <v>Y</v>
          </cell>
          <cell r="P1253" t="str">
            <v>N</v>
          </cell>
          <cell r="Q1253" t="str">
            <v>Vacancy</v>
          </cell>
          <cell r="S1253">
            <v>0.15</v>
          </cell>
        </row>
        <row r="1254">
          <cell r="D1254">
            <v>1008000224</v>
          </cell>
          <cell r="E1254" t="str">
            <v>LERENZO  BAHILLO</v>
          </cell>
          <cell r="F1254" t="str">
            <v>Band 5 (DN)</v>
          </cell>
          <cell r="G1254">
            <v>19050</v>
          </cell>
          <cell r="H1254" t="str">
            <v>Direct Nursing</v>
          </cell>
          <cell r="I1254">
            <v>0.83333333333333337</v>
          </cell>
          <cell r="J1254">
            <v>0.33333333333333331</v>
          </cell>
          <cell r="K1254">
            <v>11.3333333333333</v>
          </cell>
          <cell r="L1254">
            <v>259.31</v>
          </cell>
          <cell r="O1254" t="str">
            <v>Y</v>
          </cell>
          <cell r="P1254" t="str">
            <v>N</v>
          </cell>
          <cell r="Q1254" t="str">
            <v>Under Established</v>
          </cell>
          <cell r="S1254">
            <v>0.3</v>
          </cell>
        </row>
        <row r="1255">
          <cell r="D1255">
            <v>908002846</v>
          </cell>
          <cell r="E1255" t="str">
            <v>NILO DANUGO</v>
          </cell>
          <cell r="F1255" t="str">
            <v>D (Ch)</v>
          </cell>
          <cell r="G1255">
            <v>16859</v>
          </cell>
          <cell r="H1255" t="str">
            <v>Choice</v>
          </cell>
          <cell r="I1255">
            <v>0.88541666666666663</v>
          </cell>
          <cell r="J1255">
            <v>0.29166666666666669</v>
          </cell>
          <cell r="K1255">
            <v>9.4166666666666696</v>
          </cell>
          <cell r="L1255">
            <v>298.33</v>
          </cell>
          <cell r="O1255" t="str">
            <v>Y</v>
          </cell>
          <cell r="P1255" t="str">
            <v>N</v>
          </cell>
          <cell r="Q1255" t="str">
            <v>Vacancy</v>
          </cell>
          <cell r="S1255">
            <v>0.25</v>
          </cell>
        </row>
        <row r="1256">
          <cell r="D1256">
            <v>808004243</v>
          </cell>
          <cell r="E1256" t="str">
            <v>PAT DUBE</v>
          </cell>
          <cell r="F1256" t="str">
            <v>D (MD)</v>
          </cell>
          <cell r="G1256">
            <v>335619</v>
          </cell>
          <cell r="H1256" t="str">
            <v>Mayday</v>
          </cell>
          <cell r="I1256">
            <v>0.83333333333333337</v>
          </cell>
          <cell r="J1256">
            <v>0.33333333333333331</v>
          </cell>
          <cell r="K1256">
            <v>11.3333333333333</v>
          </cell>
          <cell r="L1256">
            <v>475.74</v>
          </cell>
          <cell r="O1256" t="str">
            <v>Y</v>
          </cell>
          <cell r="P1256" t="str">
            <v>N</v>
          </cell>
          <cell r="Q1256" t="str">
            <v>Extra Capacity</v>
          </cell>
          <cell r="S1256">
            <v>0.3</v>
          </cell>
        </row>
        <row r="1257">
          <cell r="D1257">
            <v>908003697</v>
          </cell>
          <cell r="E1257" t="str">
            <v>PEGGY MAPOGO</v>
          </cell>
          <cell r="F1257" t="str">
            <v>D (Ch)</v>
          </cell>
          <cell r="G1257">
            <v>16883</v>
          </cell>
          <cell r="H1257" t="str">
            <v>Choice</v>
          </cell>
          <cell r="I1257">
            <v>0.625</v>
          </cell>
          <cell r="J1257">
            <v>0.85416666666666663</v>
          </cell>
          <cell r="K1257">
            <v>5.5</v>
          </cell>
          <cell r="L1257">
            <v>134.03</v>
          </cell>
          <cell r="O1257" t="str">
            <v>Y</v>
          </cell>
          <cell r="P1257" t="str">
            <v>N</v>
          </cell>
          <cell r="Q1257" t="str">
            <v>Vacancy</v>
          </cell>
          <cell r="S1257">
            <v>0.15</v>
          </cell>
        </row>
        <row r="1258">
          <cell r="D1258">
            <v>1008000144</v>
          </cell>
          <cell r="E1258" t="str">
            <v>PEGGY MAPOGO</v>
          </cell>
          <cell r="F1258" t="str">
            <v>D (Ch)</v>
          </cell>
          <cell r="G1258">
            <v>16883</v>
          </cell>
          <cell r="H1258" t="str">
            <v>Choice</v>
          </cell>
          <cell r="I1258">
            <v>0.3125</v>
          </cell>
          <cell r="J1258">
            <v>0.54166666666666663</v>
          </cell>
          <cell r="K1258">
            <v>5.5</v>
          </cell>
          <cell r="L1258">
            <v>134.03</v>
          </cell>
          <cell r="O1258" t="str">
            <v>Y</v>
          </cell>
          <cell r="P1258" t="str">
            <v>N</v>
          </cell>
          <cell r="Q1258" t="str">
            <v>Vacancy</v>
          </cell>
          <cell r="S1258">
            <v>0.15</v>
          </cell>
        </row>
        <row r="1259">
          <cell r="D1259">
            <v>908005536</v>
          </cell>
          <cell r="E1259" t="str">
            <v>ROHEYATOU NDOW-NJIE</v>
          </cell>
          <cell r="F1259" t="str">
            <v>D (Ch)</v>
          </cell>
          <cell r="H1259" t="str">
            <v>Choice</v>
          </cell>
          <cell r="I1259">
            <v>0.3125</v>
          </cell>
          <cell r="J1259">
            <v>0.54166666666666663</v>
          </cell>
          <cell r="K1259">
            <v>5.5</v>
          </cell>
          <cell r="L1259">
            <v>134.03</v>
          </cell>
          <cell r="O1259" t="str">
            <v>Y</v>
          </cell>
          <cell r="P1259" t="str">
            <v>N</v>
          </cell>
          <cell r="Q1259" t="str">
            <v>Extra Capacity</v>
          </cell>
          <cell r="S1259">
            <v>0.15</v>
          </cell>
        </row>
        <row r="1260">
          <cell r="D1260">
            <v>808004166</v>
          </cell>
          <cell r="E1260" t="str">
            <v>TEMBE NGIDI</v>
          </cell>
          <cell r="F1260" t="str">
            <v>D (MD)</v>
          </cell>
          <cell r="G1260">
            <v>334358</v>
          </cell>
          <cell r="H1260" t="str">
            <v>Mayday</v>
          </cell>
          <cell r="I1260">
            <v>0.83333333333333337</v>
          </cell>
          <cell r="J1260">
            <v>0.33333333333333331</v>
          </cell>
          <cell r="K1260">
            <v>11.3333333333333</v>
          </cell>
          <cell r="L1260">
            <v>475.74</v>
          </cell>
          <cell r="O1260" t="str">
            <v>Y</v>
          </cell>
          <cell r="P1260" t="str">
            <v>N</v>
          </cell>
          <cell r="Q1260" t="str">
            <v>Extra Capacity</v>
          </cell>
          <cell r="S1260">
            <v>0.3</v>
          </cell>
        </row>
        <row r="1261">
          <cell r="D1261">
            <v>1008000114</v>
          </cell>
          <cell r="E1261" t="str">
            <v>TOM OSBOURNE</v>
          </cell>
          <cell r="F1261" t="str">
            <v>D General (Orio</v>
          </cell>
          <cell r="G1261" t="str">
            <v>Invsd Smt checked</v>
          </cell>
          <cell r="H1261" t="str">
            <v>Orion</v>
          </cell>
          <cell r="I1261">
            <v>0.33333333333333331</v>
          </cell>
          <cell r="J1261">
            <v>0.54166666666666663</v>
          </cell>
          <cell r="K1261">
            <v>5</v>
          </cell>
          <cell r="L1261">
            <v>90.6</v>
          </cell>
          <cell r="O1261" t="str">
            <v>Y</v>
          </cell>
          <cell r="P1261" t="str">
            <v>N</v>
          </cell>
          <cell r="Q1261" t="str">
            <v>Vacancy</v>
          </cell>
          <cell r="S1261">
            <v>0.13</v>
          </cell>
        </row>
        <row r="1262">
          <cell r="D1262">
            <v>1008000643</v>
          </cell>
          <cell r="E1262" t="str">
            <v>ATINUKE OKE-OLATUNDE</v>
          </cell>
          <cell r="F1262" t="str">
            <v>D (MD)</v>
          </cell>
          <cell r="G1262">
            <v>335617</v>
          </cell>
          <cell r="H1262" t="str">
            <v>Mayday</v>
          </cell>
          <cell r="I1262">
            <v>0.83333333333333337</v>
          </cell>
          <cell r="J1262">
            <v>0.33333333333333331</v>
          </cell>
          <cell r="K1262">
            <v>11.3333333333333</v>
          </cell>
          <cell r="L1262">
            <v>475.74</v>
          </cell>
          <cell r="O1262" t="str">
            <v>Y</v>
          </cell>
          <cell r="P1262" t="str">
            <v>N</v>
          </cell>
          <cell r="Q1262" t="str">
            <v>Vacancy</v>
          </cell>
          <cell r="S1262">
            <v>0.3</v>
          </cell>
        </row>
        <row r="1263">
          <cell r="D1263">
            <v>808004244</v>
          </cell>
          <cell r="E1263" t="str">
            <v>BEAUTY NGIDI</v>
          </cell>
          <cell r="F1263" t="str">
            <v>D (MD)</v>
          </cell>
          <cell r="G1263">
            <v>333844</v>
          </cell>
          <cell r="H1263" t="str">
            <v>Mayday</v>
          </cell>
          <cell r="I1263">
            <v>0.83333333333333337</v>
          </cell>
          <cell r="J1263">
            <v>0.33333333333333331</v>
          </cell>
          <cell r="K1263">
            <v>11.3333333333333</v>
          </cell>
          <cell r="L1263">
            <v>475.74</v>
          </cell>
          <cell r="O1263" t="str">
            <v>Y</v>
          </cell>
          <cell r="P1263" t="str">
            <v>N</v>
          </cell>
          <cell r="Q1263" t="str">
            <v>Extra Capacity</v>
          </cell>
          <cell r="S1263">
            <v>0.3</v>
          </cell>
        </row>
        <row r="1264">
          <cell r="D1264">
            <v>808004202</v>
          </cell>
          <cell r="E1264" t="str">
            <v>BRIGHTNESS NDEBELE</v>
          </cell>
          <cell r="F1264" t="str">
            <v>D (MD)</v>
          </cell>
          <cell r="G1264">
            <v>334345</v>
          </cell>
          <cell r="H1264" t="str">
            <v>Mayday</v>
          </cell>
          <cell r="I1264">
            <v>0.3125</v>
          </cell>
          <cell r="J1264">
            <v>0.64583333333333337</v>
          </cell>
          <cell r="K1264">
            <v>7.6666666666666696</v>
          </cell>
          <cell r="L1264">
            <v>247.56</v>
          </cell>
          <cell r="O1264" t="str">
            <v>Y</v>
          </cell>
          <cell r="P1264" t="str">
            <v>N</v>
          </cell>
          <cell r="Q1264" t="str">
            <v>Extra Capacity</v>
          </cell>
          <cell r="S1264">
            <v>0.2</v>
          </cell>
        </row>
        <row r="1265">
          <cell r="D1265">
            <v>808004223</v>
          </cell>
          <cell r="E1265" t="str">
            <v>BRIGHTNESS NDEBELE</v>
          </cell>
          <cell r="F1265" t="str">
            <v>D (MD)</v>
          </cell>
          <cell r="G1265">
            <v>334345</v>
          </cell>
          <cell r="H1265" t="str">
            <v>Mayday</v>
          </cell>
          <cell r="I1265">
            <v>0.64583333333333337</v>
          </cell>
          <cell r="J1265">
            <v>0.85416666666666663</v>
          </cell>
          <cell r="K1265">
            <v>5</v>
          </cell>
          <cell r="L1265">
            <v>161.44999999999999</v>
          </cell>
          <cell r="O1265" t="str">
            <v>Y</v>
          </cell>
          <cell r="P1265" t="str">
            <v>N</v>
          </cell>
          <cell r="Q1265" t="str">
            <v>Extra Capacity</v>
          </cell>
          <cell r="S1265">
            <v>0.13</v>
          </cell>
        </row>
        <row r="1266">
          <cell r="D1266">
            <v>908006154</v>
          </cell>
          <cell r="E1266" t="str">
            <v>CATH CHIDAVAYENZI</v>
          </cell>
          <cell r="F1266" t="str">
            <v>D (Ch)</v>
          </cell>
          <cell r="G1266">
            <v>16859</v>
          </cell>
          <cell r="H1266" t="str">
            <v>Choice</v>
          </cell>
          <cell r="I1266">
            <v>0.88541666666666663</v>
          </cell>
          <cell r="J1266">
            <v>0.25</v>
          </cell>
          <cell r="K1266">
            <v>7.75</v>
          </cell>
          <cell r="L1266">
            <v>245.53</v>
          </cell>
          <cell r="O1266" t="str">
            <v>Y</v>
          </cell>
          <cell r="P1266" t="str">
            <v>N</v>
          </cell>
          <cell r="Q1266" t="str">
            <v>Vacancy</v>
          </cell>
          <cell r="S1266">
            <v>0.21</v>
          </cell>
        </row>
        <row r="1267">
          <cell r="D1267">
            <v>908003753</v>
          </cell>
          <cell r="E1267" t="str">
            <v>CHRIS STULAR</v>
          </cell>
          <cell r="F1267" t="str">
            <v>D General (Orio</v>
          </cell>
          <cell r="G1267" t="str">
            <v>Invsd Smt checked</v>
          </cell>
          <cell r="H1267" t="str">
            <v>Orion</v>
          </cell>
          <cell r="I1267">
            <v>0.33333333333333331</v>
          </cell>
          <cell r="J1267">
            <v>0.75</v>
          </cell>
          <cell r="K1267">
            <v>9.5</v>
          </cell>
          <cell r="L1267">
            <v>172.14</v>
          </cell>
          <cell r="O1267" t="str">
            <v>Y</v>
          </cell>
          <cell r="P1267" t="str">
            <v>N</v>
          </cell>
          <cell r="Q1267" t="str">
            <v>Vacancy</v>
          </cell>
          <cell r="S1267">
            <v>0.25</v>
          </cell>
        </row>
        <row r="1268">
          <cell r="D1268">
            <v>908002280</v>
          </cell>
          <cell r="E1268" t="str">
            <v>COLLEN SIBANDA</v>
          </cell>
          <cell r="F1268" t="str">
            <v>D (Ch)</v>
          </cell>
          <cell r="G1268">
            <v>16883</v>
          </cell>
          <cell r="H1268" t="str">
            <v>Choice</v>
          </cell>
          <cell r="I1268">
            <v>0.3125</v>
          </cell>
          <cell r="J1268">
            <v>0.54166666666666663</v>
          </cell>
          <cell r="K1268">
            <v>5.5</v>
          </cell>
          <cell r="L1268">
            <v>134.03</v>
          </cell>
          <cell r="O1268" t="str">
            <v>Y</v>
          </cell>
          <cell r="P1268" t="str">
            <v>N</v>
          </cell>
          <cell r="Q1268" t="str">
            <v>Vacancy</v>
          </cell>
          <cell r="S1268">
            <v>0.15</v>
          </cell>
        </row>
        <row r="1269">
          <cell r="D1269">
            <v>908002281</v>
          </cell>
          <cell r="E1269" t="str">
            <v>COLLEN SIBANDA</v>
          </cell>
          <cell r="F1269" t="str">
            <v>D (Ch)</v>
          </cell>
          <cell r="G1269">
            <v>16883</v>
          </cell>
          <cell r="H1269" t="str">
            <v>Choice</v>
          </cell>
          <cell r="I1269">
            <v>0.625</v>
          </cell>
          <cell r="J1269">
            <v>0.85416666666666663</v>
          </cell>
          <cell r="K1269">
            <v>5.5</v>
          </cell>
          <cell r="L1269">
            <v>134.03</v>
          </cell>
          <cell r="O1269" t="str">
            <v>Y</v>
          </cell>
          <cell r="P1269" t="str">
            <v>N</v>
          </cell>
          <cell r="Q1269" t="str">
            <v>Vacancy</v>
          </cell>
          <cell r="S1269">
            <v>0.15</v>
          </cell>
        </row>
        <row r="1270">
          <cell r="D1270">
            <v>1008000866</v>
          </cell>
          <cell r="E1270" t="str">
            <v>CYNTHIA DELMO</v>
          </cell>
          <cell r="F1270" t="str">
            <v>D (Ch)</v>
          </cell>
          <cell r="G1270">
            <v>16859</v>
          </cell>
          <cell r="H1270" t="str">
            <v>Choice</v>
          </cell>
          <cell r="I1270">
            <v>0.88541666666666663</v>
          </cell>
          <cell r="J1270">
            <v>0.3125</v>
          </cell>
          <cell r="K1270">
            <v>9.25</v>
          </cell>
          <cell r="L1270">
            <v>293.05</v>
          </cell>
          <cell r="O1270" t="str">
            <v>Y</v>
          </cell>
          <cell r="P1270" t="str">
            <v>N</v>
          </cell>
          <cell r="Q1270" t="str">
            <v>Vacancy</v>
          </cell>
          <cell r="S1270">
            <v>0.25</v>
          </cell>
        </row>
        <row r="1271">
          <cell r="D1271">
            <v>908000194</v>
          </cell>
          <cell r="E1271" t="str">
            <v>DIGRACIA  NAPE</v>
          </cell>
          <cell r="F1271" t="str">
            <v>D (MD)</v>
          </cell>
          <cell r="G1271">
            <v>335200</v>
          </cell>
          <cell r="H1271" t="str">
            <v>Mayday</v>
          </cell>
          <cell r="I1271">
            <v>0.5625</v>
          </cell>
          <cell r="J1271">
            <v>0.875</v>
          </cell>
          <cell r="K1271">
            <v>7.1666666666666696</v>
          </cell>
          <cell r="L1271">
            <v>231.41</v>
          </cell>
          <cell r="O1271" t="str">
            <v>Y</v>
          </cell>
          <cell r="P1271" t="str">
            <v>N</v>
          </cell>
          <cell r="Q1271" t="str">
            <v>Annual Leave</v>
          </cell>
          <cell r="S1271">
            <v>0.19</v>
          </cell>
        </row>
        <row r="1272">
          <cell r="D1272">
            <v>908002651</v>
          </cell>
          <cell r="E1272" t="str">
            <v>DIGRACIA  NAPE</v>
          </cell>
          <cell r="F1272" t="str">
            <v>D (MD)</v>
          </cell>
          <cell r="G1272">
            <v>335201</v>
          </cell>
          <cell r="H1272" t="str">
            <v>Mayday</v>
          </cell>
          <cell r="I1272">
            <v>0.3125</v>
          </cell>
          <cell r="J1272">
            <v>0.54166666666666663</v>
          </cell>
          <cell r="K1272">
            <v>5.5</v>
          </cell>
          <cell r="L1272">
            <v>177.59</v>
          </cell>
          <cell r="O1272" t="str">
            <v>Y</v>
          </cell>
          <cell r="P1272" t="str">
            <v>N</v>
          </cell>
          <cell r="Q1272" t="str">
            <v>Vacancy</v>
          </cell>
          <cell r="S1272">
            <v>0.15</v>
          </cell>
        </row>
        <row r="1273">
          <cell r="D1273">
            <v>1008001643</v>
          </cell>
          <cell r="E1273" t="str">
            <v>ELSIE CHIKUKWA</v>
          </cell>
          <cell r="F1273" t="str">
            <v>D (MD)</v>
          </cell>
          <cell r="G1273">
            <v>334439</v>
          </cell>
          <cell r="H1273" t="str">
            <v>Mayday</v>
          </cell>
          <cell r="I1273">
            <v>0.58333333333333337</v>
          </cell>
          <cell r="J1273">
            <v>0.83333333333333337</v>
          </cell>
          <cell r="K1273">
            <v>5.5</v>
          </cell>
          <cell r="L1273">
            <v>177.59</v>
          </cell>
          <cell r="O1273" t="str">
            <v>Y</v>
          </cell>
          <cell r="P1273" t="str">
            <v>N</v>
          </cell>
          <cell r="Q1273" t="str">
            <v>Split shift</v>
          </cell>
          <cell r="S1273">
            <v>0.15</v>
          </cell>
        </row>
        <row r="1274">
          <cell r="D1274">
            <v>1008000925</v>
          </cell>
          <cell r="E1274" t="str">
            <v>GLENDA RONA</v>
          </cell>
          <cell r="F1274" t="str">
            <v>D (Ch)</v>
          </cell>
          <cell r="G1274">
            <v>16942</v>
          </cell>
          <cell r="H1274" t="str">
            <v>Choice</v>
          </cell>
          <cell r="I1274">
            <v>6.25E-2</v>
          </cell>
          <cell r="J1274">
            <v>0.33333333333333331</v>
          </cell>
          <cell r="K1274">
            <v>6.1666666666666696</v>
          </cell>
          <cell r="L1274">
            <v>195.37</v>
          </cell>
          <cell r="O1274" t="str">
            <v>Y</v>
          </cell>
          <cell r="P1274" t="str">
            <v>N</v>
          </cell>
          <cell r="Q1274" t="str">
            <v>Vacancy</v>
          </cell>
          <cell r="S1274">
            <v>0.16</v>
          </cell>
        </row>
        <row r="1275">
          <cell r="D1275">
            <v>908006272</v>
          </cell>
          <cell r="E1275" t="str">
            <v>GRACE CHIKWAVA</v>
          </cell>
          <cell r="F1275" t="str">
            <v>D (Ch)</v>
          </cell>
          <cell r="G1275">
            <v>16862</v>
          </cell>
          <cell r="H1275" t="str">
            <v>Choice</v>
          </cell>
          <cell r="I1275">
            <v>0.3125</v>
          </cell>
          <cell r="J1275">
            <v>0.89583333333333337</v>
          </cell>
          <cell r="K1275">
            <v>13.3333333333333</v>
          </cell>
          <cell r="L1275">
            <v>324.93</v>
          </cell>
          <cell r="O1275" t="str">
            <v>Y</v>
          </cell>
          <cell r="P1275" t="str">
            <v>N</v>
          </cell>
          <cell r="Q1275" t="str">
            <v>Vacancy</v>
          </cell>
          <cell r="S1275">
            <v>0.36</v>
          </cell>
        </row>
        <row r="1276">
          <cell r="D1276">
            <v>1008001754</v>
          </cell>
          <cell r="E1276" t="str">
            <v>HILDA SHANGE</v>
          </cell>
          <cell r="F1276" t="str">
            <v>D (Ch)</v>
          </cell>
          <cell r="G1276">
            <v>16938</v>
          </cell>
          <cell r="H1276" t="str">
            <v>Choice</v>
          </cell>
          <cell r="I1276">
            <v>0.83333333333333337</v>
          </cell>
          <cell r="J1276">
            <v>0.33333333333333331</v>
          </cell>
          <cell r="K1276">
            <v>11.3333333333333</v>
          </cell>
          <cell r="L1276">
            <v>359.05</v>
          </cell>
          <cell r="O1276" t="str">
            <v>Y</v>
          </cell>
          <cell r="P1276" t="str">
            <v>N</v>
          </cell>
          <cell r="Q1276" t="str">
            <v>Vacancy</v>
          </cell>
          <cell r="S1276">
            <v>0.3</v>
          </cell>
        </row>
        <row r="1277">
          <cell r="D1277">
            <v>908003779</v>
          </cell>
          <cell r="E1277" t="str">
            <v>JAKE BROOKES</v>
          </cell>
          <cell r="F1277" t="str">
            <v>D General (Orio</v>
          </cell>
          <cell r="G1277" t="str">
            <v>Invsd Smt checked</v>
          </cell>
          <cell r="H1277" t="str">
            <v>Orion</v>
          </cell>
          <cell r="I1277">
            <v>0.33333333333333331</v>
          </cell>
          <cell r="J1277">
            <v>0.75</v>
          </cell>
          <cell r="K1277">
            <v>9.5</v>
          </cell>
          <cell r="L1277">
            <v>172.14</v>
          </cell>
          <cell r="O1277" t="str">
            <v>Y</v>
          </cell>
          <cell r="P1277" t="str">
            <v>N</v>
          </cell>
          <cell r="Q1277" t="str">
            <v>Vacancy</v>
          </cell>
          <cell r="S1277">
            <v>0.25</v>
          </cell>
        </row>
        <row r="1278">
          <cell r="D1278">
            <v>908005542</v>
          </cell>
          <cell r="E1278" t="str">
            <v>JAMES MCCLEMENTS</v>
          </cell>
          <cell r="F1278" t="str">
            <v>D (MD)</v>
          </cell>
          <cell r="G1278">
            <v>335203</v>
          </cell>
          <cell r="H1278" t="str">
            <v>Mayday</v>
          </cell>
          <cell r="I1278">
            <v>0.83333333333333337</v>
          </cell>
          <cell r="J1278">
            <v>0.33333333333333331</v>
          </cell>
          <cell r="K1278">
            <v>11.3333333333333</v>
          </cell>
          <cell r="L1278">
            <v>475.74</v>
          </cell>
          <cell r="O1278" t="str">
            <v>Y</v>
          </cell>
          <cell r="P1278" t="str">
            <v>N</v>
          </cell>
          <cell r="Q1278" t="str">
            <v>Extra Capacity</v>
          </cell>
          <cell r="S1278">
            <v>0.3</v>
          </cell>
        </row>
        <row r="1279">
          <cell r="D1279">
            <v>1008000456</v>
          </cell>
          <cell r="E1279" t="str">
            <v>JASMINE ESGUERRA</v>
          </cell>
          <cell r="F1279" t="str">
            <v>D (Ch)</v>
          </cell>
          <cell r="G1279">
            <v>16859</v>
          </cell>
          <cell r="H1279" t="str">
            <v>Choice</v>
          </cell>
          <cell r="I1279">
            <v>0.88541666666666663</v>
          </cell>
          <cell r="J1279">
            <v>0.30208333333333331</v>
          </cell>
          <cell r="K1279">
            <v>9</v>
          </cell>
          <cell r="L1279">
            <v>285.13</v>
          </cell>
          <cell r="O1279" t="str">
            <v>Y</v>
          </cell>
          <cell r="P1279" t="str">
            <v>N</v>
          </cell>
          <cell r="Q1279" t="str">
            <v>Vacancy</v>
          </cell>
          <cell r="S1279">
            <v>0.24</v>
          </cell>
        </row>
        <row r="1280">
          <cell r="D1280">
            <v>1008000995</v>
          </cell>
          <cell r="E1280" t="str">
            <v>JOANNE BUSS</v>
          </cell>
          <cell r="F1280" t="str">
            <v>D (MD)</v>
          </cell>
          <cell r="H1280" t="str">
            <v>Mayday</v>
          </cell>
          <cell r="I1280">
            <v>0.3125</v>
          </cell>
          <cell r="J1280">
            <v>0.54166666666666663</v>
          </cell>
          <cell r="K1280">
            <v>5.5</v>
          </cell>
          <cell r="L1280">
            <v>177.59</v>
          </cell>
          <cell r="O1280" t="str">
            <v>Y</v>
          </cell>
          <cell r="P1280" t="str">
            <v>N</v>
          </cell>
          <cell r="Q1280" t="str">
            <v>Short Term Sick</v>
          </cell>
          <cell r="S1280">
            <v>0.15</v>
          </cell>
        </row>
        <row r="1281">
          <cell r="D1281">
            <v>1008000115</v>
          </cell>
          <cell r="E1281" t="str">
            <v>KAREN VAUGHAN</v>
          </cell>
          <cell r="F1281" t="str">
            <v>D General (Orio</v>
          </cell>
          <cell r="G1281" t="str">
            <v>Invsd Smt checked</v>
          </cell>
          <cell r="H1281" t="str">
            <v>Orion</v>
          </cell>
          <cell r="I1281">
            <v>0.33333333333333331</v>
          </cell>
          <cell r="J1281">
            <v>0.75</v>
          </cell>
          <cell r="K1281">
            <v>9.5</v>
          </cell>
          <cell r="L1281">
            <v>172.14</v>
          </cell>
          <cell r="O1281" t="str">
            <v>Y</v>
          </cell>
          <cell r="P1281" t="str">
            <v>N</v>
          </cell>
          <cell r="Q1281" t="str">
            <v>Vacancy</v>
          </cell>
          <cell r="S1281">
            <v>0.25</v>
          </cell>
        </row>
        <row r="1282">
          <cell r="D1282">
            <v>808004195</v>
          </cell>
          <cell r="E1282" t="str">
            <v>KATIE KEAVENEY</v>
          </cell>
          <cell r="F1282" t="str">
            <v>D (MD)</v>
          </cell>
          <cell r="G1282">
            <v>334306</v>
          </cell>
          <cell r="H1282" t="str">
            <v>Mayday</v>
          </cell>
          <cell r="I1282">
            <v>0.3125</v>
          </cell>
          <cell r="J1282">
            <v>0.64583333333333337</v>
          </cell>
          <cell r="K1282">
            <v>7.6666666666666696</v>
          </cell>
          <cell r="L1282">
            <v>247.56</v>
          </cell>
          <cell r="O1282" t="str">
            <v>Y</v>
          </cell>
          <cell r="P1282" t="str">
            <v>N</v>
          </cell>
          <cell r="Q1282" t="str">
            <v>Extra Capacity</v>
          </cell>
          <cell r="S1282">
            <v>0.2</v>
          </cell>
        </row>
        <row r="1283">
          <cell r="D1283">
            <v>1008001755</v>
          </cell>
          <cell r="E1283" t="str">
            <v>RODA RAMERIZ</v>
          </cell>
          <cell r="F1283" t="str">
            <v>D (Ch)</v>
          </cell>
          <cell r="G1283">
            <v>16860</v>
          </cell>
          <cell r="H1283" t="str">
            <v>Choice</v>
          </cell>
          <cell r="I1283">
            <v>0.83333333333333337</v>
          </cell>
          <cell r="J1283">
            <v>0.33333333333333331</v>
          </cell>
          <cell r="K1283">
            <v>11.3333333333333</v>
          </cell>
          <cell r="L1283">
            <v>359.05</v>
          </cell>
          <cell r="O1283" t="str">
            <v>Y</v>
          </cell>
          <cell r="P1283" t="str">
            <v>N</v>
          </cell>
          <cell r="Q1283" t="str">
            <v>Vacancy</v>
          </cell>
          <cell r="S1283">
            <v>0.3</v>
          </cell>
        </row>
        <row r="1284">
          <cell r="D1284">
            <v>908005540</v>
          </cell>
          <cell r="E1284" t="str">
            <v>ROHEYATOU NDOW-NJIE</v>
          </cell>
          <cell r="F1284" t="str">
            <v>D (Ch)</v>
          </cell>
          <cell r="G1284">
            <v>17233</v>
          </cell>
          <cell r="H1284" t="str">
            <v>Choice</v>
          </cell>
          <cell r="I1284">
            <v>0.3125</v>
          </cell>
          <cell r="J1284">
            <v>0.54166666666666663</v>
          </cell>
          <cell r="K1284">
            <v>5.5</v>
          </cell>
          <cell r="L1284">
            <v>134.03</v>
          </cell>
          <cell r="O1284" t="str">
            <v>Y</v>
          </cell>
          <cell r="P1284" t="str">
            <v>N</v>
          </cell>
          <cell r="Q1284" t="str">
            <v>Extra Capacity</v>
          </cell>
          <cell r="S1284">
            <v>0.15</v>
          </cell>
        </row>
        <row r="1285">
          <cell r="D1285">
            <v>908006845</v>
          </cell>
          <cell r="E1285" t="str">
            <v>ROHEYATOU NDOW-NJIE</v>
          </cell>
          <cell r="F1285" t="str">
            <v>D (Ch)</v>
          </cell>
          <cell r="G1285">
            <v>17235</v>
          </cell>
          <cell r="H1285" t="str">
            <v>Choice</v>
          </cell>
          <cell r="I1285">
            <v>0.5625</v>
          </cell>
          <cell r="J1285">
            <v>0.89583333333333337</v>
          </cell>
          <cell r="K1285">
            <v>7.6666666666666696</v>
          </cell>
          <cell r="L1285">
            <v>186.84</v>
          </cell>
          <cell r="O1285" t="str">
            <v>Y</v>
          </cell>
          <cell r="P1285" t="str">
            <v>N</v>
          </cell>
          <cell r="Q1285" t="str">
            <v>Under Established</v>
          </cell>
          <cell r="S1285">
            <v>0.2</v>
          </cell>
        </row>
        <row r="1286">
          <cell r="D1286">
            <v>808004174</v>
          </cell>
          <cell r="E1286" t="str">
            <v>TEMBE NGIDI</v>
          </cell>
          <cell r="F1286" t="str">
            <v>D (MD)</v>
          </cell>
          <cell r="G1286">
            <v>334361</v>
          </cell>
          <cell r="H1286" t="str">
            <v>Mayday</v>
          </cell>
          <cell r="I1286">
            <v>0.83333333333333337</v>
          </cell>
          <cell r="J1286">
            <v>0.33333333333333331</v>
          </cell>
          <cell r="K1286">
            <v>11.3333333333333</v>
          </cell>
          <cell r="L1286">
            <v>475.74</v>
          </cell>
          <cell r="O1286" t="str">
            <v>Y</v>
          </cell>
          <cell r="P1286" t="str">
            <v>N</v>
          </cell>
          <cell r="Q1286" t="str">
            <v>Extra Capacity</v>
          </cell>
          <cell r="S1286">
            <v>0.3</v>
          </cell>
        </row>
        <row r="1287">
          <cell r="D1287">
            <v>1008000116</v>
          </cell>
          <cell r="E1287" t="str">
            <v>TOM OSBOURNE</v>
          </cell>
          <cell r="F1287" t="str">
            <v>D General (Orio</v>
          </cell>
          <cell r="G1287" t="str">
            <v>Invsd Smt checked</v>
          </cell>
          <cell r="H1287" t="str">
            <v>Orion</v>
          </cell>
          <cell r="I1287">
            <v>0.33333333333333331</v>
          </cell>
          <cell r="J1287">
            <v>0.75</v>
          </cell>
          <cell r="K1287">
            <v>9.5</v>
          </cell>
          <cell r="L1287">
            <v>172.14</v>
          </cell>
          <cell r="O1287" t="str">
            <v>Y</v>
          </cell>
          <cell r="P1287" t="str">
            <v>N</v>
          </cell>
          <cell r="Q1287" t="str">
            <v>Vacancy</v>
          </cell>
          <cell r="S1287">
            <v>0.25</v>
          </cell>
        </row>
        <row r="1288">
          <cell r="D1288">
            <v>908005784</v>
          </cell>
          <cell r="E1288" t="str">
            <v>VAL ZUNGA</v>
          </cell>
          <cell r="F1288" t="str">
            <v>D (Ch)</v>
          </cell>
          <cell r="H1288" t="str">
            <v>Choice</v>
          </cell>
          <cell r="I1288">
            <v>0.83333333333333337</v>
          </cell>
          <cell r="J1288">
            <v>0.33333333333333331</v>
          </cell>
          <cell r="K1288">
            <v>11.3333333333333</v>
          </cell>
          <cell r="L1288">
            <v>359.05</v>
          </cell>
          <cell r="O1288" t="str">
            <v>Y</v>
          </cell>
          <cell r="P1288" t="str">
            <v>N</v>
          </cell>
          <cell r="Q1288" t="str">
            <v>Acuity</v>
          </cell>
          <cell r="S1288">
            <v>0.3</v>
          </cell>
        </row>
        <row r="1289">
          <cell r="D1289">
            <v>1008001639</v>
          </cell>
          <cell r="E1289" t="str">
            <v>ALBERTINA GABSHE</v>
          </cell>
          <cell r="F1289" t="str">
            <v>D (MD)</v>
          </cell>
          <cell r="G1289">
            <v>334368</v>
          </cell>
          <cell r="H1289" t="str">
            <v>Mayday</v>
          </cell>
          <cell r="I1289">
            <v>0.625</v>
          </cell>
          <cell r="J1289">
            <v>0.875</v>
          </cell>
          <cell r="K1289">
            <v>5.6666666666666696</v>
          </cell>
          <cell r="L1289">
            <v>182.98</v>
          </cell>
          <cell r="O1289" t="str">
            <v>Y</v>
          </cell>
          <cell r="P1289" t="str">
            <v>N</v>
          </cell>
          <cell r="Q1289" t="str">
            <v>Vacancy</v>
          </cell>
          <cell r="S1289">
            <v>0.15</v>
          </cell>
        </row>
        <row r="1290">
          <cell r="D1290">
            <v>908006850</v>
          </cell>
          <cell r="E1290" t="str">
            <v>ALEX TYLER</v>
          </cell>
          <cell r="F1290" t="str">
            <v>A/2 (PS)</v>
          </cell>
          <cell r="H1290" t="str">
            <v>Pinnacle Staffing</v>
          </cell>
          <cell r="I1290">
            <v>0.5625</v>
          </cell>
          <cell r="J1290">
            <v>0.89583333333333337</v>
          </cell>
          <cell r="K1290">
            <v>7.6666666666666696</v>
          </cell>
          <cell r="L1290">
            <v>71.91</v>
          </cell>
          <cell r="O1290" t="str">
            <v>Y</v>
          </cell>
          <cell r="P1290" t="str">
            <v>N</v>
          </cell>
          <cell r="Q1290" t="str">
            <v>Transfer</v>
          </cell>
          <cell r="S1290">
            <v>0.2</v>
          </cell>
        </row>
        <row r="1291">
          <cell r="D1291">
            <v>908002653</v>
          </cell>
          <cell r="E1291" t="str">
            <v>ANNA BONNERUP</v>
          </cell>
          <cell r="F1291" t="str">
            <v>D / 5 General (</v>
          </cell>
          <cell r="G1291" t="str">
            <v>604-152588</v>
          </cell>
          <cell r="H1291" t="str">
            <v>Blue Arrow</v>
          </cell>
          <cell r="I1291">
            <v>0.3125</v>
          </cell>
          <cell r="J1291">
            <v>0.54166666666666663</v>
          </cell>
          <cell r="K1291">
            <v>5.5</v>
          </cell>
          <cell r="L1291">
            <v>92.84</v>
          </cell>
          <cell r="O1291" t="str">
            <v>Y</v>
          </cell>
          <cell r="P1291" t="str">
            <v>N</v>
          </cell>
          <cell r="Q1291" t="str">
            <v>Vacancy</v>
          </cell>
          <cell r="S1291">
            <v>0.15</v>
          </cell>
        </row>
        <row r="1292">
          <cell r="D1292">
            <v>908004382</v>
          </cell>
          <cell r="E1292" t="str">
            <v>ANNA BONNERUP</v>
          </cell>
          <cell r="F1292" t="str">
            <v>D / 5 General (</v>
          </cell>
          <cell r="G1292" t="str">
            <v>604-152588</v>
          </cell>
          <cell r="H1292" t="str">
            <v>Blue Arrow</v>
          </cell>
          <cell r="I1292">
            <v>0.625</v>
          </cell>
          <cell r="J1292">
            <v>0.85416666666666663</v>
          </cell>
          <cell r="K1292">
            <v>5.5</v>
          </cell>
          <cell r="L1292">
            <v>92.84</v>
          </cell>
          <cell r="O1292" t="str">
            <v>Y</v>
          </cell>
          <cell r="P1292" t="str">
            <v>N</v>
          </cell>
          <cell r="Q1292" t="str">
            <v>Vacancy</v>
          </cell>
          <cell r="S1292">
            <v>0.15</v>
          </cell>
        </row>
        <row r="1293">
          <cell r="D1293">
            <v>808004238</v>
          </cell>
          <cell r="E1293" t="str">
            <v>BEAUTY NGIDI</v>
          </cell>
          <cell r="F1293" t="str">
            <v>D (MD)</v>
          </cell>
          <cell r="G1293">
            <v>333844</v>
          </cell>
          <cell r="H1293" t="str">
            <v>Mayday</v>
          </cell>
          <cell r="I1293">
            <v>0.83333333333333337</v>
          </cell>
          <cell r="J1293">
            <v>0.33333333333333331</v>
          </cell>
          <cell r="K1293">
            <v>11.3333333333333</v>
          </cell>
          <cell r="L1293">
            <v>475.74</v>
          </cell>
          <cell r="O1293" t="str">
            <v>Y</v>
          </cell>
          <cell r="P1293" t="str">
            <v>N</v>
          </cell>
          <cell r="Q1293" t="str">
            <v>Extra Capacity</v>
          </cell>
          <cell r="S1293">
            <v>0.3</v>
          </cell>
        </row>
        <row r="1294">
          <cell r="D1294">
            <v>808004203</v>
          </cell>
          <cell r="E1294" t="str">
            <v>BRIGHTNESS NDEBELE</v>
          </cell>
          <cell r="F1294" t="str">
            <v>D (MD)</v>
          </cell>
          <cell r="G1294">
            <v>334345</v>
          </cell>
          <cell r="H1294" t="str">
            <v>Mayday</v>
          </cell>
          <cell r="I1294">
            <v>0.3125</v>
          </cell>
          <cell r="J1294">
            <v>0.64583333333333337</v>
          </cell>
          <cell r="K1294">
            <v>7.6666666666666696</v>
          </cell>
          <cell r="L1294">
            <v>247.56</v>
          </cell>
          <cell r="O1294" t="str">
            <v>Y</v>
          </cell>
          <cell r="P1294" t="str">
            <v>N</v>
          </cell>
          <cell r="Q1294" t="str">
            <v>Extra Capacity</v>
          </cell>
          <cell r="S1294">
            <v>0.2</v>
          </cell>
        </row>
        <row r="1295">
          <cell r="D1295">
            <v>808004224</v>
          </cell>
          <cell r="E1295" t="str">
            <v>BRIGHTNESS NDEBELE</v>
          </cell>
          <cell r="F1295" t="str">
            <v>D (MD)</v>
          </cell>
          <cell r="G1295">
            <v>334345</v>
          </cell>
          <cell r="H1295" t="str">
            <v>Mayday</v>
          </cell>
          <cell r="I1295">
            <v>0.64583333333333337</v>
          </cell>
          <cell r="J1295">
            <v>0.85416666666666663</v>
          </cell>
          <cell r="K1295">
            <v>5</v>
          </cell>
          <cell r="L1295">
            <v>161.44999999999999</v>
          </cell>
          <cell r="O1295" t="str">
            <v>Y</v>
          </cell>
          <cell r="P1295" t="str">
            <v>N</v>
          </cell>
          <cell r="Q1295" t="str">
            <v>Extra Capacity</v>
          </cell>
          <cell r="S1295">
            <v>0.13</v>
          </cell>
        </row>
        <row r="1296">
          <cell r="D1296">
            <v>1008000365</v>
          </cell>
          <cell r="E1296" t="str">
            <v>COLLEN SIBANDA</v>
          </cell>
          <cell r="F1296" t="str">
            <v>D (Ch)</v>
          </cell>
          <cell r="G1296">
            <v>16880</v>
          </cell>
          <cell r="H1296" t="str">
            <v>Choice</v>
          </cell>
          <cell r="I1296">
            <v>0.5625</v>
          </cell>
          <cell r="J1296">
            <v>0.89583333333333337</v>
          </cell>
          <cell r="K1296">
            <v>7.5</v>
          </cell>
          <cell r="L1296">
            <v>182.78</v>
          </cell>
          <cell r="O1296" t="str">
            <v>Y</v>
          </cell>
          <cell r="P1296" t="str">
            <v>N</v>
          </cell>
          <cell r="Q1296" t="str">
            <v>Extra Capacity</v>
          </cell>
          <cell r="S1296">
            <v>0.2</v>
          </cell>
        </row>
        <row r="1297">
          <cell r="D1297">
            <v>1008001905</v>
          </cell>
          <cell r="E1297" t="str">
            <v>CYNTHIA DELMO</v>
          </cell>
          <cell r="F1297" t="str">
            <v>D (Ch)</v>
          </cell>
          <cell r="G1297">
            <v>16873</v>
          </cell>
          <cell r="H1297" t="str">
            <v>Choice</v>
          </cell>
          <cell r="I1297">
            <v>0.84375</v>
          </cell>
          <cell r="J1297">
            <v>0.32291666666666669</v>
          </cell>
          <cell r="K1297">
            <v>10.5</v>
          </cell>
          <cell r="L1297">
            <v>332.65</v>
          </cell>
          <cell r="O1297" t="str">
            <v>Y</v>
          </cell>
          <cell r="P1297" t="str">
            <v>N</v>
          </cell>
          <cell r="Q1297" t="str">
            <v>Short Term Sick</v>
          </cell>
          <cell r="S1297">
            <v>0.28000000000000003</v>
          </cell>
        </row>
        <row r="1298">
          <cell r="D1298">
            <v>908000202</v>
          </cell>
          <cell r="E1298" t="str">
            <v>DIGRACIA  NAPE</v>
          </cell>
          <cell r="F1298" t="str">
            <v>D (MD)</v>
          </cell>
          <cell r="G1298">
            <v>335200</v>
          </cell>
          <cell r="H1298" t="str">
            <v>Mayday</v>
          </cell>
          <cell r="I1298">
            <v>0.5625</v>
          </cell>
          <cell r="J1298">
            <v>0.875</v>
          </cell>
          <cell r="K1298">
            <v>7.1666666666666696</v>
          </cell>
          <cell r="L1298">
            <v>231.41</v>
          </cell>
          <cell r="O1298" t="str">
            <v>Y</v>
          </cell>
          <cell r="P1298" t="str">
            <v>N</v>
          </cell>
          <cell r="Q1298" t="str">
            <v>Annual Leave</v>
          </cell>
          <cell r="S1298">
            <v>0.19</v>
          </cell>
        </row>
        <row r="1299">
          <cell r="D1299">
            <v>808004154</v>
          </cell>
          <cell r="E1299" t="str">
            <v>EMMA FLIT-ELY</v>
          </cell>
          <cell r="F1299" t="str">
            <v>D (Ch)</v>
          </cell>
          <cell r="G1299">
            <v>16871</v>
          </cell>
          <cell r="H1299" t="str">
            <v>Choice</v>
          </cell>
          <cell r="I1299">
            <v>0.52083333333333337</v>
          </cell>
          <cell r="J1299">
            <v>0.85416666666666663</v>
          </cell>
          <cell r="K1299">
            <v>7.6666666666666696</v>
          </cell>
          <cell r="L1299">
            <v>186.84</v>
          </cell>
          <cell r="O1299" t="str">
            <v>Y</v>
          </cell>
          <cell r="P1299" t="str">
            <v>N</v>
          </cell>
          <cell r="Q1299" t="str">
            <v>Extra Capacity</v>
          </cell>
          <cell r="S1299">
            <v>0.2</v>
          </cell>
        </row>
        <row r="1300">
          <cell r="D1300">
            <v>908005544</v>
          </cell>
          <cell r="E1300" t="str">
            <v>EVELYN PANESA</v>
          </cell>
          <cell r="F1300" t="str">
            <v>D (Ch)</v>
          </cell>
          <cell r="H1300" t="str">
            <v>Choice</v>
          </cell>
          <cell r="I1300">
            <v>0.3125</v>
          </cell>
          <cell r="J1300">
            <v>0.54166666666666663</v>
          </cell>
          <cell r="K1300">
            <v>5.5</v>
          </cell>
          <cell r="L1300">
            <v>134.03</v>
          </cell>
          <cell r="O1300" t="str">
            <v>Y</v>
          </cell>
          <cell r="P1300" t="str">
            <v>N</v>
          </cell>
          <cell r="Q1300" t="str">
            <v>Extra Capacity</v>
          </cell>
          <cell r="S1300">
            <v>0.15</v>
          </cell>
        </row>
        <row r="1301">
          <cell r="D1301">
            <v>1008002117</v>
          </cell>
          <cell r="E1301" t="str">
            <v>FATIMA UMARU</v>
          </cell>
          <cell r="F1301" t="str">
            <v>D (MD)</v>
          </cell>
          <cell r="G1301">
            <v>333849</v>
          </cell>
          <cell r="H1301" t="str">
            <v>Mayday</v>
          </cell>
          <cell r="I1301">
            <v>0.84375</v>
          </cell>
          <cell r="J1301">
            <v>0.33333333333333331</v>
          </cell>
          <cell r="K1301">
            <v>10.75</v>
          </cell>
          <cell r="L1301">
            <v>451.25</v>
          </cell>
          <cell r="O1301" t="str">
            <v>Y</v>
          </cell>
          <cell r="P1301" t="str">
            <v>N</v>
          </cell>
          <cell r="Q1301" t="str">
            <v>Short Term Sick</v>
          </cell>
          <cell r="S1301">
            <v>0.28999999999999998</v>
          </cell>
        </row>
        <row r="1302">
          <cell r="D1302">
            <v>908006273</v>
          </cell>
          <cell r="E1302" t="str">
            <v>GRACE CHIKWAVA</v>
          </cell>
          <cell r="F1302" t="str">
            <v>D (Ch)</v>
          </cell>
          <cell r="G1302">
            <v>16862</v>
          </cell>
          <cell r="H1302" t="str">
            <v>Choice</v>
          </cell>
          <cell r="I1302">
            <v>0.3125</v>
          </cell>
          <cell r="J1302">
            <v>0.89583333333333337</v>
          </cell>
          <cell r="K1302">
            <v>13.3333333333333</v>
          </cell>
          <cell r="L1302">
            <v>324.93</v>
          </cell>
          <cell r="O1302" t="str">
            <v>Y</v>
          </cell>
          <cell r="P1302" t="str">
            <v>N</v>
          </cell>
          <cell r="Q1302" t="str">
            <v>Under Established</v>
          </cell>
          <cell r="S1302">
            <v>0.36</v>
          </cell>
        </row>
        <row r="1303">
          <cell r="D1303">
            <v>908005785</v>
          </cell>
          <cell r="E1303" t="str">
            <v>GRACE PANDARAOAM</v>
          </cell>
          <cell r="F1303" t="str">
            <v>D (Ch)</v>
          </cell>
          <cell r="H1303" t="str">
            <v>Choice</v>
          </cell>
          <cell r="I1303">
            <v>0.83333333333333337</v>
          </cell>
          <cell r="J1303">
            <v>0.33333333333333331</v>
          </cell>
          <cell r="K1303">
            <v>11.3333333333333</v>
          </cell>
          <cell r="L1303">
            <v>359.05</v>
          </cell>
          <cell r="O1303" t="str">
            <v>Y</v>
          </cell>
          <cell r="P1303" t="str">
            <v>N</v>
          </cell>
          <cell r="Q1303" t="str">
            <v>Acuity</v>
          </cell>
          <cell r="S1303">
            <v>0.3</v>
          </cell>
        </row>
        <row r="1304">
          <cell r="D1304">
            <v>908004819</v>
          </cell>
          <cell r="E1304" t="str">
            <v>HILDA SHANGE</v>
          </cell>
          <cell r="F1304" t="str">
            <v>D (Ch)</v>
          </cell>
          <cell r="G1304">
            <v>16938</v>
          </cell>
          <cell r="H1304" t="str">
            <v>Choice</v>
          </cell>
          <cell r="I1304">
            <v>0.82291666666666663</v>
          </cell>
          <cell r="J1304">
            <v>0.34375</v>
          </cell>
          <cell r="K1304">
            <v>11.5</v>
          </cell>
          <cell r="L1304">
            <v>364.33</v>
          </cell>
          <cell r="O1304" t="str">
            <v>Y</v>
          </cell>
          <cell r="P1304" t="str">
            <v>N</v>
          </cell>
          <cell r="Q1304" t="str">
            <v>Maternity Leave</v>
          </cell>
          <cell r="S1304">
            <v>0.31</v>
          </cell>
        </row>
        <row r="1305">
          <cell r="D1305">
            <v>1008000874</v>
          </cell>
          <cell r="E1305" t="str">
            <v>JAKE BROOKES</v>
          </cell>
          <cell r="F1305" t="str">
            <v>D General (Orio</v>
          </cell>
          <cell r="G1305" t="str">
            <v>Invsd Smt checked</v>
          </cell>
          <cell r="H1305" t="str">
            <v>Orion</v>
          </cell>
          <cell r="I1305">
            <v>0.33333333333333331</v>
          </cell>
          <cell r="J1305">
            <v>0.75</v>
          </cell>
          <cell r="K1305">
            <v>9.6666666666666696</v>
          </cell>
          <cell r="L1305">
            <v>175.16</v>
          </cell>
          <cell r="O1305" t="str">
            <v>Y</v>
          </cell>
          <cell r="P1305" t="str">
            <v>N</v>
          </cell>
          <cell r="Q1305" t="str">
            <v>Extra Capacity</v>
          </cell>
          <cell r="S1305">
            <v>0.26</v>
          </cell>
        </row>
        <row r="1306">
          <cell r="D1306">
            <v>1008001904</v>
          </cell>
          <cell r="E1306" t="str">
            <v>JASMINE ESGUERRA</v>
          </cell>
          <cell r="F1306" t="str">
            <v>D (Ch)</v>
          </cell>
          <cell r="G1306">
            <v>16873</v>
          </cell>
          <cell r="H1306" t="str">
            <v>Choice</v>
          </cell>
          <cell r="I1306">
            <v>0.84375</v>
          </cell>
          <cell r="J1306">
            <v>0.32291666666666669</v>
          </cell>
          <cell r="K1306">
            <v>10.5</v>
          </cell>
          <cell r="L1306">
            <v>332.65</v>
          </cell>
          <cell r="O1306" t="str">
            <v>Y</v>
          </cell>
          <cell r="P1306" t="str">
            <v>N</v>
          </cell>
          <cell r="Q1306" t="str">
            <v>Short Term Sick</v>
          </cell>
          <cell r="S1306">
            <v>0.28000000000000003</v>
          </cell>
        </row>
        <row r="1307">
          <cell r="D1307">
            <v>808004196</v>
          </cell>
          <cell r="E1307" t="str">
            <v>JEAN NGONA</v>
          </cell>
          <cell r="F1307" t="str">
            <v>D (MD)</v>
          </cell>
          <cell r="G1307">
            <v>336607</v>
          </cell>
          <cell r="H1307" t="str">
            <v>Mayday</v>
          </cell>
          <cell r="I1307">
            <v>0.3125</v>
          </cell>
          <cell r="J1307">
            <v>0.52083333333333337</v>
          </cell>
          <cell r="K1307">
            <v>5</v>
          </cell>
          <cell r="L1307">
            <v>161.44999999999999</v>
          </cell>
          <cell r="O1307" t="str">
            <v>Y</v>
          </cell>
          <cell r="P1307" t="str">
            <v>N</v>
          </cell>
          <cell r="Q1307" t="str">
            <v>Extra Capacity</v>
          </cell>
          <cell r="S1307">
            <v>0.13</v>
          </cell>
        </row>
        <row r="1308">
          <cell r="D1308">
            <v>908006482</v>
          </cell>
          <cell r="E1308" t="str">
            <v>JEAN NGONA</v>
          </cell>
          <cell r="F1308" t="str">
            <v>D (MD)</v>
          </cell>
          <cell r="G1308">
            <v>336607</v>
          </cell>
          <cell r="H1308" t="str">
            <v>Mayday</v>
          </cell>
          <cell r="I1308">
            <v>0.625</v>
          </cell>
          <cell r="J1308">
            <v>0.85416666666666663</v>
          </cell>
          <cell r="K1308">
            <v>5.5</v>
          </cell>
          <cell r="L1308">
            <v>177.59</v>
          </cell>
          <cell r="O1308" t="str">
            <v>Y</v>
          </cell>
          <cell r="P1308" t="str">
            <v>N</v>
          </cell>
          <cell r="Q1308" t="str">
            <v>Vacancy</v>
          </cell>
          <cell r="S1308">
            <v>0.15</v>
          </cell>
        </row>
        <row r="1309">
          <cell r="D1309">
            <v>908004140</v>
          </cell>
          <cell r="E1309" t="str">
            <v>JOANNE BUSS</v>
          </cell>
          <cell r="F1309" t="str">
            <v>D (MD)</v>
          </cell>
          <cell r="G1309">
            <v>334365</v>
          </cell>
          <cell r="H1309" t="str">
            <v>Mayday</v>
          </cell>
          <cell r="I1309">
            <v>0.60416666666666663</v>
          </cell>
          <cell r="J1309">
            <v>0.8125</v>
          </cell>
          <cell r="K1309">
            <v>5</v>
          </cell>
          <cell r="L1309">
            <v>161.44999999999999</v>
          </cell>
          <cell r="O1309" t="str">
            <v>Y</v>
          </cell>
          <cell r="P1309" t="str">
            <v>N</v>
          </cell>
          <cell r="Q1309" t="str">
            <v>Vacancy</v>
          </cell>
          <cell r="S1309">
            <v>0.13</v>
          </cell>
        </row>
        <row r="1310">
          <cell r="D1310">
            <v>1008002201</v>
          </cell>
          <cell r="E1310" t="str">
            <v>JOSEPH BASS</v>
          </cell>
          <cell r="F1310" t="str">
            <v>D (MD)</v>
          </cell>
          <cell r="H1310" t="str">
            <v>Mayday</v>
          </cell>
          <cell r="I1310">
            <v>0.8125</v>
          </cell>
          <cell r="J1310">
            <v>0.33333333333333331</v>
          </cell>
          <cell r="K1310">
            <v>11.5</v>
          </cell>
          <cell r="L1310">
            <v>482.74</v>
          </cell>
          <cell r="O1310" t="str">
            <v>Y</v>
          </cell>
          <cell r="P1310" t="str">
            <v>N</v>
          </cell>
          <cell r="Q1310" t="str">
            <v>Nurse Moved</v>
          </cell>
          <cell r="S1310">
            <v>0.31</v>
          </cell>
        </row>
        <row r="1311">
          <cell r="D1311">
            <v>1008002085</v>
          </cell>
          <cell r="E1311" t="str">
            <v>JOY MABITLE</v>
          </cell>
          <cell r="F1311" t="str">
            <v>D (MD)</v>
          </cell>
          <cell r="G1311">
            <v>348355</v>
          </cell>
          <cell r="H1311" t="str">
            <v>Mayday</v>
          </cell>
          <cell r="I1311">
            <v>0.8125</v>
          </cell>
          <cell r="J1311">
            <v>0.33333333333333331</v>
          </cell>
          <cell r="K1311">
            <v>11.8333333333333</v>
          </cell>
          <cell r="L1311">
            <v>496.73</v>
          </cell>
          <cell r="O1311" t="str">
            <v>Y</v>
          </cell>
          <cell r="P1311" t="str">
            <v>N</v>
          </cell>
          <cell r="Q1311" t="str">
            <v>Short Term Sick</v>
          </cell>
          <cell r="S1311">
            <v>0.32</v>
          </cell>
        </row>
        <row r="1312">
          <cell r="D1312">
            <v>1008000117</v>
          </cell>
          <cell r="E1312" t="str">
            <v>KAREN VAUGHAN</v>
          </cell>
          <cell r="F1312" t="str">
            <v>D General (Orio</v>
          </cell>
          <cell r="G1312" t="str">
            <v>Invsd Smt checked</v>
          </cell>
          <cell r="H1312" t="str">
            <v>Orion</v>
          </cell>
          <cell r="I1312">
            <v>0.33333333333333331</v>
          </cell>
          <cell r="J1312">
            <v>0.75</v>
          </cell>
          <cell r="K1312">
            <v>9.5</v>
          </cell>
          <cell r="L1312">
            <v>172.14</v>
          </cell>
          <cell r="O1312" t="str">
            <v>Y</v>
          </cell>
          <cell r="P1312" t="str">
            <v>N</v>
          </cell>
          <cell r="Q1312" t="str">
            <v>Vacancy</v>
          </cell>
          <cell r="S1312">
            <v>0.25</v>
          </cell>
        </row>
        <row r="1313">
          <cell r="D1313">
            <v>1008000547</v>
          </cell>
          <cell r="E1313" t="str">
            <v>KERRI GALLOWAY</v>
          </cell>
          <cell r="F1313" t="str">
            <v>D (MD)</v>
          </cell>
          <cell r="G1313">
            <v>334311</v>
          </cell>
          <cell r="H1313" t="str">
            <v>Mayday</v>
          </cell>
          <cell r="I1313">
            <v>0.3125</v>
          </cell>
          <cell r="J1313">
            <v>0.58333333333333337</v>
          </cell>
          <cell r="K1313">
            <v>6.1666666666666696</v>
          </cell>
          <cell r="L1313">
            <v>199.12</v>
          </cell>
          <cell r="O1313" t="str">
            <v>Y</v>
          </cell>
          <cell r="P1313" t="str">
            <v>N</v>
          </cell>
          <cell r="Q1313" t="str">
            <v>Vacancy</v>
          </cell>
          <cell r="S1313">
            <v>0.16</v>
          </cell>
        </row>
        <row r="1314">
          <cell r="D1314">
            <v>1008000548</v>
          </cell>
          <cell r="E1314" t="str">
            <v>KERRI GALLOWAY</v>
          </cell>
          <cell r="F1314" t="str">
            <v>D (MD)</v>
          </cell>
          <cell r="G1314">
            <v>334311</v>
          </cell>
          <cell r="H1314" t="str">
            <v>Mayday</v>
          </cell>
          <cell r="I1314">
            <v>0.625</v>
          </cell>
          <cell r="J1314">
            <v>0.85416666666666663</v>
          </cell>
          <cell r="K1314">
            <v>5.5</v>
          </cell>
          <cell r="L1314">
            <v>177.59</v>
          </cell>
          <cell r="O1314" t="str">
            <v>Y</v>
          </cell>
          <cell r="P1314" t="str">
            <v>N</v>
          </cell>
          <cell r="Q1314" t="str">
            <v>Vacancy</v>
          </cell>
          <cell r="S1314">
            <v>0.15</v>
          </cell>
        </row>
        <row r="1315">
          <cell r="D1315">
            <v>908005545</v>
          </cell>
          <cell r="E1315" t="str">
            <v>LOUISE SEYMOUR</v>
          </cell>
          <cell r="F1315" t="str">
            <v>D (MD)</v>
          </cell>
          <cell r="G1315">
            <v>333648</v>
          </cell>
          <cell r="H1315" t="str">
            <v>Mayday</v>
          </cell>
          <cell r="I1315">
            <v>0.3125</v>
          </cell>
          <cell r="J1315">
            <v>0.54166666666666663</v>
          </cell>
          <cell r="K1315">
            <v>5.5</v>
          </cell>
          <cell r="L1315">
            <v>177.59</v>
          </cell>
          <cell r="O1315" t="str">
            <v>Y</v>
          </cell>
          <cell r="P1315" t="str">
            <v>N</v>
          </cell>
          <cell r="Q1315" t="str">
            <v>Extra Capacity</v>
          </cell>
          <cell r="S1315">
            <v>0.15</v>
          </cell>
        </row>
        <row r="1316">
          <cell r="D1316">
            <v>908005546</v>
          </cell>
          <cell r="E1316" t="str">
            <v>LOUISE SEYMOUR</v>
          </cell>
          <cell r="F1316" t="str">
            <v>D (MD)</v>
          </cell>
          <cell r="G1316">
            <v>333648</v>
          </cell>
          <cell r="H1316" t="str">
            <v>Mayday</v>
          </cell>
          <cell r="I1316">
            <v>0.625</v>
          </cell>
          <cell r="J1316">
            <v>0.85416666666666663</v>
          </cell>
          <cell r="K1316">
            <v>5.5</v>
          </cell>
          <cell r="L1316">
            <v>177.59</v>
          </cell>
          <cell r="O1316" t="str">
            <v>Y</v>
          </cell>
          <cell r="P1316" t="str">
            <v>N</v>
          </cell>
          <cell r="Q1316" t="str">
            <v>Extra Capacity</v>
          </cell>
          <cell r="S1316">
            <v>0.15</v>
          </cell>
        </row>
        <row r="1317">
          <cell r="D1317">
            <v>908003705</v>
          </cell>
          <cell r="E1317" t="str">
            <v>MABEL MNISI</v>
          </cell>
          <cell r="F1317" t="str">
            <v>D (MD)</v>
          </cell>
          <cell r="G1317">
            <v>335209</v>
          </cell>
          <cell r="H1317" t="str">
            <v>Mayday</v>
          </cell>
          <cell r="I1317">
            <v>0.625</v>
          </cell>
          <cell r="J1317">
            <v>0.85416666666666663</v>
          </cell>
          <cell r="K1317">
            <v>5.5</v>
          </cell>
          <cell r="L1317">
            <v>177.59</v>
          </cell>
          <cell r="O1317" t="str">
            <v>Y</v>
          </cell>
          <cell r="P1317" t="str">
            <v>N</v>
          </cell>
          <cell r="Q1317" t="str">
            <v>Vacancy</v>
          </cell>
          <cell r="S1317">
            <v>0.15</v>
          </cell>
        </row>
        <row r="1318">
          <cell r="D1318">
            <v>908006090</v>
          </cell>
          <cell r="E1318" t="str">
            <v>MABEL MNISI</v>
          </cell>
          <cell r="F1318" t="str">
            <v>D (MD)</v>
          </cell>
          <cell r="G1318">
            <v>335209</v>
          </cell>
          <cell r="H1318" t="str">
            <v>Mayday</v>
          </cell>
          <cell r="I1318">
            <v>0.3125</v>
          </cell>
          <cell r="J1318">
            <v>0.54166666666666663</v>
          </cell>
          <cell r="K1318">
            <v>5.5</v>
          </cell>
          <cell r="L1318">
            <v>177.59</v>
          </cell>
          <cell r="O1318" t="str">
            <v>Y</v>
          </cell>
          <cell r="P1318" t="str">
            <v>N</v>
          </cell>
          <cell r="Q1318" t="str">
            <v>Short Term Sick</v>
          </cell>
          <cell r="S1318">
            <v>0.15</v>
          </cell>
        </row>
        <row r="1319">
          <cell r="D1319">
            <v>1008002111</v>
          </cell>
          <cell r="E1319" t="str">
            <v>MARK WOLFE</v>
          </cell>
          <cell r="F1319" t="str">
            <v>A/2 (PS)</v>
          </cell>
          <cell r="H1319" t="str">
            <v>Pinnacle Staffing</v>
          </cell>
          <cell r="I1319">
            <v>0.83333333333333337</v>
          </cell>
          <cell r="J1319">
            <v>0.33333333333333331</v>
          </cell>
          <cell r="K1319">
            <v>11.3333333333333</v>
          </cell>
          <cell r="L1319">
            <v>141.74</v>
          </cell>
          <cell r="O1319" t="str">
            <v>Y</v>
          </cell>
          <cell r="P1319" t="str">
            <v>N</v>
          </cell>
          <cell r="Q1319" t="str">
            <v>Short Term Sick</v>
          </cell>
          <cell r="S1319">
            <v>0.3</v>
          </cell>
        </row>
        <row r="1320">
          <cell r="D1320">
            <v>908004744</v>
          </cell>
          <cell r="E1320" t="str">
            <v>NOLIZWI MGANDELA</v>
          </cell>
          <cell r="F1320" t="str">
            <v>D (MD)</v>
          </cell>
          <cell r="G1320">
            <v>334310</v>
          </cell>
          <cell r="H1320" t="str">
            <v>Mayday</v>
          </cell>
          <cell r="I1320">
            <v>0.875</v>
          </cell>
          <cell r="J1320">
            <v>0.30208333333333331</v>
          </cell>
          <cell r="K1320">
            <v>9.9166666666666696</v>
          </cell>
          <cell r="L1320">
            <v>416.27</v>
          </cell>
          <cell r="O1320" t="str">
            <v>Y</v>
          </cell>
          <cell r="P1320" t="str">
            <v>N</v>
          </cell>
          <cell r="Q1320" t="str">
            <v>Vacancy</v>
          </cell>
          <cell r="S1320">
            <v>0.26</v>
          </cell>
        </row>
        <row r="1321">
          <cell r="D1321">
            <v>808004245</v>
          </cell>
          <cell r="E1321" t="str">
            <v>PAT DUBE</v>
          </cell>
          <cell r="F1321" t="str">
            <v>D (MD)</v>
          </cell>
          <cell r="G1321">
            <v>335619</v>
          </cell>
          <cell r="H1321" t="str">
            <v>Mayday</v>
          </cell>
          <cell r="I1321">
            <v>0.83333333333333337</v>
          </cell>
          <cell r="J1321">
            <v>0.33333333333333331</v>
          </cell>
          <cell r="K1321">
            <v>11.3333333333333</v>
          </cell>
          <cell r="L1321">
            <v>475.74</v>
          </cell>
          <cell r="O1321" t="str">
            <v>Y</v>
          </cell>
          <cell r="P1321" t="str">
            <v>N</v>
          </cell>
          <cell r="Q1321" t="str">
            <v>Extra Capacity</v>
          </cell>
          <cell r="S1321">
            <v>0.3</v>
          </cell>
        </row>
        <row r="1322">
          <cell r="D1322">
            <v>908006849</v>
          </cell>
          <cell r="E1322" t="str">
            <v>PEGGY MAPOGO</v>
          </cell>
          <cell r="F1322" t="str">
            <v>D (Ch)</v>
          </cell>
          <cell r="G1322">
            <v>16862</v>
          </cell>
          <cell r="H1322" t="str">
            <v>Choice</v>
          </cell>
          <cell r="I1322">
            <v>0.5625</v>
          </cell>
          <cell r="J1322">
            <v>0.89583333333333337</v>
          </cell>
          <cell r="K1322">
            <v>7.6666666666666696</v>
          </cell>
          <cell r="L1322">
            <v>186.84</v>
          </cell>
          <cell r="O1322" t="str">
            <v>Y</v>
          </cell>
          <cell r="P1322" t="str">
            <v>N</v>
          </cell>
          <cell r="Q1322" t="str">
            <v>Annual Leave</v>
          </cell>
          <cell r="S1322">
            <v>0.2</v>
          </cell>
        </row>
        <row r="1323">
          <cell r="D1323">
            <v>1008000228</v>
          </cell>
          <cell r="E1323" t="str">
            <v>RODA RAMERIZ</v>
          </cell>
          <cell r="F1323" t="str">
            <v>D (Ch)</v>
          </cell>
          <cell r="G1323">
            <v>16876</v>
          </cell>
          <cell r="H1323" t="str">
            <v>Choice</v>
          </cell>
          <cell r="I1323">
            <v>0.83333333333333337</v>
          </cell>
          <cell r="J1323">
            <v>0.33333333333333331</v>
          </cell>
          <cell r="K1323">
            <v>11.3333333333333</v>
          </cell>
          <cell r="L1323">
            <v>359.05</v>
          </cell>
          <cell r="O1323" t="str">
            <v>Y</v>
          </cell>
          <cell r="P1323" t="str">
            <v>N</v>
          </cell>
          <cell r="Q1323" t="str">
            <v>Under Established</v>
          </cell>
          <cell r="S1323">
            <v>0.3</v>
          </cell>
        </row>
        <row r="1324">
          <cell r="D1324">
            <v>808004175</v>
          </cell>
          <cell r="E1324" t="str">
            <v>TEMBE NGIDI</v>
          </cell>
          <cell r="F1324" t="str">
            <v>D (MD)</v>
          </cell>
          <cell r="G1324">
            <v>334360</v>
          </cell>
          <cell r="H1324" t="str">
            <v>Mayday</v>
          </cell>
          <cell r="I1324">
            <v>0.83333333333333337</v>
          </cell>
          <cell r="J1324">
            <v>0.33333333333333331</v>
          </cell>
          <cell r="K1324">
            <v>11.3333333333333</v>
          </cell>
          <cell r="L1324">
            <v>475.74</v>
          </cell>
          <cell r="O1324" t="str">
            <v>Y</v>
          </cell>
          <cell r="P1324" t="str">
            <v>N</v>
          </cell>
          <cell r="Q1324" t="str">
            <v>Extra Capacity</v>
          </cell>
          <cell r="S1324">
            <v>0.3</v>
          </cell>
        </row>
        <row r="1325">
          <cell r="D1325">
            <v>1008000118</v>
          </cell>
          <cell r="E1325" t="str">
            <v>TOM OSBOURNE</v>
          </cell>
          <cell r="F1325" t="str">
            <v>D General (Orio</v>
          </cell>
          <cell r="G1325" t="str">
            <v>Invsd Smt checked</v>
          </cell>
          <cell r="H1325" t="str">
            <v>Orion</v>
          </cell>
          <cell r="I1325">
            <v>0.33333333333333331</v>
          </cell>
          <cell r="J1325">
            <v>0.75</v>
          </cell>
          <cell r="K1325">
            <v>9.5</v>
          </cell>
          <cell r="L1325">
            <v>172.14</v>
          </cell>
          <cell r="O1325" t="str">
            <v>Y</v>
          </cell>
          <cell r="P1325" t="str">
            <v>N</v>
          </cell>
          <cell r="Q1325" t="str">
            <v>Vacancy</v>
          </cell>
          <cell r="S1325">
            <v>0.25</v>
          </cell>
        </row>
        <row r="1326">
          <cell r="D1326">
            <v>908002933</v>
          </cell>
          <cell r="E1326" t="str">
            <v>WAKAMUZI MOYO</v>
          </cell>
          <cell r="F1326" t="str">
            <v>D (Ch)</v>
          </cell>
          <cell r="G1326">
            <v>16875</v>
          </cell>
          <cell r="H1326" t="str">
            <v>Choice</v>
          </cell>
          <cell r="I1326">
            <v>0.625</v>
          </cell>
          <cell r="J1326">
            <v>0.875</v>
          </cell>
          <cell r="K1326">
            <v>5.75</v>
          </cell>
          <cell r="L1326">
            <v>140.13</v>
          </cell>
          <cell r="O1326" t="str">
            <v>Y</v>
          </cell>
          <cell r="P1326" t="str">
            <v>N</v>
          </cell>
          <cell r="Q1326" t="str">
            <v>Vacancy</v>
          </cell>
          <cell r="S1326">
            <v>0.15</v>
          </cell>
        </row>
        <row r="1327">
          <cell r="D1327">
            <v>1008002185</v>
          </cell>
          <cell r="E1327" t="str">
            <v>ALBERTINA GABSHE</v>
          </cell>
          <cell r="F1327" t="str">
            <v>D (MD)</v>
          </cell>
          <cell r="G1327">
            <v>334370</v>
          </cell>
          <cell r="H1327" t="str">
            <v>Mayday</v>
          </cell>
          <cell r="I1327">
            <v>0.32291666666666669</v>
          </cell>
          <cell r="J1327">
            <v>0.54166666666666663</v>
          </cell>
          <cell r="K1327">
            <v>5.25</v>
          </cell>
          <cell r="L1327">
            <v>169.52</v>
          </cell>
          <cell r="O1327" t="str">
            <v>Y</v>
          </cell>
          <cell r="P1327" t="str">
            <v>N</v>
          </cell>
          <cell r="Q1327" t="str">
            <v>Nurse Moved</v>
          </cell>
          <cell r="S1327">
            <v>0.14000000000000001</v>
          </cell>
        </row>
        <row r="1328">
          <cell r="D1328">
            <v>908002654</v>
          </cell>
          <cell r="E1328" t="str">
            <v>ANNA BONNERUP</v>
          </cell>
          <cell r="F1328" t="str">
            <v>D / 5 General (</v>
          </cell>
          <cell r="G1328" t="str">
            <v>604-152588</v>
          </cell>
          <cell r="H1328" t="str">
            <v>Blue Arrow</v>
          </cell>
          <cell r="I1328">
            <v>0.625</v>
          </cell>
          <cell r="J1328">
            <v>0.85416666666666663</v>
          </cell>
          <cell r="K1328">
            <v>5.5</v>
          </cell>
          <cell r="L1328">
            <v>92.84</v>
          </cell>
          <cell r="O1328" t="str">
            <v>Y</v>
          </cell>
          <cell r="P1328" t="str">
            <v>N</v>
          </cell>
          <cell r="Q1328" t="str">
            <v>Vacancy</v>
          </cell>
          <cell r="S1328">
            <v>0.15</v>
          </cell>
        </row>
        <row r="1329">
          <cell r="D1329">
            <v>908000208</v>
          </cell>
          <cell r="E1329" t="str">
            <v>BERNADETTE SHINYA-NDUNUWANI</v>
          </cell>
          <cell r="F1329" t="str">
            <v>D (MD)</v>
          </cell>
          <cell r="G1329">
            <v>335145</v>
          </cell>
          <cell r="H1329" t="str">
            <v>Mayday</v>
          </cell>
          <cell r="I1329">
            <v>0.5625</v>
          </cell>
          <cell r="J1329">
            <v>0.875</v>
          </cell>
          <cell r="K1329">
            <v>7.1666666666666696</v>
          </cell>
          <cell r="L1329">
            <v>231.41</v>
          </cell>
          <cell r="O1329" t="str">
            <v>Y</v>
          </cell>
          <cell r="P1329" t="str">
            <v>N</v>
          </cell>
          <cell r="Q1329" t="str">
            <v>Vacancy</v>
          </cell>
          <cell r="S1329">
            <v>0.19</v>
          </cell>
        </row>
        <row r="1330">
          <cell r="D1330">
            <v>908006851</v>
          </cell>
          <cell r="E1330" t="str">
            <v>BERNADETTE SHINYA-NDUNUWANI</v>
          </cell>
          <cell r="F1330" t="str">
            <v>D (MD)</v>
          </cell>
          <cell r="G1330">
            <v>335145</v>
          </cell>
          <cell r="H1330" t="str">
            <v>Mayday</v>
          </cell>
          <cell r="I1330">
            <v>0.3125</v>
          </cell>
          <cell r="J1330">
            <v>0.5625</v>
          </cell>
          <cell r="K1330">
            <v>5.6666666666666696</v>
          </cell>
          <cell r="L1330">
            <v>182.98</v>
          </cell>
          <cell r="O1330" t="str">
            <v>Y</v>
          </cell>
          <cell r="P1330" t="str">
            <v>N</v>
          </cell>
          <cell r="Q1330" t="str">
            <v>Under Established</v>
          </cell>
          <cell r="S1330">
            <v>0.15</v>
          </cell>
        </row>
        <row r="1331">
          <cell r="D1331">
            <v>808004218</v>
          </cell>
          <cell r="E1331" t="str">
            <v>BRIGHTNESS NDEBELE</v>
          </cell>
          <cell r="F1331" t="str">
            <v>D (MD)</v>
          </cell>
          <cell r="G1331">
            <v>334345</v>
          </cell>
          <cell r="H1331" t="str">
            <v>Mayday</v>
          </cell>
          <cell r="I1331">
            <v>0.52083333333333337</v>
          </cell>
          <cell r="J1331">
            <v>0.85416666666666663</v>
          </cell>
          <cell r="K1331">
            <v>7.6666666666666696</v>
          </cell>
          <cell r="L1331">
            <v>247.56</v>
          </cell>
          <cell r="O1331" t="str">
            <v>Y</v>
          </cell>
          <cell r="P1331" t="str">
            <v>N</v>
          </cell>
          <cell r="Q1331" t="str">
            <v>Extra Capacity</v>
          </cell>
          <cell r="S1331">
            <v>0.2</v>
          </cell>
        </row>
        <row r="1332">
          <cell r="D1332">
            <v>1008002326</v>
          </cell>
          <cell r="E1332" t="str">
            <v>CATH CHIDAVAYENZI</v>
          </cell>
          <cell r="F1332" t="str">
            <v>D (Ch)</v>
          </cell>
          <cell r="G1332">
            <v>16864</v>
          </cell>
          <cell r="H1332" t="str">
            <v>Choice</v>
          </cell>
          <cell r="I1332">
            <v>0.83333333333333337</v>
          </cell>
          <cell r="J1332">
            <v>0.33333333333333331</v>
          </cell>
          <cell r="K1332">
            <v>11.3333333333333</v>
          </cell>
          <cell r="L1332">
            <v>359.05</v>
          </cell>
          <cell r="O1332" t="str">
            <v>Y</v>
          </cell>
          <cell r="P1332" t="str">
            <v>N</v>
          </cell>
          <cell r="Q1332" t="str">
            <v>Short Term Sick</v>
          </cell>
          <cell r="S1332">
            <v>0.3</v>
          </cell>
        </row>
        <row r="1333">
          <cell r="D1333">
            <v>1008001720</v>
          </cell>
          <cell r="E1333" t="str">
            <v>CYNTHIA DELMO</v>
          </cell>
          <cell r="F1333" t="str">
            <v>D (Ch)</v>
          </cell>
          <cell r="G1333">
            <v>16859</v>
          </cell>
          <cell r="H1333" t="str">
            <v>Choice</v>
          </cell>
          <cell r="I1333">
            <v>0.83333333333333337</v>
          </cell>
          <cell r="J1333">
            <v>0.33333333333333331</v>
          </cell>
          <cell r="K1333">
            <v>11.3333333333333</v>
          </cell>
          <cell r="L1333">
            <v>359.05</v>
          </cell>
          <cell r="O1333" t="str">
            <v>Y</v>
          </cell>
          <cell r="P1333" t="str">
            <v>N</v>
          </cell>
          <cell r="Q1333" t="str">
            <v>Extra Capacity</v>
          </cell>
          <cell r="S1333">
            <v>0.3</v>
          </cell>
        </row>
        <row r="1334">
          <cell r="D1334">
            <v>1008001911</v>
          </cell>
          <cell r="E1334" t="str">
            <v>DEBBIE HARRIS</v>
          </cell>
          <cell r="F1334" t="str">
            <v>5 Gen (All)</v>
          </cell>
          <cell r="H1334" t="str">
            <v xml:space="preserve">Allied </v>
          </cell>
          <cell r="I1334">
            <v>0.3125</v>
          </cell>
          <cell r="J1334">
            <v>0.85416666666666663</v>
          </cell>
          <cell r="K1334">
            <v>12.3333333333333</v>
          </cell>
          <cell r="L1334">
            <v>221.75</v>
          </cell>
          <cell r="O1334" t="str">
            <v>Y</v>
          </cell>
          <cell r="P1334" t="str">
            <v>N</v>
          </cell>
          <cell r="Q1334" t="str">
            <v>Short Term Sick</v>
          </cell>
          <cell r="S1334">
            <v>0.33</v>
          </cell>
        </row>
        <row r="1335">
          <cell r="D1335">
            <v>908000210</v>
          </cell>
          <cell r="E1335" t="str">
            <v>DIGRACIA  NAPE</v>
          </cell>
          <cell r="F1335" t="str">
            <v>D (MD)</v>
          </cell>
          <cell r="G1335">
            <v>335200</v>
          </cell>
          <cell r="H1335" t="str">
            <v>Mayday</v>
          </cell>
          <cell r="I1335">
            <v>0.5625</v>
          </cell>
          <cell r="J1335">
            <v>0.875</v>
          </cell>
          <cell r="K1335">
            <v>7.1666666666666696</v>
          </cell>
          <cell r="L1335">
            <v>231.41</v>
          </cell>
          <cell r="O1335" t="str">
            <v>Y</v>
          </cell>
          <cell r="P1335" t="str">
            <v>N</v>
          </cell>
          <cell r="Q1335" t="str">
            <v>Vacancy</v>
          </cell>
          <cell r="S1335">
            <v>0.19</v>
          </cell>
        </row>
        <row r="1336">
          <cell r="D1336">
            <v>1008002184</v>
          </cell>
          <cell r="E1336" t="str">
            <v>GRACE CHIKWAVA</v>
          </cell>
          <cell r="F1336" t="str">
            <v>D (Ch)</v>
          </cell>
          <cell r="G1336">
            <v>16862</v>
          </cell>
          <cell r="H1336" t="str">
            <v>Choice</v>
          </cell>
          <cell r="I1336">
            <v>0.5625</v>
          </cell>
          <cell r="J1336">
            <v>0.89583333333333337</v>
          </cell>
          <cell r="K1336">
            <v>7.6666666666666696</v>
          </cell>
          <cell r="L1336">
            <v>186.84</v>
          </cell>
          <cell r="O1336" t="str">
            <v>Y</v>
          </cell>
          <cell r="P1336" t="str">
            <v>N</v>
          </cell>
          <cell r="Q1336" t="str">
            <v>Short Term Sick</v>
          </cell>
          <cell r="S1336">
            <v>0.2</v>
          </cell>
        </row>
        <row r="1337">
          <cell r="D1337">
            <v>1008000875</v>
          </cell>
          <cell r="E1337" t="str">
            <v>JAKE BROOKES</v>
          </cell>
          <cell r="F1337" t="str">
            <v>D General (Orio</v>
          </cell>
          <cell r="G1337" t="str">
            <v>Invsd Smt checked</v>
          </cell>
          <cell r="H1337" t="str">
            <v>Orion</v>
          </cell>
          <cell r="I1337">
            <v>0.33333333333333331</v>
          </cell>
          <cell r="J1337">
            <v>0.75</v>
          </cell>
          <cell r="K1337">
            <v>9.6666666666666696</v>
          </cell>
          <cell r="L1337">
            <v>175.16</v>
          </cell>
          <cell r="O1337" t="str">
            <v>Y</v>
          </cell>
          <cell r="P1337" t="str">
            <v>N</v>
          </cell>
          <cell r="Q1337" t="str">
            <v>Extra Capacity</v>
          </cell>
          <cell r="S1337">
            <v>0.26</v>
          </cell>
        </row>
        <row r="1338">
          <cell r="D1338">
            <v>908005551</v>
          </cell>
          <cell r="E1338" t="str">
            <v>JAMES MCCLEMENTS</v>
          </cell>
          <cell r="F1338" t="str">
            <v>D (MD)</v>
          </cell>
          <cell r="G1338">
            <v>335211</v>
          </cell>
          <cell r="H1338" t="str">
            <v>Mayday</v>
          </cell>
          <cell r="I1338">
            <v>0.3125</v>
          </cell>
          <cell r="J1338">
            <v>0.54166666666666663</v>
          </cell>
          <cell r="K1338">
            <v>5.5</v>
          </cell>
          <cell r="L1338">
            <v>177.59</v>
          </cell>
          <cell r="O1338" t="str">
            <v>Y</v>
          </cell>
          <cell r="P1338" t="str">
            <v>N</v>
          </cell>
          <cell r="Q1338" t="str">
            <v>Extra Capacity</v>
          </cell>
          <cell r="S1338">
            <v>0.15</v>
          </cell>
        </row>
        <row r="1339">
          <cell r="D1339">
            <v>808004134</v>
          </cell>
          <cell r="E1339" t="str">
            <v>JEAN NGONA</v>
          </cell>
          <cell r="F1339" t="str">
            <v>D (MD)</v>
          </cell>
          <cell r="G1339">
            <v>337661</v>
          </cell>
          <cell r="H1339" t="str">
            <v>Mayday</v>
          </cell>
          <cell r="I1339">
            <v>0.3125</v>
          </cell>
          <cell r="J1339">
            <v>0.64583333333333337</v>
          </cell>
          <cell r="K1339">
            <v>7.6666666666666696</v>
          </cell>
          <cell r="L1339">
            <v>247.56</v>
          </cell>
          <cell r="O1339" t="str">
            <v>Y</v>
          </cell>
          <cell r="P1339" t="str">
            <v>N</v>
          </cell>
          <cell r="Q1339" t="str">
            <v>Extra Capacity</v>
          </cell>
          <cell r="S1339">
            <v>0.2</v>
          </cell>
        </row>
        <row r="1340">
          <cell r="D1340">
            <v>1008000595</v>
          </cell>
          <cell r="E1340" t="str">
            <v>JOANNE BUSS</v>
          </cell>
          <cell r="F1340" t="str">
            <v>D (MD)</v>
          </cell>
          <cell r="G1340">
            <v>334366</v>
          </cell>
          <cell r="H1340" t="str">
            <v>Mayday</v>
          </cell>
          <cell r="I1340">
            <v>0.3125</v>
          </cell>
          <cell r="J1340">
            <v>0.60416666666666663</v>
          </cell>
          <cell r="K1340">
            <v>6.6666666666666696</v>
          </cell>
          <cell r="L1340">
            <v>215.27</v>
          </cell>
          <cell r="O1340" t="str">
            <v>Y</v>
          </cell>
          <cell r="P1340" t="str">
            <v>N</v>
          </cell>
          <cell r="Q1340" t="str">
            <v>Long Term Sick</v>
          </cell>
          <cell r="S1340">
            <v>0.18</v>
          </cell>
        </row>
        <row r="1341">
          <cell r="D1341">
            <v>808004246</v>
          </cell>
          <cell r="E1341" t="str">
            <v>KATIE KEAVENEY</v>
          </cell>
          <cell r="F1341" t="str">
            <v>D (MD)</v>
          </cell>
          <cell r="G1341">
            <v>334307</v>
          </cell>
          <cell r="H1341" t="str">
            <v>Mayday</v>
          </cell>
          <cell r="I1341">
            <v>0.83333333333333337</v>
          </cell>
          <cell r="J1341">
            <v>0.33333333333333331</v>
          </cell>
          <cell r="K1341">
            <v>11.3333333333333</v>
          </cell>
          <cell r="L1341">
            <v>475.74</v>
          </cell>
          <cell r="O1341" t="str">
            <v>Y</v>
          </cell>
          <cell r="P1341" t="str">
            <v>N</v>
          </cell>
          <cell r="Q1341" t="str">
            <v>Extra Capacity</v>
          </cell>
          <cell r="S1341">
            <v>0.3</v>
          </cell>
        </row>
        <row r="1342">
          <cell r="D1342">
            <v>1008002239</v>
          </cell>
          <cell r="E1342" t="str">
            <v>MABEL MNISI</v>
          </cell>
          <cell r="F1342" t="str">
            <v>D (MD)</v>
          </cell>
          <cell r="G1342">
            <v>335210</v>
          </cell>
          <cell r="H1342" t="str">
            <v>Mayday</v>
          </cell>
          <cell r="I1342">
            <v>0.875</v>
          </cell>
          <cell r="J1342">
            <v>0.33333333333333331</v>
          </cell>
          <cell r="K1342">
            <v>10</v>
          </cell>
          <cell r="L1342">
            <v>419.77</v>
          </cell>
          <cell r="O1342" t="str">
            <v>Y</v>
          </cell>
          <cell r="P1342" t="str">
            <v>N</v>
          </cell>
          <cell r="Q1342" t="str">
            <v>Short Term Sick</v>
          </cell>
          <cell r="S1342">
            <v>0.27</v>
          </cell>
        </row>
        <row r="1343">
          <cell r="D1343">
            <v>908002854</v>
          </cell>
          <cell r="E1343" t="str">
            <v>MERCY AFELE</v>
          </cell>
          <cell r="F1343" t="str">
            <v>D (MD)</v>
          </cell>
          <cell r="G1343">
            <v>334322</v>
          </cell>
          <cell r="H1343" t="str">
            <v>Mayday</v>
          </cell>
          <cell r="I1343">
            <v>0.625</v>
          </cell>
          <cell r="J1343">
            <v>0.89583333333333337</v>
          </cell>
          <cell r="K1343">
            <v>6</v>
          </cell>
          <cell r="L1343">
            <v>193.74</v>
          </cell>
          <cell r="O1343" t="str">
            <v>Y</v>
          </cell>
          <cell r="P1343" t="str">
            <v>N</v>
          </cell>
          <cell r="Q1343" t="str">
            <v>Vacancy</v>
          </cell>
          <cell r="S1343">
            <v>0.16</v>
          </cell>
        </row>
        <row r="1344">
          <cell r="D1344">
            <v>1008000095</v>
          </cell>
          <cell r="E1344" t="str">
            <v>MERCY AFELE</v>
          </cell>
          <cell r="F1344" t="str">
            <v>D (MD)</v>
          </cell>
          <cell r="H1344" t="str">
            <v>Mayday</v>
          </cell>
          <cell r="I1344">
            <v>0.29166666666666669</v>
          </cell>
          <cell r="J1344">
            <v>0.54166666666666663</v>
          </cell>
          <cell r="K1344">
            <v>5.75</v>
          </cell>
          <cell r="L1344">
            <v>185.67</v>
          </cell>
          <cell r="O1344" t="str">
            <v>Y</v>
          </cell>
          <cell r="P1344" t="str">
            <v>N</v>
          </cell>
          <cell r="Q1344" t="str">
            <v>Training</v>
          </cell>
          <cell r="S1344">
            <v>0.15</v>
          </cell>
        </row>
        <row r="1345">
          <cell r="D1345">
            <v>1008001722</v>
          </cell>
          <cell r="E1345" t="str">
            <v>NILO DANUGO</v>
          </cell>
          <cell r="F1345" t="str">
            <v>D (Ch)</v>
          </cell>
          <cell r="G1345">
            <v>16882</v>
          </cell>
          <cell r="H1345" t="str">
            <v>Choice</v>
          </cell>
          <cell r="I1345">
            <v>0.83333333333333337</v>
          </cell>
          <cell r="J1345">
            <v>0.33333333333333331</v>
          </cell>
          <cell r="K1345">
            <v>11.3333333333333</v>
          </cell>
          <cell r="L1345">
            <v>359.05</v>
          </cell>
          <cell r="O1345" t="str">
            <v>Y</v>
          </cell>
          <cell r="P1345" t="str">
            <v>N</v>
          </cell>
          <cell r="Q1345" t="str">
            <v>Extra Capacity</v>
          </cell>
          <cell r="S1345">
            <v>0.3</v>
          </cell>
        </row>
        <row r="1346">
          <cell r="D1346">
            <v>1008002427</v>
          </cell>
          <cell r="E1346" t="str">
            <v>NOLIZWI MGANDELA</v>
          </cell>
          <cell r="F1346" t="str">
            <v>D (MD)</v>
          </cell>
          <cell r="G1346">
            <v>334309</v>
          </cell>
          <cell r="H1346" t="str">
            <v>Mayday</v>
          </cell>
          <cell r="I1346">
            <v>0.79166666666666663</v>
          </cell>
          <cell r="J1346">
            <v>0.3125</v>
          </cell>
          <cell r="K1346">
            <v>10.5</v>
          </cell>
          <cell r="L1346">
            <v>440.76</v>
          </cell>
          <cell r="O1346" t="str">
            <v>Y</v>
          </cell>
          <cell r="P1346" t="str">
            <v>N</v>
          </cell>
          <cell r="Q1346" t="str">
            <v>Short Term Sick</v>
          </cell>
          <cell r="S1346">
            <v>0.28000000000000003</v>
          </cell>
        </row>
        <row r="1347">
          <cell r="D1347">
            <v>808004239</v>
          </cell>
          <cell r="E1347" t="str">
            <v>PAT DUBE</v>
          </cell>
          <cell r="F1347" t="str">
            <v>D (MD)</v>
          </cell>
          <cell r="G1347">
            <v>335619</v>
          </cell>
          <cell r="H1347" t="str">
            <v>Mayday</v>
          </cell>
          <cell r="I1347">
            <v>0.83333333333333337</v>
          </cell>
          <cell r="J1347">
            <v>0.33333333333333331</v>
          </cell>
          <cell r="K1347">
            <v>11.3333333333333</v>
          </cell>
          <cell r="L1347">
            <v>475.74</v>
          </cell>
          <cell r="O1347" t="str">
            <v>Y</v>
          </cell>
          <cell r="P1347" t="str">
            <v>N</v>
          </cell>
          <cell r="Q1347" t="str">
            <v>Extra Capacity</v>
          </cell>
          <cell r="S1347">
            <v>0.3</v>
          </cell>
        </row>
        <row r="1348">
          <cell r="D1348">
            <v>908002284</v>
          </cell>
          <cell r="E1348" t="str">
            <v>PEGGY MAPOGO</v>
          </cell>
          <cell r="F1348" t="str">
            <v>D (Ch)</v>
          </cell>
          <cell r="G1348">
            <v>16883</v>
          </cell>
          <cell r="H1348" t="str">
            <v>Choice</v>
          </cell>
          <cell r="I1348">
            <v>0.3125</v>
          </cell>
          <cell r="J1348">
            <v>0.54166666666666663</v>
          </cell>
          <cell r="K1348">
            <v>5.5</v>
          </cell>
          <cell r="L1348">
            <v>134.03</v>
          </cell>
          <cell r="O1348" t="str">
            <v>Y</v>
          </cell>
          <cell r="P1348" t="str">
            <v>N</v>
          </cell>
          <cell r="Q1348" t="str">
            <v>Vacancy</v>
          </cell>
          <cell r="S1348">
            <v>0.15</v>
          </cell>
        </row>
        <row r="1349">
          <cell r="D1349">
            <v>1008000855</v>
          </cell>
          <cell r="E1349" t="str">
            <v>PEGGY MAPOGO</v>
          </cell>
          <cell r="F1349" t="str">
            <v>D (Ch)</v>
          </cell>
          <cell r="G1349">
            <v>16862</v>
          </cell>
          <cell r="H1349" t="str">
            <v>Choice</v>
          </cell>
          <cell r="I1349">
            <v>0.5625</v>
          </cell>
          <cell r="J1349">
            <v>0.89583333333333337</v>
          </cell>
          <cell r="K1349">
            <v>7.6666666666666696</v>
          </cell>
          <cell r="L1349">
            <v>186.84</v>
          </cell>
          <cell r="O1349" t="str">
            <v>Y</v>
          </cell>
          <cell r="P1349" t="str">
            <v>N</v>
          </cell>
          <cell r="Q1349" t="str">
            <v>Under Established</v>
          </cell>
          <cell r="S1349">
            <v>0.2</v>
          </cell>
        </row>
        <row r="1350">
          <cell r="D1350">
            <v>1008002257</v>
          </cell>
          <cell r="E1350" t="str">
            <v>SAM KELEM</v>
          </cell>
          <cell r="F1350" t="str">
            <v>D (Ch)</v>
          </cell>
          <cell r="G1350">
            <v>16870</v>
          </cell>
          <cell r="H1350" t="str">
            <v>Choice</v>
          </cell>
          <cell r="I1350">
            <v>0.83333333333333337</v>
          </cell>
          <cell r="J1350">
            <v>0.33333333333333331</v>
          </cell>
          <cell r="K1350">
            <v>11.3333333333333</v>
          </cell>
          <cell r="L1350">
            <v>359.05</v>
          </cell>
          <cell r="O1350" t="str">
            <v>Y</v>
          </cell>
          <cell r="P1350" t="str">
            <v>N</v>
          </cell>
          <cell r="Q1350" t="str">
            <v>Short Term Sick</v>
          </cell>
          <cell r="S1350">
            <v>0.3</v>
          </cell>
        </row>
        <row r="1351">
          <cell r="D1351">
            <v>908004505</v>
          </cell>
          <cell r="E1351" t="str">
            <v>TAEL MHANGO</v>
          </cell>
          <cell r="F1351" t="str">
            <v>D (Ch)</v>
          </cell>
          <cell r="G1351">
            <v>16859</v>
          </cell>
          <cell r="H1351" t="str">
            <v>Choice</v>
          </cell>
          <cell r="I1351">
            <v>0.88541666666666663</v>
          </cell>
          <cell r="J1351">
            <v>0.30208333333333331</v>
          </cell>
          <cell r="K1351">
            <v>9</v>
          </cell>
          <cell r="L1351">
            <v>285.13</v>
          </cell>
          <cell r="O1351" t="str">
            <v>Y</v>
          </cell>
          <cell r="P1351" t="str">
            <v>N</v>
          </cell>
          <cell r="Q1351" t="str">
            <v>Vacancy</v>
          </cell>
          <cell r="S1351">
            <v>0.24</v>
          </cell>
        </row>
        <row r="1352">
          <cell r="D1352">
            <v>908006483</v>
          </cell>
          <cell r="E1352" t="str">
            <v>TARA MASSIE</v>
          </cell>
          <cell r="F1352" t="str">
            <v>D (MD)</v>
          </cell>
          <cell r="G1352">
            <v>334320</v>
          </cell>
          <cell r="H1352" t="str">
            <v>Mayday</v>
          </cell>
          <cell r="I1352">
            <v>0.625</v>
          </cell>
          <cell r="J1352">
            <v>0.85416666666666663</v>
          </cell>
          <cell r="K1352">
            <v>5.5</v>
          </cell>
          <cell r="L1352">
            <v>177.59</v>
          </cell>
          <cell r="O1352" t="str">
            <v>Y</v>
          </cell>
          <cell r="P1352" t="str">
            <v>N</v>
          </cell>
          <cell r="Q1352" t="str">
            <v>Vacancy</v>
          </cell>
          <cell r="S1352">
            <v>0.15</v>
          </cell>
        </row>
        <row r="1353">
          <cell r="D1353">
            <v>1008000119</v>
          </cell>
          <cell r="E1353" t="str">
            <v>TOM OSBOURNE</v>
          </cell>
          <cell r="F1353" t="str">
            <v>D General (Orio</v>
          </cell>
          <cell r="G1353" t="str">
            <v>Invsd Smt checked</v>
          </cell>
          <cell r="H1353" t="str">
            <v>Orion</v>
          </cell>
          <cell r="I1353">
            <v>0.54166666666666663</v>
          </cell>
          <cell r="J1353">
            <v>0.75</v>
          </cell>
          <cell r="K1353">
            <v>5</v>
          </cell>
          <cell r="L1353">
            <v>90.6</v>
          </cell>
          <cell r="O1353" t="str">
            <v>Y</v>
          </cell>
          <cell r="P1353" t="str">
            <v>N</v>
          </cell>
          <cell r="Q1353" t="str">
            <v>Vacancy</v>
          </cell>
          <cell r="S1353">
            <v>0.13</v>
          </cell>
        </row>
        <row r="1354">
          <cell r="D1354">
            <v>1008002069</v>
          </cell>
          <cell r="E1354" t="str">
            <v>ALEX TYLER</v>
          </cell>
          <cell r="F1354" t="str">
            <v>A/2 (PS)</v>
          </cell>
          <cell r="H1354" t="str">
            <v>Pinnacle Staffing</v>
          </cell>
          <cell r="I1354">
            <v>0.875</v>
          </cell>
          <cell r="J1354">
            <v>0.3125</v>
          </cell>
          <cell r="K1354">
            <v>10.1666666666667</v>
          </cell>
          <cell r="L1354">
            <v>127.15</v>
          </cell>
          <cell r="O1354" t="str">
            <v>Y</v>
          </cell>
          <cell r="P1354" t="str">
            <v>N</v>
          </cell>
          <cell r="Q1354" t="str">
            <v>Short Term Sick</v>
          </cell>
          <cell r="S1354">
            <v>0.27</v>
          </cell>
        </row>
        <row r="1355">
          <cell r="D1355">
            <v>1008002476</v>
          </cell>
          <cell r="E1355" t="str">
            <v>ALMA DEPENA</v>
          </cell>
          <cell r="F1355" t="str">
            <v>D (Ch)</v>
          </cell>
          <cell r="G1355">
            <v>16858</v>
          </cell>
          <cell r="H1355" t="str">
            <v>Choice</v>
          </cell>
          <cell r="I1355">
            <v>0.88541666666666663</v>
          </cell>
          <cell r="J1355">
            <v>0.3125</v>
          </cell>
          <cell r="K1355">
            <v>9.9166666666666696</v>
          </cell>
          <cell r="L1355">
            <v>314.17</v>
          </cell>
          <cell r="O1355" t="str">
            <v>Y</v>
          </cell>
          <cell r="P1355" t="str">
            <v>N</v>
          </cell>
          <cell r="Q1355" t="str">
            <v>Short Term Sick</v>
          </cell>
          <cell r="S1355">
            <v>0.26</v>
          </cell>
        </row>
        <row r="1356">
          <cell r="D1356">
            <v>808004240</v>
          </cell>
          <cell r="E1356" t="str">
            <v>BEAUTY NGIDI</v>
          </cell>
          <cell r="F1356" t="str">
            <v>D (MD)</v>
          </cell>
          <cell r="G1356">
            <v>334341</v>
          </cell>
          <cell r="H1356" t="str">
            <v>Mayday</v>
          </cell>
          <cell r="I1356">
            <v>0.83333333333333337</v>
          </cell>
          <cell r="J1356">
            <v>0.33333333333333331</v>
          </cell>
          <cell r="K1356">
            <v>11.3333333333333</v>
          </cell>
          <cell r="L1356">
            <v>475.74</v>
          </cell>
          <cell r="O1356" t="str">
            <v>Y</v>
          </cell>
          <cell r="P1356" t="str">
            <v>N</v>
          </cell>
          <cell r="Q1356" t="str">
            <v>Extra Capacity</v>
          </cell>
          <cell r="S1356">
            <v>0.3</v>
          </cell>
        </row>
        <row r="1357">
          <cell r="D1357">
            <v>1008002080</v>
          </cell>
          <cell r="E1357" t="str">
            <v>BERNADETTE SHINYA-NDUNUWANI</v>
          </cell>
          <cell r="F1357" t="str">
            <v>D (MD)</v>
          </cell>
          <cell r="G1357">
            <v>335145</v>
          </cell>
          <cell r="H1357" t="str">
            <v>Mayday</v>
          </cell>
          <cell r="I1357">
            <v>0.3125</v>
          </cell>
          <cell r="J1357">
            <v>0.5625</v>
          </cell>
          <cell r="K1357">
            <v>5.6666666666666696</v>
          </cell>
          <cell r="L1357">
            <v>237.87</v>
          </cell>
          <cell r="O1357" t="str">
            <v>Y</v>
          </cell>
          <cell r="P1357" t="str">
            <v>N</v>
          </cell>
          <cell r="Q1357" t="str">
            <v>Under Established</v>
          </cell>
          <cell r="S1357">
            <v>0.15</v>
          </cell>
        </row>
        <row r="1358">
          <cell r="D1358">
            <v>1008002432</v>
          </cell>
          <cell r="E1358" t="str">
            <v>BERNADETTE SHINYA-NDUNUWANI</v>
          </cell>
          <cell r="F1358" t="str">
            <v>D (MD)</v>
          </cell>
          <cell r="G1358">
            <v>335145</v>
          </cell>
          <cell r="H1358" t="str">
            <v>Mayday</v>
          </cell>
          <cell r="I1358">
            <v>0.5625</v>
          </cell>
          <cell r="J1358">
            <v>0.89583333333333337</v>
          </cell>
          <cell r="K1358">
            <v>7.6666666666666696</v>
          </cell>
          <cell r="L1358">
            <v>321.82</v>
          </cell>
          <cell r="O1358" t="str">
            <v>Y</v>
          </cell>
          <cell r="P1358" t="str">
            <v>N</v>
          </cell>
          <cell r="Q1358" t="str">
            <v>Short Term Sick</v>
          </cell>
          <cell r="S1358">
            <v>0.2</v>
          </cell>
        </row>
        <row r="1359">
          <cell r="D1359">
            <v>808004205</v>
          </cell>
          <cell r="E1359" t="str">
            <v>BRIGHTNESS NDEBELE</v>
          </cell>
          <cell r="F1359" t="str">
            <v>D (MD)</v>
          </cell>
          <cell r="G1359">
            <v>334341</v>
          </cell>
          <cell r="H1359" t="str">
            <v>Mayday</v>
          </cell>
          <cell r="I1359">
            <v>0.3125</v>
          </cell>
          <cell r="J1359">
            <v>0.64583333333333337</v>
          </cell>
          <cell r="K1359">
            <v>7.6666666666666696</v>
          </cell>
          <cell r="L1359">
            <v>321.82</v>
          </cell>
          <cell r="O1359" t="str">
            <v>Y</v>
          </cell>
          <cell r="P1359" t="str">
            <v>N</v>
          </cell>
          <cell r="Q1359" t="str">
            <v>Extra Capacity</v>
          </cell>
          <cell r="S1359">
            <v>0.2</v>
          </cell>
        </row>
        <row r="1360">
          <cell r="D1360">
            <v>808004226</v>
          </cell>
          <cell r="E1360" t="str">
            <v>BRIGHTNESS NDEBELE</v>
          </cell>
          <cell r="F1360" t="str">
            <v>D (MD)</v>
          </cell>
          <cell r="G1360">
            <v>334341</v>
          </cell>
          <cell r="H1360" t="str">
            <v>Mayday</v>
          </cell>
          <cell r="I1360">
            <v>0.64583333333333337</v>
          </cell>
          <cell r="J1360">
            <v>0.85416666666666663</v>
          </cell>
          <cell r="K1360">
            <v>5</v>
          </cell>
          <cell r="L1360">
            <v>209.89</v>
          </cell>
          <cell r="O1360" t="str">
            <v>Y</v>
          </cell>
          <cell r="P1360" t="str">
            <v>N</v>
          </cell>
          <cell r="Q1360" t="str">
            <v>Extra Capacity</v>
          </cell>
          <cell r="S1360">
            <v>0.13</v>
          </cell>
        </row>
        <row r="1361">
          <cell r="D1361">
            <v>908006853</v>
          </cell>
          <cell r="E1361" t="str">
            <v>DIGRACIA  NAPE</v>
          </cell>
          <cell r="F1361" t="str">
            <v>D (MD)</v>
          </cell>
          <cell r="G1361">
            <v>335202</v>
          </cell>
          <cell r="H1361" t="str">
            <v>Mayday</v>
          </cell>
          <cell r="I1361">
            <v>0.3125</v>
          </cell>
          <cell r="J1361">
            <v>0.5625</v>
          </cell>
          <cell r="K1361">
            <v>5.6666666666666696</v>
          </cell>
          <cell r="L1361">
            <v>237.87</v>
          </cell>
          <cell r="O1361" t="str">
            <v>Y</v>
          </cell>
          <cell r="P1361" t="str">
            <v>N</v>
          </cell>
          <cell r="Q1361" t="str">
            <v>Under Established</v>
          </cell>
          <cell r="S1361">
            <v>0.15</v>
          </cell>
        </row>
        <row r="1362">
          <cell r="D1362">
            <v>908006855</v>
          </cell>
          <cell r="E1362" t="str">
            <v>DIGRACIA  NAPE</v>
          </cell>
          <cell r="F1362" t="str">
            <v>D (MD)</v>
          </cell>
          <cell r="G1362">
            <v>335202</v>
          </cell>
          <cell r="H1362" t="str">
            <v>Mayday</v>
          </cell>
          <cell r="I1362">
            <v>0.5625</v>
          </cell>
          <cell r="J1362">
            <v>0.89583333333333337</v>
          </cell>
          <cell r="K1362">
            <v>7.6666666666666696</v>
          </cell>
          <cell r="L1362">
            <v>321.82</v>
          </cell>
          <cell r="O1362" t="str">
            <v>Y</v>
          </cell>
          <cell r="P1362" t="str">
            <v>N</v>
          </cell>
          <cell r="Q1362" t="str">
            <v>Annual Leave</v>
          </cell>
          <cell r="S1362">
            <v>0.2</v>
          </cell>
        </row>
        <row r="1363">
          <cell r="D1363">
            <v>908006274</v>
          </cell>
          <cell r="E1363" t="str">
            <v>GRACE CHIKWAVA</v>
          </cell>
          <cell r="F1363" t="str">
            <v>D (Ch)</v>
          </cell>
          <cell r="G1363">
            <v>16862</v>
          </cell>
          <cell r="H1363" t="str">
            <v>Choice</v>
          </cell>
          <cell r="I1363">
            <v>0.3125</v>
          </cell>
          <cell r="J1363">
            <v>0.89583333333333337</v>
          </cell>
          <cell r="K1363">
            <v>13.3333333333333</v>
          </cell>
          <cell r="L1363">
            <v>422.41</v>
          </cell>
          <cell r="O1363" t="str">
            <v>Y</v>
          </cell>
          <cell r="P1363" t="str">
            <v>N</v>
          </cell>
          <cell r="Q1363" t="str">
            <v>Vacancy</v>
          </cell>
          <cell r="S1363">
            <v>0.36</v>
          </cell>
        </row>
        <row r="1364">
          <cell r="D1364">
            <v>1008001724</v>
          </cell>
          <cell r="E1364" t="str">
            <v>HILDA SHANGE</v>
          </cell>
          <cell r="F1364" t="str">
            <v>D (Ch)</v>
          </cell>
          <cell r="G1364">
            <v>16943</v>
          </cell>
          <cell r="H1364" t="str">
            <v>Choice</v>
          </cell>
          <cell r="I1364">
            <v>0.83333333333333337</v>
          </cell>
          <cell r="J1364">
            <v>0.33333333333333331</v>
          </cell>
          <cell r="K1364">
            <v>11.3333333333333</v>
          </cell>
          <cell r="L1364">
            <v>359.05</v>
          </cell>
          <cell r="O1364" t="str">
            <v>Y</v>
          </cell>
          <cell r="P1364" t="str">
            <v>N</v>
          </cell>
          <cell r="Q1364" t="str">
            <v>Extra Capacity</v>
          </cell>
          <cell r="S1364">
            <v>0.3</v>
          </cell>
        </row>
        <row r="1365">
          <cell r="D1365">
            <v>908005556</v>
          </cell>
          <cell r="E1365" t="str">
            <v>JAMES MCCLEMENTS</v>
          </cell>
          <cell r="F1365" t="str">
            <v>D (MD)</v>
          </cell>
          <cell r="G1365">
            <v>335211</v>
          </cell>
          <cell r="H1365" t="str">
            <v>Mayday</v>
          </cell>
          <cell r="I1365">
            <v>0.625</v>
          </cell>
          <cell r="J1365">
            <v>0.85416666666666663</v>
          </cell>
          <cell r="K1365">
            <v>5.5</v>
          </cell>
          <cell r="L1365">
            <v>230.87</v>
          </cell>
          <cell r="O1365" t="str">
            <v>Y</v>
          </cell>
          <cell r="P1365" t="str">
            <v>N</v>
          </cell>
          <cell r="Q1365" t="str">
            <v>Extra Capacity</v>
          </cell>
          <cell r="S1365">
            <v>0.15</v>
          </cell>
        </row>
        <row r="1366">
          <cell r="D1366">
            <v>808004121</v>
          </cell>
          <cell r="E1366" t="str">
            <v>JEAN NGONA</v>
          </cell>
          <cell r="F1366" t="str">
            <v>D (MD)</v>
          </cell>
          <cell r="G1366">
            <v>337661</v>
          </cell>
          <cell r="H1366" t="str">
            <v>Mayday</v>
          </cell>
          <cell r="I1366">
            <v>0.3125</v>
          </cell>
          <cell r="J1366">
            <v>0.64583333333333337</v>
          </cell>
          <cell r="K1366">
            <v>7.6666666666666696</v>
          </cell>
          <cell r="L1366">
            <v>321.82</v>
          </cell>
          <cell r="O1366" t="str">
            <v>Y</v>
          </cell>
          <cell r="P1366" t="str">
            <v>N</v>
          </cell>
          <cell r="Q1366" t="str">
            <v>Extra Capacity</v>
          </cell>
          <cell r="S1366">
            <v>0.2</v>
          </cell>
        </row>
        <row r="1367">
          <cell r="D1367">
            <v>1008001763</v>
          </cell>
          <cell r="E1367" t="str">
            <v>JOANNE BUSS</v>
          </cell>
          <cell r="F1367" t="str">
            <v>D (MD)</v>
          </cell>
          <cell r="G1367">
            <v>335205</v>
          </cell>
          <cell r="H1367" t="str">
            <v>Mayday</v>
          </cell>
          <cell r="I1367">
            <v>0.3125</v>
          </cell>
          <cell r="J1367">
            <v>0.54166666666666663</v>
          </cell>
          <cell r="K1367">
            <v>5.5</v>
          </cell>
          <cell r="L1367">
            <v>230.87</v>
          </cell>
          <cell r="O1367" t="str">
            <v>Y</v>
          </cell>
          <cell r="P1367" t="str">
            <v>N</v>
          </cell>
          <cell r="Q1367" t="str">
            <v>Vacancy</v>
          </cell>
          <cell r="S1367">
            <v>0.15</v>
          </cell>
        </row>
        <row r="1368">
          <cell r="D1368">
            <v>908006816</v>
          </cell>
          <cell r="E1368" t="str">
            <v>LORENZO BAHILLO</v>
          </cell>
          <cell r="F1368" t="str">
            <v>Band 5 (DN)</v>
          </cell>
          <cell r="G1368">
            <v>19049</v>
          </cell>
          <cell r="H1368" t="str">
            <v>Direct Nursing</v>
          </cell>
          <cell r="I1368">
            <v>0.82291666666666663</v>
          </cell>
          <cell r="J1368">
            <v>0.34375</v>
          </cell>
          <cell r="K1368">
            <v>11.5</v>
          </cell>
          <cell r="L1368">
            <v>263.12</v>
          </cell>
          <cell r="O1368" t="str">
            <v>Y</v>
          </cell>
          <cell r="P1368" t="str">
            <v>N</v>
          </cell>
          <cell r="Q1368" t="str">
            <v>Vacancy</v>
          </cell>
          <cell r="S1368">
            <v>0.31</v>
          </cell>
        </row>
        <row r="1369">
          <cell r="D1369">
            <v>1008002351</v>
          </cell>
          <cell r="E1369" t="str">
            <v>MAGDALINE NGOMANE</v>
          </cell>
          <cell r="F1369" t="str">
            <v>D (MD)</v>
          </cell>
          <cell r="G1369">
            <v>335606</v>
          </cell>
          <cell r="H1369" t="str">
            <v>Mayday</v>
          </cell>
          <cell r="I1369">
            <v>0.58333333333333337</v>
          </cell>
          <cell r="J1369">
            <v>0.84375</v>
          </cell>
          <cell r="K1369">
            <v>6</v>
          </cell>
          <cell r="L1369">
            <v>251.86</v>
          </cell>
          <cell r="O1369" t="str">
            <v>Y</v>
          </cell>
          <cell r="P1369" t="str">
            <v>N</v>
          </cell>
          <cell r="Q1369" t="str">
            <v>Short Term Sick</v>
          </cell>
          <cell r="S1369">
            <v>0.16</v>
          </cell>
        </row>
        <row r="1370">
          <cell r="D1370">
            <v>908005555</v>
          </cell>
          <cell r="E1370" t="str">
            <v>PEGGY CHIRIKURE</v>
          </cell>
          <cell r="F1370" t="str">
            <v>D (Ch)</v>
          </cell>
          <cell r="G1370">
            <v>16861</v>
          </cell>
          <cell r="H1370" t="str">
            <v>Choice</v>
          </cell>
          <cell r="I1370">
            <v>0.3125</v>
          </cell>
          <cell r="J1370">
            <v>0.54166666666666663</v>
          </cell>
          <cell r="K1370">
            <v>5.5</v>
          </cell>
          <cell r="L1370">
            <v>174.25</v>
          </cell>
          <cell r="O1370" t="str">
            <v>Y</v>
          </cell>
          <cell r="P1370" t="str">
            <v>N</v>
          </cell>
          <cell r="Q1370" t="str">
            <v>Extra Capacity</v>
          </cell>
          <cell r="S1370">
            <v>0.15</v>
          </cell>
        </row>
        <row r="1371">
          <cell r="D1371">
            <v>1008002663</v>
          </cell>
          <cell r="E1371" t="str">
            <v>PEGGY MAPOGO</v>
          </cell>
          <cell r="F1371" t="str">
            <v>D (Ch)</v>
          </cell>
          <cell r="G1371">
            <v>16951</v>
          </cell>
          <cell r="H1371" t="str">
            <v>Choice</v>
          </cell>
          <cell r="I1371">
            <v>0.3125</v>
          </cell>
          <cell r="J1371">
            <v>0.83333333333333337</v>
          </cell>
          <cell r="K1371">
            <v>11.8333333333333</v>
          </cell>
          <cell r="L1371">
            <v>374.89</v>
          </cell>
          <cell r="O1371" t="str">
            <v>Y</v>
          </cell>
          <cell r="P1371" t="str">
            <v>N</v>
          </cell>
          <cell r="Q1371" t="str">
            <v>Nurse Moved</v>
          </cell>
          <cell r="S1371">
            <v>0.32</v>
          </cell>
        </row>
        <row r="1372">
          <cell r="D1372">
            <v>908002939</v>
          </cell>
          <cell r="E1372" t="str">
            <v>RICCA PARADA</v>
          </cell>
          <cell r="F1372" t="str">
            <v>D (Ch)</v>
          </cell>
          <cell r="G1372">
            <v>16875</v>
          </cell>
          <cell r="H1372" t="str">
            <v>Choice</v>
          </cell>
          <cell r="I1372">
            <v>0.625</v>
          </cell>
          <cell r="J1372">
            <v>0.875</v>
          </cell>
          <cell r="K1372">
            <v>5.75</v>
          </cell>
          <cell r="L1372">
            <v>182.17</v>
          </cell>
          <cell r="O1372" t="str">
            <v>Y</v>
          </cell>
          <cell r="P1372" t="str">
            <v>N</v>
          </cell>
          <cell r="Q1372" t="str">
            <v>Vacancy</v>
          </cell>
          <cell r="S1372">
            <v>0.15</v>
          </cell>
        </row>
        <row r="1373">
          <cell r="D1373">
            <v>1008001723</v>
          </cell>
          <cell r="E1373" t="str">
            <v>RICCA PARADA</v>
          </cell>
          <cell r="F1373" t="str">
            <v>D (Ch)</v>
          </cell>
          <cell r="G1373">
            <v>16882</v>
          </cell>
          <cell r="H1373" t="str">
            <v>Choice</v>
          </cell>
          <cell r="I1373">
            <v>0.3125</v>
          </cell>
          <cell r="J1373">
            <v>0.625</v>
          </cell>
          <cell r="K1373">
            <v>7.1666666666666696</v>
          </cell>
          <cell r="L1373">
            <v>227.05</v>
          </cell>
          <cell r="O1373" t="str">
            <v>Y</v>
          </cell>
          <cell r="P1373" t="str">
            <v>N</v>
          </cell>
          <cell r="Q1373" t="str">
            <v>Extra Capacity</v>
          </cell>
          <cell r="S1373">
            <v>0.19</v>
          </cell>
        </row>
        <row r="1374">
          <cell r="D1374">
            <v>1008002471</v>
          </cell>
          <cell r="E1374" t="str">
            <v>SAM KELEM</v>
          </cell>
          <cell r="F1374" t="str">
            <v>D (Ch)</v>
          </cell>
          <cell r="G1374">
            <v>16869</v>
          </cell>
          <cell r="H1374" t="str">
            <v>Choice</v>
          </cell>
          <cell r="I1374">
            <v>0.875</v>
          </cell>
          <cell r="J1374">
            <v>0.33333333333333331</v>
          </cell>
          <cell r="K1374">
            <v>10</v>
          </cell>
          <cell r="L1374">
            <v>316.81</v>
          </cell>
          <cell r="O1374" t="str">
            <v>Y</v>
          </cell>
          <cell r="P1374" t="str">
            <v>N</v>
          </cell>
          <cell r="Q1374" t="str">
            <v>Vacancy</v>
          </cell>
          <cell r="S1374">
            <v>0.27</v>
          </cell>
        </row>
        <row r="1375">
          <cell r="D1375">
            <v>1008001725</v>
          </cell>
          <cell r="E1375" t="str">
            <v>SAMSON BARACENA</v>
          </cell>
          <cell r="F1375" t="str">
            <v>D (Ch)</v>
          </cell>
          <cell r="G1375">
            <v>16877</v>
          </cell>
          <cell r="H1375" t="str">
            <v>Choice</v>
          </cell>
          <cell r="I1375">
            <v>0.83333333333333337</v>
          </cell>
          <cell r="J1375">
            <v>0.33333333333333331</v>
          </cell>
          <cell r="K1375">
            <v>11.3333333333333</v>
          </cell>
          <cell r="L1375">
            <v>359.05</v>
          </cell>
          <cell r="O1375" t="str">
            <v>Y</v>
          </cell>
          <cell r="P1375" t="str">
            <v>N</v>
          </cell>
          <cell r="Q1375" t="str">
            <v>Extra Capacity</v>
          </cell>
          <cell r="S1375">
            <v>0.3</v>
          </cell>
        </row>
        <row r="1376">
          <cell r="D1376">
            <v>908004826</v>
          </cell>
          <cell r="E1376" t="str">
            <v>SEREELETSO MAITIYO</v>
          </cell>
          <cell r="F1376" t="str">
            <v>D (Ch)</v>
          </cell>
          <cell r="G1376">
            <v>16938</v>
          </cell>
          <cell r="H1376" t="str">
            <v>Choice</v>
          </cell>
          <cell r="I1376">
            <v>0.58333333333333337</v>
          </cell>
          <cell r="J1376">
            <v>0.84375</v>
          </cell>
          <cell r="K1376">
            <v>6</v>
          </cell>
          <cell r="L1376">
            <v>190.09</v>
          </cell>
          <cell r="O1376" t="str">
            <v>Y</v>
          </cell>
          <cell r="P1376" t="str">
            <v>N</v>
          </cell>
          <cell r="Q1376" t="str">
            <v>Vacancy</v>
          </cell>
          <cell r="S1376">
            <v>0.16</v>
          </cell>
        </row>
        <row r="1377">
          <cell r="D1377">
            <v>1008002423</v>
          </cell>
          <cell r="E1377" t="str">
            <v>TAMBU JENA</v>
          </cell>
          <cell r="F1377" t="str">
            <v>D (Ch)</v>
          </cell>
          <cell r="G1377">
            <v>16859</v>
          </cell>
          <cell r="H1377" t="str">
            <v>Choice</v>
          </cell>
          <cell r="I1377">
            <v>0.30208333333333331</v>
          </cell>
          <cell r="J1377">
            <v>0.625</v>
          </cell>
          <cell r="K1377">
            <v>7.4166666666666696</v>
          </cell>
          <cell r="L1377">
            <v>234.97</v>
          </cell>
          <cell r="O1377" t="str">
            <v>Y</v>
          </cell>
          <cell r="P1377" t="str">
            <v>N</v>
          </cell>
          <cell r="Q1377" t="str">
            <v>Extra Capacity</v>
          </cell>
          <cell r="S1377">
            <v>0.2</v>
          </cell>
        </row>
        <row r="1378">
          <cell r="D1378">
            <v>1008002424</v>
          </cell>
          <cell r="E1378" t="str">
            <v>TAMBU JENA</v>
          </cell>
          <cell r="F1378" t="str">
            <v>D (Ch)</v>
          </cell>
          <cell r="G1378">
            <v>16859</v>
          </cell>
          <cell r="H1378" t="str">
            <v>Choice</v>
          </cell>
          <cell r="I1378">
            <v>0.625</v>
          </cell>
          <cell r="J1378">
            <v>0.89583333333333337</v>
          </cell>
          <cell r="K1378">
            <v>6</v>
          </cell>
          <cell r="L1378">
            <v>190.09</v>
          </cell>
          <cell r="O1378" t="str">
            <v>Y</v>
          </cell>
          <cell r="P1378" t="str">
            <v>N</v>
          </cell>
          <cell r="Q1378" t="str">
            <v>Extra Capacity</v>
          </cell>
          <cell r="S1378">
            <v>0.16</v>
          </cell>
        </row>
        <row r="1379">
          <cell r="D1379">
            <v>908006484</v>
          </cell>
          <cell r="E1379" t="str">
            <v>TARA MASSIE</v>
          </cell>
          <cell r="F1379" t="str">
            <v>D (MD)</v>
          </cell>
          <cell r="G1379">
            <v>334319</v>
          </cell>
          <cell r="H1379" t="str">
            <v>Mayday</v>
          </cell>
          <cell r="I1379">
            <v>0.32291666666666669</v>
          </cell>
          <cell r="J1379">
            <v>0.58333333333333337</v>
          </cell>
          <cell r="K1379">
            <v>5.9166666666666696</v>
          </cell>
          <cell r="L1379">
            <v>248.36</v>
          </cell>
          <cell r="O1379" t="str">
            <v>Y</v>
          </cell>
          <cell r="P1379" t="str">
            <v>N</v>
          </cell>
          <cell r="Q1379" t="str">
            <v>Vacancy</v>
          </cell>
          <cell r="S1379">
            <v>0.16</v>
          </cell>
        </row>
        <row r="1380">
          <cell r="D1380">
            <v>808004170</v>
          </cell>
          <cell r="E1380" t="str">
            <v>TEMBE NGIDI</v>
          </cell>
          <cell r="F1380" t="str">
            <v>D (MD)</v>
          </cell>
          <cell r="G1380">
            <v>334363</v>
          </cell>
          <cell r="H1380" t="str">
            <v>Mayday</v>
          </cell>
          <cell r="I1380">
            <v>0.83333333333333337</v>
          </cell>
          <cell r="J1380">
            <v>0.33333333333333331</v>
          </cell>
          <cell r="K1380">
            <v>11.3333333333333</v>
          </cell>
          <cell r="L1380">
            <v>475.74</v>
          </cell>
          <cell r="O1380" t="str">
            <v>Y</v>
          </cell>
          <cell r="P1380" t="str">
            <v>N</v>
          </cell>
          <cell r="Q1380" t="str">
            <v>Extra Capacity</v>
          </cell>
          <cell r="S1380">
            <v>0.3</v>
          </cell>
        </row>
        <row r="1381">
          <cell r="D1381">
            <v>908006217</v>
          </cell>
          <cell r="E1381" t="str">
            <v>ANNA BONNERUP</v>
          </cell>
          <cell r="F1381" t="str">
            <v>D / 5 General (</v>
          </cell>
          <cell r="G1381" t="str">
            <v>604-152588</v>
          </cell>
          <cell r="H1381" t="str">
            <v>Blue Arrow</v>
          </cell>
          <cell r="I1381">
            <v>0.625</v>
          </cell>
          <cell r="J1381">
            <v>0.85416666666666663</v>
          </cell>
          <cell r="K1381">
            <v>5.5</v>
          </cell>
          <cell r="L1381">
            <v>148.54</v>
          </cell>
          <cell r="O1381" t="str">
            <v>Y</v>
          </cell>
          <cell r="P1381" t="str">
            <v>N</v>
          </cell>
          <cell r="Q1381" t="str">
            <v>Vacancy</v>
          </cell>
          <cell r="S1381">
            <v>0.15</v>
          </cell>
        </row>
        <row r="1382">
          <cell r="D1382">
            <v>808004241</v>
          </cell>
          <cell r="E1382" t="str">
            <v>BEAUTY NGIDI</v>
          </cell>
          <cell r="F1382" t="str">
            <v>D (MD)</v>
          </cell>
          <cell r="G1382">
            <v>334341</v>
          </cell>
          <cell r="H1382" t="str">
            <v>Mayday</v>
          </cell>
          <cell r="I1382">
            <v>0.83333333333333337</v>
          </cell>
          <cell r="J1382">
            <v>0.33333333333333331</v>
          </cell>
          <cell r="K1382">
            <v>11.3333333333333</v>
          </cell>
          <cell r="L1382">
            <v>585.53</v>
          </cell>
          <cell r="O1382" t="str">
            <v>Y</v>
          </cell>
          <cell r="P1382" t="str">
            <v>N</v>
          </cell>
          <cell r="Q1382" t="str">
            <v>Extra Capacity</v>
          </cell>
          <cell r="S1382">
            <v>0.3</v>
          </cell>
        </row>
        <row r="1383">
          <cell r="D1383">
            <v>808004206</v>
          </cell>
          <cell r="E1383" t="str">
            <v>BRIGHTNESS NDEBELE</v>
          </cell>
          <cell r="F1383" t="str">
            <v>D (MD)</v>
          </cell>
          <cell r="G1383">
            <v>334341</v>
          </cell>
          <cell r="H1383" t="str">
            <v>Mayday</v>
          </cell>
          <cell r="I1383">
            <v>0.3125</v>
          </cell>
          <cell r="J1383">
            <v>0.64583333333333337</v>
          </cell>
          <cell r="K1383">
            <v>7.6666666666666696</v>
          </cell>
          <cell r="L1383">
            <v>396.09</v>
          </cell>
          <cell r="O1383" t="str">
            <v>Y</v>
          </cell>
          <cell r="P1383" t="str">
            <v>N</v>
          </cell>
          <cell r="Q1383" t="str">
            <v>Extra Capacity</v>
          </cell>
          <cell r="S1383">
            <v>0.2</v>
          </cell>
        </row>
        <row r="1384">
          <cell r="D1384">
            <v>908006485</v>
          </cell>
          <cell r="E1384" t="str">
            <v>BRIGHTNESS NDEBELE</v>
          </cell>
          <cell r="F1384" t="str">
            <v>D (MD)</v>
          </cell>
          <cell r="G1384">
            <v>334341</v>
          </cell>
          <cell r="H1384" t="str">
            <v>Mayday</v>
          </cell>
          <cell r="I1384">
            <v>0.64583333333333337</v>
          </cell>
          <cell r="J1384">
            <v>0.85416666666666663</v>
          </cell>
          <cell r="K1384">
            <v>5</v>
          </cell>
          <cell r="L1384">
            <v>258.32</v>
          </cell>
          <cell r="O1384" t="str">
            <v>Y</v>
          </cell>
          <cell r="P1384" t="str">
            <v>N</v>
          </cell>
          <cell r="Q1384" t="str">
            <v>Vacancy</v>
          </cell>
          <cell r="S1384">
            <v>0.13</v>
          </cell>
        </row>
        <row r="1385">
          <cell r="D1385">
            <v>908003754</v>
          </cell>
          <cell r="E1385" t="str">
            <v>CHRIS STULAR</v>
          </cell>
          <cell r="F1385" t="str">
            <v>D General (Orio</v>
          </cell>
          <cell r="G1385" t="str">
            <v>Invsd Smt checked</v>
          </cell>
          <cell r="H1385" t="str">
            <v>Orion</v>
          </cell>
          <cell r="I1385">
            <v>0.33333333333333331</v>
          </cell>
          <cell r="J1385">
            <v>0.89583333333333337</v>
          </cell>
          <cell r="K1385">
            <v>12.5</v>
          </cell>
          <cell r="L1385">
            <v>362.4</v>
          </cell>
          <cell r="O1385" t="str">
            <v>Y</v>
          </cell>
          <cell r="P1385" t="str">
            <v>N</v>
          </cell>
          <cell r="Q1385" t="str">
            <v>Vacancy</v>
          </cell>
          <cell r="S1385">
            <v>0.33</v>
          </cell>
        </row>
        <row r="1386">
          <cell r="D1386">
            <v>1008002726</v>
          </cell>
          <cell r="E1386" t="str">
            <v>EVELYN PANESA</v>
          </cell>
          <cell r="F1386" t="str">
            <v>D (Ch)</v>
          </cell>
          <cell r="G1386">
            <v>16881</v>
          </cell>
          <cell r="H1386" t="str">
            <v>Choice</v>
          </cell>
          <cell r="I1386">
            <v>0.875</v>
          </cell>
          <cell r="J1386">
            <v>0.32291666666666669</v>
          </cell>
          <cell r="K1386">
            <v>10</v>
          </cell>
          <cell r="L1386">
            <v>389.92</v>
          </cell>
          <cell r="O1386" t="str">
            <v>Y</v>
          </cell>
          <cell r="P1386" t="str">
            <v>N</v>
          </cell>
          <cell r="Q1386" t="str">
            <v>Short Term Sick</v>
          </cell>
          <cell r="S1386">
            <v>0.27</v>
          </cell>
        </row>
        <row r="1387">
          <cell r="D1387">
            <v>908005560</v>
          </cell>
          <cell r="E1387" t="str">
            <v>JAMES MCCLEMENTS</v>
          </cell>
          <cell r="F1387" t="str">
            <v>D (MD)</v>
          </cell>
          <cell r="H1387" t="str">
            <v>Mayday</v>
          </cell>
          <cell r="I1387">
            <v>0.3125</v>
          </cell>
          <cell r="J1387">
            <v>0.54166666666666663</v>
          </cell>
          <cell r="K1387">
            <v>5.5</v>
          </cell>
          <cell r="L1387">
            <v>284.14999999999998</v>
          </cell>
          <cell r="O1387" t="str">
            <v>Y</v>
          </cell>
          <cell r="P1387" t="str">
            <v>N</v>
          </cell>
          <cell r="Q1387" t="str">
            <v>Extra Capacity</v>
          </cell>
          <cell r="S1387">
            <v>0.15</v>
          </cell>
        </row>
        <row r="1388">
          <cell r="D1388">
            <v>808004157</v>
          </cell>
          <cell r="E1388" t="str">
            <v>JEAN NGONA</v>
          </cell>
          <cell r="F1388" t="str">
            <v>D (MD)</v>
          </cell>
          <cell r="G1388">
            <v>337661</v>
          </cell>
          <cell r="H1388" t="str">
            <v>Mayday</v>
          </cell>
          <cell r="I1388">
            <v>0.52083333333333337</v>
          </cell>
          <cell r="J1388">
            <v>0.85416666666666663</v>
          </cell>
          <cell r="K1388">
            <v>7.6666666666666696</v>
          </cell>
          <cell r="L1388">
            <v>396.09</v>
          </cell>
          <cell r="O1388" t="str">
            <v>Y</v>
          </cell>
          <cell r="P1388" t="str">
            <v>N</v>
          </cell>
          <cell r="Q1388" t="str">
            <v>Extra Capacity</v>
          </cell>
          <cell r="S1388">
            <v>0.2</v>
          </cell>
        </row>
        <row r="1389">
          <cell r="D1389">
            <v>808004248</v>
          </cell>
          <cell r="E1389" t="str">
            <v>KATIE KEAVENEY</v>
          </cell>
          <cell r="F1389" t="str">
            <v>D (MD)</v>
          </cell>
          <cell r="G1389">
            <v>336624</v>
          </cell>
          <cell r="H1389" t="str">
            <v>Mayday</v>
          </cell>
          <cell r="I1389">
            <v>0.83333333333333337</v>
          </cell>
          <cell r="J1389">
            <v>0.33333333333333331</v>
          </cell>
          <cell r="K1389">
            <v>11.3333333333333</v>
          </cell>
          <cell r="L1389">
            <v>585.53</v>
          </cell>
          <cell r="O1389" t="str">
            <v>Y</v>
          </cell>
          <cell r="P1389" t="str">
            <v>N</v>
          </cell>
          <cell r="Q1389" t="str">
            <v>Extra Capacity</v>
          </cell>
          <cell r="S1389">
            <v>0.3</v>
          </cell>
        </row>
        <row r="1390">
          <cell r="D1390">
            <v>808004178</v>
          </cell>
          <cell r="E1390" t="str">
            <v>LETECIA MENIANO</v>
          </cell>
          <cell r="F1390" t="str">
            <v>D (MD)</v>
          </cell>
          <cell r="G1390">
            <v>334315</v>
          </cell>
          <cell r="H1390" t="str">
            <v>Mayday</v>
          </cell>
          <cell r="I1390">
            <v>0.83333333333333337</v>
          </cell>
          <cell r="J1390">
            <v>0.33333333333333331</v>
          </cell>
          <cell r="K1390">
            <v>11.3333333333333</v>
          </cell>
          <cell r="L1390">
            <v>585.53</v>
          </cell>
          <cell r="O1390" t="str">
            <v>Y</v>
          </cell>
          <cell r="P1390" t="str">
            <v>N</v>
          </cell>
          <cell r="Q1390" t="str">
            <v>Extra Capacity</v>
          </cell>
          <cell r="S1390">
            <v>0.3</v>
          </cell>
        </row>
        <row r="1391">
          <cell r="D1391">
            <v>1008001728</v>
          </cell>
          <cell r="E1391" t="str">
            <v>LETECIA MENIANO</v>
          </cell>
          <cell r="F1391" t="str">
            <v>D (Ch)</v>
          </cell>
          <cell r="H1391" t="str">
            <v>Choice</v>
          </cell>
          <cell r="I1391">
            <v>0.83333333333333337</v>
          </cell>
          <cell r="J1391">
            <v>0.33333333333333331</v>
          </cell>
          <cell r="K1391">
            <v>11.3333333333333</v>
          </cell>
          <cell r="L1391">
            <v>441.91</v>
          </cell>
          <cell r="O1391" t="str">
            <v>Y</v>
          </cell>
          <cell r="P1391" t="str">
            <v>N</v>
          </cell>
          <cell r="Q1391" t="str">
            <v>Extra Capacity</v>
          </cell>
          <cell r="S1391">
            <v>0.3</v>
          </cell>
        </row>
        <row r="1392">
          <cell r="D1392">
            <v>1008001727</v>
          </cell>
          <cell r="E1392" t="str">
            <v>NILO DANUGO</v>
          </cell>
          <cell r="F1392" t="str">
            <v>D (Ch)</v>
          </cell>
          <cell r="G1392">
            <v>16882</v>
          </cell>
          <cell r="H1392" t="str">
            <v>Choice</v>
          </cell>
          <cell r="I1392">
            <v>0.83333333333333337</v>
          </cell>
          <cell r="J1392">
            <v>0.33333333333333331</v>
          </cell>
          <cell r="K1392">
            <v>11.3333333333333</v>
          </cell>
          <cell r="L1392">
            <v>441.91</v>
          </cell>
          <cell r="O1392" t="str">
            <v>Y</v>
          </cell>
          <cell r="P1392" t="str">
            <v>N</v>
          </cell>
          <cell r="Q1392" t="str">
            <v>Extra Capacity</v>
          </cell>
          <cell r="S1392">
            <v>0.3</v>
          </cell>
        </row>
        <row r="1393">
          <cell r="D1393">
            <v>808004171</v>
          </cell>
          <cell r="E1393" t="str">
            <v>PAT DUBE</v>
          </cell>
          <cell r="F1393" t="str">
            <v>D (MD)</v>
          </cell>
          <cell r="G1393">
            <v>337647</v>
          </cell>
          <cell r="H1393" t="str">
            <v>Mayday</v>
          </cell>
          <cell r="I1393">
            <v>0.83333333333333337</v>
          </cell>
          <cell r="J1393">
            <v>0.33333333333333331</v>
          </cell>
          <cell r="K1393">
            <v>11.3333333333333</v>
          </cell>
          <cell r="L1393">
            <v>585.53</v>
          </cell>
          <cell r="O1393" t="str">
            <v>Y</v>
          </cell>
          <cell r="P1393" t="str">
            <v>N</v>
          </cell>
          <cell r="Q1393" t="str">
            <v>Extra Capacity</v>
          </cell>
          <cell r="S1393">
            <v>0.3</v>
          </cell>
        </row>
        <row r="1394">
          <cell r="D1394">
            <v>908005558</v>
          </cell>
          <cell r="E1394" t="str">
            <v>PEGGY CHIRIKURE</v>
          </cell>
          <cell r="F1394" t="str">
            <v>D (Ch)</v>
          </cell>
          <cell r="G1394">
            <v>16861</v>
          </cell>
          <cell r="H1394" t="str">
            <v>Choice</v>
          </cell>
          <cell r="I1394">
            <v>0.3125</v>
          </cell>
          <cell r="J1394">
            <v>0.54166666666666663</v>
          </cell>
          <cell r="K1394">
            <v>5.5</v>
          </cell>
          <cell r="L1394">
            <v>214.46</v>
          </cell>
          <cell r="O1394" t="str">
            <v>Y</v>
          </cell>
          <cell r="P1394" t="str">
            <v>N</v>
          </cell>
          <cell r="Q1394" t="str">
            <v>Extra Capacity</v>
          </cell>
          <cell r="S1394">
            <v>0.15</v>
          </cell>
        </row>
        <row r="1395">
          <cell r="D1395">
            <v>908005561</v>
          </cell>
          <cell r="E1395" t="str">
            <v>PEGGY CHIRIKURE</v>
          </cell>
          <cell r="F1395" t="str">
            <v>D (Ch)</v>
          </cell>
          <cell r="G1395">
            <v>17007</v>
          </cell>
          <cell r="H1395" t="str">
            <v>Choice</v>
          </cell>
          <cell r="I1395">
            <v>0.625</v>
          </cell>
          <cell r="J1395">
            <v>0.85416666666666663</v>
          </cell>
          <cell r="K1395">
            <v>5.5</v>
          </cell>
          <cell r="L1395">
            <v>214.46</v>
          </cell>
          <cell r="O1395" t="str">
            <v>Y</v>
          </cell>
          <cell r="P1395" t="str">
            <v>N</v>
          </cell>
          <cell r="Q1395" t="str">
            <v>Extra Capacity</v>
          </cell>
          <cell r="S1395">
            <v>0.15</v>
          </cell>
        </row>
        <row r="1396">
          <cell r="D1396">
            <v>1008002664</v>
          </cell>
          <cell r="E1396" t="str">
            <v>PEGGY MAPOGO</v>
          </cell>
          <cell r="F1396" t="str">
            <v>D (Ch)</v>
          </cell>
          <cell r="G1396">
            <v>16931</v>
          </cell>
          <cell r="H1396" t="str">
            <v>Choice</v>
          </cell>
          <cell r="I1396">
            <v>0.3125</v>
          </cell>
          <cell r="J1396">
            <v>0.875</v>
          </cell>
          <cell r="K1396">
            <v>12.8333333333333</v>
          </cell>
          <cell r="L1396">
            <v>500.4</v>
          </cell>
          <cell r="O1396" t="str">
            <v>Y</v>
          </cell>
          <cell r="P1396" t="str">
            <v>N</v>
          </cell>
          <cell r="Q1396" t="str">
            <v>Vacancy</v>
          </cell>
          <cell r="S1396">
            <v>0.34</v>
          </cell>
        </row>
        <row r="1397">
          <cell r="D1397">
            <v>1008002273</v>
          </cell>
          <cell r="E1397" t="str">
            <v>RICCA PARADA</v>
          </cell>
          <cell r="F1397" t="str">
            <v>D (Ch)</v>
          </cell>
          <cell r="G1397">
            <v>16882</v>
          </cell>
          <cell r="H1397" t="str">
            <v>Choice</v>
          </cell>
          <cell r="I1397">
            <v>0.30208333333333331</v>
          </cell>
          <cell r="J1397">
            <v>0.89583333333333337</v>
          </cell>
          <cell r="K1397">
            <v>13.5833333333333</v>
          </cell>
          <cell r="L1397">
            <v>529.64</v>
          </cell>
          <cell r="O1397" t="str">
            <v>Y</v>
          </cell>
          <cell r="P1397" t="str">
            <v>N</v>
          </cell>
          <cell r="Q1397" t="str">
            <v>Short Term Sick</v>
          </cell>
          <cell r="S1397">
            <v>0.36</v>
          </cell>
        </row>
        <row r="1398">
          <cell r="D1398">
            <v>1008002666</v>
          </cell>
          <cell r="E1398" t="str">
            <v>TAMBU JENA</v>
          </cell>
          <cell r="F1398" t="str">
            <v>D (Ch)</v>
          </cell>
          <cell r="G1398">
            <v>16874</v>
          </cell>
          <cell r="H1398" t="str">
            <v>Choice</v>
          </cell>
          <cell r="I1398">
            <v>0.29166666666666669</v>
          </cell>
          <cell r="J1398">
            <v>0.79166666666666663</v>
          </cell>
          <cell r="K1398">
            <v>11.3333333333333</v>
          </cell>
          <cell r="L1398">
            <v>441.91</v>
          </cell>
          <cell r="O1398" t="str">
            <v>Y</v>
          </cell>
          <cell r="P1398" t="str">
            <v>N</v>
          </cell>
          <cell r="Q1398" t="str">
            <v>On-Call</v>
          </cell>
          <cell r="S1398">
            <v>0.3</v>
          </cell>
        </row>
        <row r="1399">
          <cell r="D1399">
            <v>1008000563</v>
          </cell>
          <cell r="E1399" t="str">
            <v>ALBERTINA GABSHE</v>
          </cell>
          <cell r="F1399" t="str">
            <v>D (MD)</v>
          </cell>
          <cell r="G1399">
            <v>335612</v>
          </cell>
          <cell r="H1399" t="str">
            <v>Mayday</v>
          </cell>
          <cell r="I1399">
            <v>0.58333333333333337</v>
          </cell>
          <cell r="J1399">
            <v>0.875</v>
          </cell>
          <cell r="K1399">
            <v>7</v>
          </cell>
          <cell r="L1399">
            <v>226.03</v>
          </cell>
          <cell r="O1399" t="str">
            <v>Y</v>
          </cell>
          <cell r="P1399" t="str">
            <v>N</v>
          </cell>
          <cell r="Q1399" t="str">
            <v>Transfer</v>
          </cell>
          <cell r="S1399">
            <v>0.19</v>
          </cell>
        </row>
        <row r="1400">
          <cell r="D1400">
            <v>808004305</v>
          </cell>
          <cell r="E1400" t="str">
            <v>ATINUKE OKE-OLATUNDE</v>
          </cell>
          <cell r="F1400" t="str">
            <v>D (MD)</v>
          </cell>
          <cell r="G1400">
            <v>335616</v>
          </cell>
          <cell r="H1400" t="str">
            <v>Mayday</v>
          </cell>
          <cell r="I1400">
            <v>0.83333333333333337</v>
          </cell>
          <cell r="J1400">
            <v>0.33333333333333331</v>
          </cell>
          <cell r="K1400">
            <v>11.3333333333333</v>
          </cell>
          <cell r="L1400">
            <v>475.74</v>
          </cell>
          <cell r="O1400" t="str">
            <v>Y</v>
          </cell>
          <cell r="P1400" t="str">
            <v>N</v>
          </cell>
          <cell r="Q1400" t="str">
            <v>Extra Capacity</v>
          </cell>
          <cell r="S1400">
            <v>0.3</v>
          </cell>
        </row>
        <row r="1401">
          <cell r="D1401">
            <v>1008002859</v>
          </cell>
          <cell r="E1401" t="str">
            <v>BONNIE TWALA</v>
          </cell>
          <cell r="F1401" t="str">
            <v>D (MD)</v>
          </cell>
          <cell r="G1401">
            <v>336606</v>
          </cell>
          <cell r="H1401" t="str">
            <v>Mayday</v>
          </cell>
          <cell r="I1401">
            <v>0.79166666666666663</v>
          </cell>
          <cell r="J1401">
            <v>0.33333333333333331</v>
          </cell>
          <cell r="K1401">
            <v>12.3333333333333</v>
          </cell>
          <cell r="L1401">
            <v>398.24</v>
          </cell>
          <cell r="O1401" t="str">
            <v>Y</v>
          </cell>
          <cell r="P1401" t="str">
            <v>N</v>
          </cell>
          <cell r="Q1401" t="str">
            <v>Extra Capacity</v>
          </cell>
          <cell r="S1401">
            <v>0.33</v>
          </cell>
        </row>
        <row r="1402">
          <cell r="D1402">
            <v>1008002857</v>
          </cell>
          <cell r="E1402" t="str">
            <v>ELIZABETH MHASHU</v>
          </cell>
          <cell r="F1402" t="str">
            <v>D (MD)</v>
          </cell>
          <cell r="G1402">
            <v>335601</v>
          </cell>
          <cell r="H1402" t="str">
            <v>Mayday</v>
          </cell>
          <cell r="I1402">
            <v>0.8125</v>
          </cell>
          <cell r="J1402">
            <v>0.32291666666666669</v>
          </cell>
          <cell r="K1402">
            <v>11.5833333333333</v>
          </cell>
          <cell r="L1402">
            <v>486.23</v>
          </cell>
          <cell r="O1402" t="str">
            <v>Y</v>
          </cell>
          <cell r="P1402" t="str">
            <v>N</v>
          </cell>
          <cell r="Q1402" t="str">
            <v>Extra Capacity</v>
          </cell>
          <cell r="S1402">
            <v>0.31</v>
          </cell>
        </row>
        <row r="1403">
          <cell r="D1403">
            <v>1008002296</v>
          </cell>
          <cell r="E1403" t="str">
            <v>GLENDA RONA</v>
          </cell>
          <cell r="F1403" t="str">
            <v>D (Ch)</v>
          </cell>
          <cell r="G1403">
            <v>16954</v>
          </cell>
          <cell r="H1403" t="str">
            <v>Choice</v>
          </cell>
          <cell r="I1403">
            <v>0.83333333333333337</v>
          </cell>
          <cell r="J1403">
            <v>0.33333333333333331</v>
          </cell>
          <cell r="K1403">
            <v>11.3333333333333</v>
          </cell>
          <cell r="L1403">
            <v>359.05</v>
          </cell>
          <cell r="O1403" t="str">
            <v>Y</v>
          </cell>
          <cell r="P1403" t="str">
            <v>N</v>
          </cell>
          <cell r="Q1403" t="str">
            <v>Extra Capacity</v>
          </cell>
          <cell r="S1403">
            <v>0.3</v>
          </cell>
        </row>
        <row r="1404">
          <cell r="D1404">
            <v>908006486</v>
          </cell>
          <cell r="E1404" t="str">
            <v>GRACE CHIKWAVA</v>
          </cell>
          <cell r="F1404" t="str">
            <v>D (Ch)</v>
          </cell>
          <cell r="G1404">
            <v>16949</v>
          </cell>
          <cell r="H1404" t="str">
            <v>Choice</v>
          </cell>
          <cell r="I1404">
            <v>0.625</v>
          </cell>
          <cell r="J1404">
            <v>0.85416666666666663</v>
          </cell>
          <cell r="K1404">
            <v>5.5</v>
          </cell>
          <cell r="L1404">
            <v>134.03</v>
          </cell>
          <cell r="O1404" t="str">
            <v>Y</v>
          </cell>
          <cell r="P1404" t="str">
            <v>N</v>
          </cell>
          <cell r="Q1404" t="str">
            <v>Vacancy</v>
          </cell>
          <cell r="S1404">
            <v>0.15</v>
          </cell>
        </row>
        <row r="1405">
          <cell r="D1405">
            <v>1008002146</v>
          </cell>
          <cell r="E1405" t="str">
            <v>GRACE CHIKWAVA</v>
          </cell>
          <cell r="F1405" t="str">
            <v>D (Ch)</v>
          </cell>
          <cell r="G1405">
            <v>16950</v>
          </cell>
          <cell r="H1405" t="str">
            <v>Choice</v>
          </cell>
          <cell r="I1405">
            <v>0.29166666666666669</v>
          </cell>
          <cell r="J1405">
            <v>0.625</v>
          </cell>
          <cell r="K1405">
            <v>7.5</v>
          </cell>
          <cell r="L1405">
            <v>182.78</v>
          </cell>
          <cell r="O1405" t="str">
            <v>Y</v>
          </cell>
          <cell r="P1405" t="str">
            <v>N</v>
          </cell>
          <cell r="Q1405" t="str">
            <v>Extra Capacity</v>
          </cell>
          <cell r="S1405">
            <v>0.2</v>
          </cell>
        </row>
        <row r="1406">
          <cell r="D1406">
            <v>1008002103</v>
          </cell>
          <cell r="E1406" t="str">
            <v>HILDA SHANGE</v>
          </cell>
          <cell r="F1406" t="str">
            <v>D (Ch)</v>
          </cell>
          <cell r="G1406">
            <v>17021</v>
          </cell>
          <cell r="H1406" t="str">
            <v>Choice</v>
          </cell>
          <cell r="I1406">
            <v>0.82291666666666663</v>
          </cell>
          <cell r="J1406">
            <v>0.34375</v>
          </cell>
          <cell r="K1406">
            <v>10.5</v>
          </cell>
          <cell r="L1406">
            <v>332.65</v>
          </cell>
          <cell r="O1406" t="str">
            <v>Y</v>
          </cell>
          <cell r="P1406" t="str">
            <v>N</v>
          </cell>
          <cell r="Q1406" t="str">
            <v>Annual Leave</v>
          </cell>
          <cell r="S1406">
            <v>0.28000000000000003</v>
          </cell>
        </row>
        <row r="1407">
          <cell r="D1407">
            <v>1008002147</v>
          </cell>
          <cell r="E1407" t="str">
            <v>JOANNE DUCKER</v>
          </cell>
          <cell r="F1407" t="str">
            <v>D / 5 General (</v>
          </cell>
          <cell r="G1407" t="str">
            <v>604-152550</v>
          </cell>
          <cell r="H1407" t="str">
            <v>Blue Arrow</v>
          </cell>
          <cell r="I1407">
            <v>0.5625</v>
          </cell>
          <cell r="J1407">
            <v>0.89583333333333337</v>
          </cell>
          <cell r="K1407">
            <v>7.5</v>
          </cell>
          <cell r="L1407">
            <v>126.6</v>
          </cell>
          <cell r="O1407" t="str">
            <v>Y</v>
          </cell>
          <cell r="P1407" t="str">
            <v>N</v>
          </cell>
          <cell r="Q1407" t="str">
            <v>Extra Capacity</v>
          </cell>
          <cell r="S1407">
            <v>0.2</v>
          </cell>
        </row>
        <row r="1408">
          <cell r="D1408">
            <v>1008002297</v>
          </cell>
          <cell r="E1408" t="str">
            <v>JOHANNA SELOKELA</v>
          </cell>
          <cell r="F1408" t="str">
            <v>D (MD)</v>
          </cell>
          <cell r="G1408">
            <v>336631</v>
          </cell>
          <cell r="H1408" t="str">
            <v>Mayday</v>
          </cell>
          <cell r="I1408">
            <v>0.83333333333333337</v>
          </cell>
          <cell r="J1408">
            <v>0.33333333333333331</v>
          </cell>
          <cell r="K1408">
            <v>11.3333333333333</v>
          </cell>
          <cell r="L1408">
            <v>475.74</v>
          </cell>
          <cell r="O1408" t="str">
            <v>Y</v>
          </cell>
          <cell r="P1408" t="str">
            <v>N</v>
          </cell>
          <cell r="Q1408" t="str">
            <v>Extra Capacity</v>
          </cell>
          <cell r="S1408">
            <v>0.3</v>
          </cell>
        </row>
        <row r="1409">
          <cell r="D1409">
            <v>1008002769</v>
          </cell>
          <cell r="E1409" t="str">
            <v>JOY MABITLE</v>
          </cell>
          <cell r="F1409" t="str">
            <v>D (MD)</v>
          </cell>
          <cell r="G1409">
            <v>351373</v>
          </cell>
          <cell r="H1409" t="str">
            <v>Mayday</v>
          </cell>
          <cell r="I1409">
            <v>0.8125</v>
          </cell>
          <cell r="J1409">
            <v>0.33333333333333331</v>
          </cell>
          <cell r="K1409">
            <v>11.8333333333333</v>
          </cell>
          <cell r="L1409">
            <v>496.73</v>
          </cell>
          <cell r="O1409" t="str">
            <v>Y</v>
          </cell>
          <cell r="P1409" t="str">
            <v>N</v>
          </cell>
          <cell r="Q1409" t="str">
            <v>Short Term Sick</v>
          </cell>
          <cell r="S1409">
            <v>0.32</v>
          </cell>
        </row>
        <row r="1410">
          <cell r="D1410">
            <v>808004311</v>
          </cell>
          <cell r="E1410" t="str">
            <v>KATIE KEAVENEY</v>
          </cell>
          <cell r="F1410" t="str">
            <v>D (MD)</v>
          </cell>
          <cell r="G1410">
            <v>336627</v>
          </cell>
          <cell r="H1410" t="str">
            <v>Mayday</v>
          </cell>
          <cell r="I1410">
            <v>0.83333333333333337</v>
          </cell>
          <cell r="J1410">
            <v>0.33333333333333331</v>
          </cell>
          <cell r="K1410">
            <v>11.3333333333333</v>
          </cell>
          <cell r="L1410">
            <v>475.74</v>
          </cell>
          <cell r="O1410" t="str">
            <v>Y</v>
          </cell>
          <cell r="P1410" t="str">
            <v>N</v>
          </cell>
          <cell r="Q1410" t="str">
            <v>Extra Capacity</v>
          </cell>
          <cell r="S1410">
            <v>0.3</v>
          </cell>
        </row>
        <row r="1411">
          <cell r="D1411">
            <v>1008002852</v>
          </cell>
          <cell r="E1411" t="str">
            <v>MABEL MNISI</v>
          </cell>
          <cell r="F1411" t="str">
            <v>D (MD)</v>
          </cell>
          <cell r="G1411">
            <v>336053</v>
          </cell>
          <cell r="H1411" t="str">
            <v>Mayday</v>
          </cell>
          <cell r="I1411">
            <v>0.83333333333333337</v>
          </cell>
          <cell r="J1411">
            <v>0.33333333333333331</v>
          </cell>
          <cell r="K1411">
            <v>11.3333333333333</v>
          </cell>
          <cell r="L1411">
            <v>475.74</v>
          </cell>
          <cell r="O1411" t="str">
            <v>Y</v>
          </cell>
          <cell r="P1411" t="str">
            <v>N</v>
          </cell>
          <cell r="Q1411" t="str">
            <v>Extra Capacity</v>
          </cell>
          <cell r="S1411">
            <v>0.3</v>
          </cell>
        </row>
        <row r="1412">
          <cell r="D1412">
            <v>1008002851</v>
          </cell>
          <cell r="E1412" t="str">
            <v>NATHI ZULU</v>
          </cell>
          <cell r="F1412" t="str">
            <v>D (MD)</v>
          </cell>
          <cell r="G1412">
            <v>337664</v>
          </cell>
          <cell r="H1412" t="str">
            <v>Mayday</v>
          </cell>
          <cell r="I1412">
            <v>0.88541666666666663</v>
          </cell>
          <cell r="J1412">
            <v>0.30208333333333331</v>
          </cell>
          <cell r="K1412">
            <v>9</v>
          </cell>
          <cell r="L1412">
            <v>377.79</v>
          </cell>
          <cell r="O1412" t="str">
            <v>Y</v>
          </cell>
          <cell r="P1412" t="str">
            <v>N</v>
          </cell>
          <cell r="Q1412" t="str">
            <v>Extra Capacity</v>
          </cell>
          <cell r="S1412">
            <v>0.24</v>
          </cell>
        </row>
        <row r="1413">
          <cell r="D1413">
            <v>1008002723</v>
          </cell>
          <cell r="E1413" t="str">
            <v>PAT MUGABZA</v>
          </cell>
          <cell r="F1413" t="str">
            <v>A (Ch)</v>
          </cell>
          <cell r="G1413">
            <v>16939</v>
          </cell>
          <cell r="H1413" t="str">
            <v>Choice</v>
          </cell>
          <cell r="I1413">
            <v>0.3125</v>
          </cell>
          <cell r="J1413">
            <v>0.89583333333333337</v>
          </cell>
          <cell r="K1413">
            <v>12</v>
          </cell>
          <cell r="L1413">
            <v>133.08000000000001</v>
          </cell>
          <cell r="O1413" t="str">
            <v>Y</v>
          </cell>
          <cell r="P1413" t="str">
            <v>N</v>
          </cell>
          <cell r="Q1413" t="str">
            <v>Vacancy</v>
          </cell>
          <cell r="S1413">
            <v>0.32</v>
          </cell>
        </row>
        <row r="1414">
          <cell r="D1414">
            <v>808004270</v>
          </cell>
          <cell r="E1414" t="str">
            <v>SAMANTHA BICK</v>
          </cell>
          <cell r="F1414" t="str">
            <v>D (MD)</v>
          </cell>
          <cell r="G1414">
            <v>335602</v>
          </cell>
          <cell r="H1414" t="str">
            <v>Mayday</v>
          </cell>
          <cell r="I1414">
            <v>0.3125</v>
          </cell>
          <cell r="J1414">
            <v>0.58333333333333337</v>
          </cell>
          <cell r="K1414">
            <v>6.1666666666666696</v>
          </cell>
          <cell r="L1414">
            <v>199.12</v>
          </cell>
          <cell r="O1414" t="str">
            <v>Y</v>
          </cell>
          <cell r="P1414" t="str">
            <v>N</v>
          </cell>
          <cell r="Q1414" t="str">
            <v>Extra Capacity</v>
          </cell>
          <cell r="S1414">
            <v>0.16</v>
          </cell>
        </row>
        <row r="1415">
          <cell r="D1415">
            <v>808004446</v>
          </cell>
          <cell r="E1415" t="str">
            <v>TEMBE NGIDI</v>
          </cell>
          <cell r="F1415" t="str">
            <v>D (MD)</v>
          </cell>
          <cell r="H1415" t="str">
            <v>Mayday</v>
          </cell>
          <cell r="I1415">
            <v>0.83333333333333337</v>
          </cell>
          <cell r="J1415">
            <v>0.33333333333333331</v>
          </cell>
          <cell r="K1415">
            <v>11.3333333333333</v>
          </cell>
          <cell r="L1415">
            <v>475.74</v>
          </cell>
          <cell r="O1415" t="str">
            <v>Y</v>
          </cell>
          <cell r="P1415" t="str">
            <v>N</v>
          </cell>
          <cell r="Q1415" t="str">
            <v>Extra Capacity</v>
          </cell>
          <cell r="S1415">
            <v>0.3</v>
          </cell>
        </row>
        <row r="1416">
          <cell r="D1416">
            <v>908000234</v>
          </cell>
          <cell r="E1416" t="str">
            <v>TRUST CHIWUNDURA</v>
          </cell>
          <cell r="F1416" t="str">
            <v>A (Ch)</v>
          </cell>
          <cell r="G1416">
            <v>16931</v>
          </cell>
          <cell r="H1416" t="str">
            <v>Choice</v>
          </cell>
          <cell r="I1416">
            <v>0.875</v>
          </cell>
          <cell r="J1416">
            <v>0.3125</v>
          </cell>
          <cell r="K1416">
            <v>10.1666666666667</v>
          </cell>
          <cell r="L1416">
            <v>150.33000000000001</v>
          </cell>
          <cell r="O1416" t="str">
            <v>Y</v>
          </cell>
          <cell r="P1416" t="str">
            <v>N</v>
          </cell>
          <cell r="Q1416" t="str">
            <v>Annual Leave</v>
          </cell>
          <cell r="S1416">
            <v>0.27</v>
          </cell>
        </row>
        <row r="1417">
          <cell r="D1417">
            <v>1008002856</v>
          </cell>
          <cell r="E1417" t="str">
            <v>VERLYN GANIR</v>
          </cell>
          <cell r="F1417" t="str">
            <v>D (MD)</v>
          </cell>
          <cell r="G1417">
            <v>335608</v>
          </cell>
          <cell r="H1417" t="str">
            <v>Mayday</v>
          </cell>
          <cell r="I1417">
            <v>0.88541666666666663</v>
          </cell>
          <cell r="J1417">
            <v>0.30208333333333331</v>
          </cell>
          <cell r="K1417">
            <v>9</v>
          </cell>
          <cell r="L1417">
            <v>377.79</v>
          </cell>
          <cell r="O1417" t="str">
            <v>Y</v>
          </cell>
          <cell r="P1417" t="str">
            <v>N</v>
          </cell>
          <cell r="Q1417" t="str">
            <v>Extra Capacity</v>
          </cell>
          <cell r="S1417">
            <v>0.24</v>
          </cell>
        </row>
        <row r="1418">
          <cell r="D1418">
            <v>1008002855</v>
          </cell>
          <cell r="E1418" t="str">
            <v>ALBERTINA GABSHE</v>
          </cell>
          <cell r="F1418" t="str">
            <v>D (MD)</v>
          </cell>
          <cell r="G1418">
            <v>335908</v>
          </cell>
          <cell r="H1418" t="str">
            <v>Mayday</v>
          </cell>
          <cell r="I1418">
            <v>0.3125</v>
          </cell>
          <cell r="J1418">
            <v>0.60416666666666663</v>
          </cell>
          <cell r="K1418">
            <v>11.8333333333333</v>
          </cell>
          <cell r="L1418">
            <v>382.1</v>
          </cell>
          <cell r="O1418" t="str">
            <v>Y</v>
          </cell>
          <cell r="P1418" t="str">
            <v>N</v>
          </cell>
          <cell r="Q1418" t="str">
            <v>Extra Capacity</v>
          </cell>
          <cell r="S1418">
            <v>0.32</v>
          </cell>
        </row>
        <row r="1419">
          <cell r="D1419">
            <v>1008001795</v>
          </cell>
          <cell r="E1419" t="str">
            <v>ANNA BONNERUP</v>
          </cell>
          <cell r="F1419" t="str">
            <v>D / 5 General (</v>
          </cell>
          <cell r="G1419" t="str">
            <v>604-152971</v>
          </cell>
          <cell r="H1419" t="str">
            <v>Blue Arrow</v>
          </cell>
          <cell r="I1419">
            <v>0.3125</v>
          </cell>
          <cell r="J1419">
            <v>0.54166666666666663</v>
          </cell>
          <cell r="K1419">
            <v>5.5</v>
          </cell>
          <cell r="L1419">
            <v>92.84</v>
          </cell>
          <cell r="O1419" t="str">
            <v>Y</v>
          </cell>
          <cell r="P1419" t="str">
            <v>N</v>
          </cell>
          <cell r="Q1419" t="str">
            <v>Vacancy</v>
          </cell>
          <cell r="S1419">
            <v>0.15</v>
          </cell>
        </row>
        <row r="1420">
          <cell r="D1420">
            <v>1008001796</v>
          </cell>
          <cell r="E1420" t="str">
            <v>ANNA BONNERUP</v>
          </cell>
          <cell r="F1420" t="str">
            <v>D / 5 General (</v>
          </cell>
          <cell r="G1420" t="str">
            <v>604-152971</v>
          </cell>
          <cell r="H1420" t="str">
            <v>Blue Arrow</v>
          </cell>
          <cell r="I1420">
            <v>0.625</v>
          </cell>
          <cell r="J1420">
            <v>0.85416666666666663</v>
          </cell>
          <cell r="K1420">
            <v>5.5</v>
          </cell>
          <cell r="L1420">
            <v>92.84</v>
          </cell>
          <cell r="O1420" t="str">
            <v>Y</v>
          </cell>
          <cell r="P1420" t="str">
            <v>N</v>
          </cell>
          <cell r="Q1420" t="str">
            <v>Vacancy</v>
          </cell>
          <cell r="S1420">
            <v>0.15</v>
          </cell>
        </row>
        <row r="1421">
          <cell r="D1421">
            <v>808004454</v>
          </cell>
          <cell r="E1421" t="str">
            <v>ATINUKE OKE-OLATUNDE</v>
          </cell>
          <cell r="F1421" t="str">
            <v>D (MD)</v>
          </cell>
          <cell r="G1421">
            <v>337650</v>
          </cell>
          <cell r="H1421" t="str">
            <v>Mayday</v>
          </cell>
          <cell r="I1421">
            <v>0.83333333333333337</v>
          </cell>
          <cell r="J1421">
            <v>0.33333333333333331</v>
          </cell>
          <cell r="K1421">
            <v>11.3333333333333</v>
          </cell>
          <cell r="L1421">
            <v>475.74</v>
          </cell>
          <cell r="O1421" t="str">
            <v>Y</v>
          </cell>
          <cell r="P1421" t="str">
            <v>N</v>
          </cell>
          <cell r="Q1421" t="str">
            <v>Extra Capacity</v>
          </cell>
          <cell r="S1421">
            <v>0.3</v>
          </cell>
        </row>
        <row r="1422">
          <cell r="D1422">
            <v>808004312</v>
          </cell>
          <cell r="E1422" t="str">
            <v>BEAUTY NGIDI</v>
          </cell>
          <cell r="F1422" t="str">
            <v>D (MD)</v>
          </cell>
          <cell r="G1422">
            <v>336574</v>
          </cell>
          <cell r="H1422" t="str">
            <v>Mayday</v>
          </cell>
          <cell r="I1422">
            <v>0.83333333333333337</v>
          </cell>
          <cell r="J1422">
            <v>0.33333333333333331</v>
          </cell>
          <cell r="K1422">
            <v>11.3333333333333</v>
          </cell>
          <cell r="L1422">
            <v>475.74</v>
          </cell>
          <cell r="O1422" t="str">
            <v>Y</v>
          </cell>
          <cell r="P1422" t="str">
            <v>N</v>
          </cell>
          <cell r="Q1422" t="str">
            <v>Extra Capacity</v>
          </cell>
          <cell r="S1422">
            <v>0.3</v>
          </cell>
        </row>
        <row r="1423">
          <cell r="D1423">
            <v>808004433</v>
          </cell>
          <cell r="E1423" t="str">
            <v>BERNADETTE SHINYA-NDUNUWANI</v>
          </cell>
          <cell r="F1423" t="str">
            <v>D (MD)</v>
          </cell>
          <cell r="G1423">
            <v>335615</v>
          </cell>
          <cell r="H1423" t="str">
            <v>Mayday</v>
          </cell>
          <cell r="I1423">
            <v>0.625</v>
          </cell>
          <cell r="J1423">
            <v>0.85416666666666663</v>
          </cell>
          <cell r="K1423">
            <v>5.5</v>
          </cell>
          <cell r="L1423">
            <v>177.59</v>
          </cell>
          <cell r="O1423" t="str">
            <v>Y</v>
          </cell>
          <cell r="P1423" t="str">
            <v>N</v>
          </cell>
          <cell r="Q1423" t="str">
            <v>Extra Capacity</v>
          </cell>
          <cell r="S1423">
            <v>0.15</v>
          </cell>
        </row>
        <row r="1424">
          <cell r="D1424">
            <v>808004271</v>
          </cell>
          <cell r="E1424" t="str">
            <v>BRIGHTNESS NDEBELE</v>
          </cell>
          <cell r="F1424" t="str">
            <v>D (MD)</v>
          </cell>
          <cell r="G1424">
            <v>336559</v>
          </cell>
          <cell r="H1424" t="str">
            <v>Mayday</v>
          </cell>
          <cell r="I1424">
            <v>0.3125</v>
          </cell>
          <cell r="J1424">
            <v>0.58333333333333337</v>
          </cell>
          <cell r="K1424">
            <v>6.1666666666666696</v>
          </cell>
          <cell r="L1424">
            <v>199.12</v>
          </cell>
          <cell r="O1424" t="str">
            <v>Y</v>
          </cell>
          <cell r="P1424" t="str">
            <v>N</v>
          </cell>
          <cell r="Q1424" t="str">
            <v>Extra Capacity</v>
          </cell>
          <cell r="S1424">
            <v>0.16</v>
          </cell>
        </row>
        <row r="1425">
          <cell r="D1425">
            <v>808004285</v>
          </cell>
          <cell r="E1425" t="str">
            <v>BRIGHTNESS NDEBELE</v>
          </cell>
          <cell r="F1425" t="str">
            <v>D (MD)</v>
          </cell>
          <cell r="G1425">
            <v>336559</v>
          </cell>
          <cell r="H1425" t="str">
            <v>Mayday</v>
          </cell>
          <cell r="I1425">
            <v>0.625</v>
          </cell>
          <cell r="J1425">
            <v>0.85416666666666663</v>
          </cell>
          <cell r="K1425">
            <v>5.5</v>
          </cell>
          <cell r="L1425">
            <v>177.59</v>
          </cell>
          <cell r="O1425" t="str">
            <v>Y</v>
          </cell>
          <cell r="P1425" t="str">
            <v>N</v>
          </cell>
          <cell r="Q1425" t="str">
            <v>Extra Capacity</v>
          </cell>
          <cell r="S1425">
            <v>0.15</v>
          </cell>
        </row>
        <row r="1426">
          <cell r="D1426">
            <v>1008002999</v>
          </cell>
          <cell r="E1426" t="str">
            <v>CARL HIBBERT</v>
          </cell>
          <cell r="F1426" t="str">
            <v>D (Ch)</v>
          </cell>
          <cell r="G1426">
            <v>16935</v>
          </cell>
          <cell r="H1426" t="str">
            <v>Choice</v>
          </cell>
          <cell r="I1426">
            <v>0.84375</v>
          </cell>
          <cell r="J1426">
            <v>0.3125</v>
          </cell>
          <cell r="K1426">
            <v>10.25</v>
          </cell>
          <cell r="L1426">
            <v>324.73</v>
          </cell>
          <cell r="O1426" t="str">
            <v>Y</v>
          </cell>
          <cell r="P1426" t="str">
            <v>N</v>
          </cell>
          <cell r="Q1426" t="str">
            <v>Short Term Sick</v>
          </cell>
          <cell r="S1426">
            <v>0.27</v>
          </cell>
        </row>
        <row r="1427">
          <cell r="D1427">
            <v>908003756</v>
          </cell>
          <cell r="E1427" t="str">
            <v>CHRIS STULAR</v>
          </cell>
          <cell r="F1427" t="str">
            <v>D General (Orio</v>
          </cell>
          <cell r="G1427" t="str">
            <v>Invsd Smt checked</v>
          </cell>
          <cell r="H1427" t="str">
            <v>Orion</v>
          </cell>
          <cell r="I1427">
            <v>0.33333333333333331</v>
          </cell>
          <cell r="J1427">
            <v>0.75</v>
          </cell>
          <cell r="K1427">
            <v>9.5</v>
          </cell>
          <cell r="L1427">
            <v>172.14</v>
          </cell>
          <cell r="O1427" t="str">
            <v>Y</v>
          </cell>
          <cell r="P1427" t="str">
            <v>N</v>
          </cell>
          <cell r="Q1427" t="str">
            <v>Vacancy</v>
          </cell>
          <cell r="S1427">
            <v>0.25</v>
          </cell>
        </row>
        <row r="1428">
          <cell r="D1428">
            <v>1008002302</v>
          </cell>
          <cell r="E1428" t="str">
            <v>CYNTHIA DELMO</v>
          </cell>
          <cell r="F1428" t="str">
            <v>D (Ch)</v>
          </cell>
          <cell r="H1428" t="str">
            <v>Choice</v>
          </cell>
          <cell r="I1428">
            <v>0.83333333333333337</v>
          </cell>
          <cell r="J1428">
            <v>0.33333333333333331</v>
          </cell>
          <cell r="K1428">
            <v>11.3333333333333</v>
          </cell>
          <cell r="L1428">
            <v>359.05</v>
          </cell>
          <cell r="O1428" t="str">
            <v>Y</v>
          </cell>
          <cell r="P1428" t="str">
            <v>N</v>
          </cell>
          <cell r="Q1428" t="str">
            <v>Extra Capacity</v>
          </cell>
          <cell r="S1428">
            <v>0.3</v>
          </cell>
        </row>
        <row r="1429">
          <cell r="D1429">
            <v>1008002849</v>
          </cell>
          <cell r="E1429" t="str">
            <v>FIONA DURKIN-GREER</v>
          </cell>
          <cell r="F1429" t="str">
            <v>D (MD)</v>
          </cell>
          <cell r="G1429">
            <v>336751</v>
          </cell>
          <cell r="H1429" t="str">
            <v>Mayday</v>
          </cell>
          <cell r="I1429">
            <v>0.58333333333333337</v>
          </cell>
          <cell r="J1429">
            <v>0.83333333333333337</v>
          </cell>
          <cell r="K1429">
            <v>5.6666666666666696</v>
          </cell>
          <cell r="L1429">
            <v>182.98</v>
          </cell>
          <cell r="O1429" t="str">
            <v>Y</v>
          </cell>
          <cell r="P1429" t="str">
            <v>N</v>
          </cell>
          <cell r="Q1429" t="str">
            <v>Short Term Sick</v>
          </cell>
          <cell r="S1429">
            <v>0.15</v>
          </cell>
        </row>
        <row r="1430">
          <cell r="D1430">
            <v>1008002301</v>
          </cell>
          <cell r="E1430" t="str">
            <v>GLENDA RONA</v>
          </cell>
          <cell r="F1430" t="str">
            <v>D (Ch)</v>
          </cell>
          <cell r="G1430">
            <v>16954</v>
          </cell>
          <cell r="H1430" t="str">
            <v>Choice</v>
          </cell>
          <cell r="I1430">
            <v>0.83333333333333337</v>
          </cell>
          <cell r="J1430">
            <v>0.33333333333333331</v>
          </cell>
          <cell r="K1430">
            <v>11.3333333333333</v>
          </cell>
          <cell r="L1430">
            <v>359.05</v>
          </cell>
          <cell r="O1430" t="str">
            <v>Y</v>
          </cell>
          <cell r="P1430" t="str">
            <v>N</v>
          </cell>
          <cell r="Q1430" t="str">
            <v>Extra Capacity</v>
          </cell>
          <cell r="S1430">
            <v>0.3</v>
          </cell>
        </row>
        <row r="1431">
          <cell r="D1431">
            <v>1008002148</v>
          </cell>
          <cell r="E1431" t="str">
            <v>GRACE CHIKWAVA</v>
          </cell>
          <cell r="F1431" t="str">
            <v>D (Ch)</v>
          </cell>
          <cell r="G1431">
            <v>16950</v>
          </cell>
          <cell r="H1431" t="str">
            <v>Choice</v>
          </cell>
          <cell r="I1431">
            <v>0.29166666666666669</v>
          </cell>
          <cell r="J1431">
            <v>0.625</v>
          </cell>
          <cell r="K1431">
            <v>7.5</v>
          </cell>
          <cell r="L1431">
            <v>182.78</v>
          </cell>
          <cell r="O1431" t="str">
            <v>Y</v>
          </cell>
          <cell r="P1431" t="str">
            <v>N</v>
          </cell>
          <cell r="Q1431" t="str">
            <v>Extra Capacity</v>
          </cell>
          <cell r="S1431">
            <v>0.2</v>
          </cell>
        </row>
        <row r="1432">
          <cell r="D1432">
            <v>1008002283</v>
          </cell>
          <cell r="E1432" t="str">
            <v>JAKE BROOKES</v>
          </cell>
          <cell r="F1432" t="str">
            <v>D General (Orio</v>
          </cell>
          <cell r="G1432" t="str">
            <v>Invsd Smt checked</v>
          </cell>
          <cell r="H1432" t="str">
            <v>Orion</v>
          </cell>
          <cell r="I1432">
            <v>0.54166666666666663</v>
          </cell>
          <cell r="J1432">
            <v>0.75</v>
          </cell>
          <cell r="K1432">
            <v>5</v>
          </cell>
          <cell r="L1432">
            <v>90.6</v>
          </cell>
          <cell r="O1432" t="str">
            <v>Y</v>
          </cell>
          <cell r="P1432" t="str">
            <v>N</v>
          </cell>
          <cell r="Q1432" t="str">
            <v>Long Term Sick</v>
          </cell>
          <cell r="S1432">
            <v>0.13</v>
          </cell>
        </row>
        <row r="1433">
          <cell r="D1433">
            <v>1008002848</v>
          </cell>
          <cell r="E1433" t="str">
            <v>JEAN NGONA</v>
          </cell>
          <cell r="F1433" t="str">
            <v>D (MD)</v>
          </cell>
          <cell r="G1433">
            <v>337379</v>
          </cell>
          <cell r="H1433" t="str">
            <v>Mayday</v>
          </cell>
          <cell r="I1433">
            <v>0.3125</v>
          </cell>
          <cell r="J1433">
            <v>0.58333333333333337</v>
          </cell>
          <cell r="K1433">
            <v>6.1666666666666696</v>
          </cell>
          <cell r="L1433">
            <v>199.12</v>
          </cell>
          <cell r="O1433" t="str">
            <v>Y</v>
          </cell>
          <cell r="P1433" t="str">
            <v>N</v>
          </cell>
          <cell r="Q1433" t="str">
            <v>Short Term Sick</v>
          </cell>
          <cell r="S1433">
            <v>0.16</v>
          </cell>
        </row>
        <row r="1434">
          <cell r="D1434">
            <v>1008001741</v>
          </cell>
          <cell r="E1434" t="str">
            <v>JOANNE DUCKER</v>
          </cell>
          <cell r="F1434" t="str">
            <v>D / 5 General (</v>
          </cell>
          <cell r="G1434" t="str">
            <v>604-152620</v>
          </cell>
          <cell r="H1434" t="str">
            <v>Blue Arrow</v>
          </cell>
          <cell r="I1434">
            <v>0.5625</v>
          </cell>
          <cell r="J1434">
            <v>0.85416666666666663</v>
          </cell>
          <cell r="K1434">
            <v>6.6666666666666696</v>
          </cell>
          <cell r="L1434">
            <v>112.53</v>
          </cell>
          <cell r="O1434" t="str">
            <v>Y</v>
          </cell>
          <cell r="P1434" t="str">
            <v>N</v>
          </cell>
          <cell r="Q1434" t="str">
            <v>Short Term Sick</v>
          </cell>
          <cell r="S1434">
            <v>0.18</v>
          </cell>
        </row>
        <row r="1435">
          <cell r="D1435">
            <v>1008003122</v>
          </cell>
          <cell r="E1435" t="str">
            <v>JOY MABITLE</v>
          </cell>
          <cell r="F1435" t="str">
            <v>D (MD)</v>
          </cell>
          <cell r="G1435">
            <v>351368</v>
          </cell>
          <cell r="H1435" t="str">
            <v>Mayday</v>
          </cell>
          <cell r="I1435">
            <v>0.8125</v>
          </cell>
          <cell r="J1435">
            <v>0.33333333333333331</v>
          </cell>
          <cell r="K1435">
            <v>11.8333333333333</v>
          </cell>
          <cell r="L1435">
            <v>496.73</v>
          </cell>
          <cell r="O1435" t="str">
            <v>Y</v>
          </cell>
          <cell r="P1435" t="str">
            <v>N</v>
          </cell>
          <cell r="Q1435" t="str">
            <v>Short Term Sick</v>
          </cell>
          <cell r="S1435">
            <v>0.32</v>
          </cell>
        </row>
        <row r="1436">
          <cell r="D1436">
            <v>1008003001</v>
          </cell>
          <cell r="E1436" t="str">
            <v>KEN GOORDIN</v>
          </cell>
          <cell r="F1436" t="str">
            <v>D (Ch)</v>
          </cell>
          <cell r="G1436">
            <v>16946</v>
          </cell>
          <cell r="H1436" t="str">
            <v>Choice</v>
          </cell>
          <cell r="I1436">
            <v>0.5</v>
          </cell>
          <cell r="J1436">
            <v>0.875</v>
          </cell>
          <cell r="K1436">
            <v>8.6666666666666696</v>
          </cell>
          <cell r="L1436">
            <v>211.21</v>
          </cell>
          <cell r="O1436" t="str">
            <v>Y</v>
          </cell>
          <cell r="P1436" t="str">
            <v>N</v>
          </cell>
          <cell r="Q1436" t="str">
            <v>Specials</v>
          </cell>
          <cell r="S1436">
            <v>0.23</v>
          </cell>
        </row>
        <row r="1437">
          <cell r="D1437">
            <v>1008002172</v>
          </cell>
          <cell r="E1437" t="str">
            <v>METTA SUNDAY</v>
          </cell>
          <cell r="F1437" t="str">
            <v>D (MD)</v>
          </cell>
          <cell r="G1437">
            <v>337406</v>
          </cell>
          <cell r="H1437" t="str">
            <v>Mayday</v>
          </cell>
          <cell r="I1437">
            <v>0.84375</v>
          </cell>
          <cell r="J1437">
            <v>0.32291666666666669</v>
          </cell>
          <cell r="K1437">
            <v>11.1666666666667</v>
          </cell>
          <cell r="L1437">
            <v>468.74</v>
          </cell>
          <cell r="O1437" t="str">
            <v>Y</v>
          </cell>
          <cell r="P1437" t="str">
            <v>N</v>
          </cell>
          <cell r="Q1437" t="str">
            <v>Short Term Sick</v>
          </cell>
          <cell r="S1437">
            <v>0.3</v>
          </cell>
        </row>
        <row r="1438">
          <cell r="D1438">
            <v>1008002854</v>
          </cell>
          <cell r="E1438" t="str">
            <v>PAT NKOSI</v>
          </cell>
          <cell r="F1438" t="str">
            <v>D (Ch)</v>
          </cell>
          <cell r="G1438">
            <v>336040</v>
          </cell>
          <cell r="H1438" t="str">
            <v>MAYDAY</v>
          </cell>
          <cell r="I1438">
            <v>0.3125</v>
          </cell>
          <cell r="J1438">
            <v>0.60416666666666663</v>
          </cell>
          <cell r="K1438">
            <v>11.8333333333333</v>
          </cell>
          <cell r="L1438">
            <v>288.38</v>
          </cell>
          <cell r="O1438" t="str">
            <v>Y</v>
          </cell>
          <cell r="P1438" t="str">
            <v>N</v>
          </cell>
          <cell r="Q1438" t="str">
            <v>Extra Capacity</v>
          </cell>
          <cell r="S1438">
            <v>0.32</v>
          </cell>
        </row>
        <row r="1439">
          <cell r="D1439">
            <v>908006610</v>
          </cell>
          <cell r="E1439" t="str">
            <v>PEGGY MAPOGO</v>
          </cell>
          <cell r="F1439" t="str">
            <v>D (Ch)</v>
          </cell>
          <cell r="G1439">
            <v>16930</v>
          </cell>
          <cell r="H1439" t="str">
            <v>Choice</v>
          </cell>
          <cell r="I1439">
            <v>0.625</v>
          </cell>
          <cell r="J1439">
            <v>0.85416666666666663</v>
          </cell>
          <cell r="K1439">
            <v>5.5</v>
          </cell>
          <cell r="L1439">
            <v>134.03</v>
          </cell>
          <cell r="O1439" t="str">
            <v>Y</v>
          </cell>
          <cell r="P1439" t="str">
            <v>N</v>
          </cell>
          <cell r="Q1439" t="str">
            <v>Extra Capacity</v>
          </cell>
          <cell r="S1439">
            <v>0.15</v>
          </cell>
        </row>
        <row r="1440">
          <cell r="D1440">
            <v>1008003232</v>
          </cell>
          <cell r="E1440" t="str">
            <v>PEGGY MAPOGO</v>
          </cell>
          <cell r="F1440" t="str">
            <v>D (Ch)</v>
          </cell>
          <cell r="G1440">
            <v>16951</v>
          </cell>
          <cell r="H1440" t="str">
            <v>Choice</v>
          </cell>
          <cell r="I1440">
            <v>0.375</v>
          </cell>
          <cell r="J1440">
            <v>0.625</v>
          </cell>
          <cell r="K1440">
            <v>5.6666666666666696</v>
          </cell>
          <cell r="L1440">
            <v>138.1</v>
          </cell>
          <cell r="O1440" t="str">
            <v>Y</v>
          </cell>
          <cell r="P1440" t="str">
            <v>N</v>
          </cell>
          <cell r="Q1440" t="str">
            <v>On-Call</v>
          </cell>
          <cell r="S1440">
            <v>0.15</v>
          </cell>
        </row>
        <row r="1441">
          <cell r="D1441">
            <v>908006275</v>
          </cell>
          <cell r="E1441" t="str">
            <v>PRUDENCE MAJOZI</v>
          </cell>
          <cell r="F1441" t="str">
            <v>D (MD)</v>
          </cell>
          <cell r="G1441">
            <v>335909</v>
          </cell>
          <cell r="H1441" t="str">
            <v>Mayday</v>
          </cell>
          <cell r="I1441">
            <v>0.3125</v>
          </cell>
          <cell r="J1441">
            <v>0.89583333333333337</v>
          </cell>
          <cell r="K1441">
            <v>13.3333333333333</v>
          </cell>
          <cell r="L1441">
            <v>430.53</v>
          </cell>
          <cell r="O1441" t="str">
            <v>Y</v>
          </cell>
          <cell r="P1441" t="str">
            <v>N</v>
          </cell>
          <cell r="Q1441" t="str">
            <v>Vacancy</v>
          </cell>
          <cell r="S1441">
            <v>0.36</v>
          </cell>
        </row>
        <row r="1442">
          <cell r="D1442">
            <v>908004670</v>
          </cell>
          <cell r="E1442" t="str">
            <v>SAM KELEM</v>
          </cell>
          <cell r="F1442" t="str">
            <v>D (Ch)</v>
          </cell>
          <cell r="G1442">
            <v>16951</v>
          </cell>
          <cell r="H1442" t="str">
            <v>Choice</v>
          </cell>
          <cell r="I1442">
            <v>0.875</v>
          </cell>
          <cell r="J1442">
            <v>0.32291666666666669</v>
          </cell>
          <cell r="K1442">
            <v>10</v>
          </cell>
          <cell r="L1442">
            <v>316.81</v>
          </cell>
          <cell r="O1442" t="str">
            <v>Y</v>
          </cell>
          <cell r="P1442" t="str">
            <v>N</v>
          </cell>
          <cell r="Q1442" t="str">
            <v>Backfill</v>
          </cell>
          <cell r="S1442">
            <v>0.27</v>
          </cell>
        </row>
        <row r="1443">
          <cell r="D1443">
            <v>1008000935</v>
          </cell>
          <cell r="E1443" t="str">
            <v>SHINYA NDUMAWANI</v>
          </cell>
          <cell r="F1443" t="str">
            <v>D (MD)</v>
          </cell>
          <cell r="G1443">
            <v>335614</v>
          </cell>
          <cell r="H1443" t="str">
            <v>Mayday</v>
          </cell>
          <cell r="I1443">
            <v>0.29166666666666669</v>
          </cell>
          <cell r="J1443">
            <v>0.54166666666666663</v>
          </cell>
          <cell r="K1443">
            <v>5.75</v>
          </cell>
          <cell r="L1443">
            <v>185.67</v>
          </cell>
          <cell r="O1443" t="str">
            <v>Y</v>
          </cell>
          <cell r="P1443" t="str">
            <v>N</v>
          </cell>
          <cell r="Q1443" t="str">
            <v>Annual Leave</v>
          </cell>
          <cell r="S1443">
            <v>0.15</v>
          </cell>
        </row>
        <row r="1444">
          <cell r="D1444">
            <v>808004447</v>
          </cell>
          <cell r="E1444" t="str">
            <v>TEMBE NGIDI</v>
          </cell>
          <cell r="F1444" t="str">
            <v>D (MD)</v>
          </cell>
          <cell r="G1444">
            <v>336570</v>
          </cell>
          <cell r="H1444" t="str">
            <v>Mayday</v>
          </cell>
          <cell r="I1444">
            <v>0.83333333333333337</v>
          </cell>
          <cell r="J1444">
            <v>0.33333333333333331</v>
          </cell>
          <cell r="K1444">
            <v>11.3333333333333</v>
          </cell>
          <cell r="L1444">
            <v>475.74</v>
          </cell>
          <cell r="O1444" t="str">
            <v>Y</v>
          </cell>
          <cell r="P1444" t="str">
            <v>N</v>
          </cell>
          <cell r="Q1444" t="str">
            <v>Extra Capacity</v>
          </cell>
          <cell r="S1444">
            <v>0.3</v>
          </cell>
        </row>
        <row r="1445">
          <cell r="D1445">
            <v>1008002739</v>
          </cell>
          <cell r="E1445" t="str">
            <v>TRUST CHIWUNDURA</v>
          </cell>
          <cell r="F1445" t="str">
            <v>A (Ch)</v>
          </cell>
          <cell r="G1445">
            <v>16939</v>
          </cell>
          <cell r="H1445" t="str">
            <v>Choice</v>
          </cell>
          <cell r="I1445">
            <v>0.875</v>
          </cell>
          <cell r="J1445">
            <v>0.33333333333333331</v>
          </cell>
          <cell r="K1445">
            <v>10</v>
          </cell>
          <cell r="L1445">
            <v>147.87</v>
          </cell>
          <cell r="O1445" t="str">
            <v>Y</v>
          </cell>
          <cell r="P1445" t="str">
            <v>N</v>
          </cell>
          <cell r="Q1445" t="str">
            <v>Specials</v>
          </cell>
          <cell r="S1445">
            <v>0.27</v>
          </cell>
        </row>
        <row r="1446">
          <cell r="D1446">
            <v>1008002622</v>
          </cell>
          <cell r="E1446" t="str">
            <v>ALEX TYLER</v>
          </cell>
          <cell r="F1446" t="str">
            <v>A/2 (PS)</v>
          </cell>
          <cell r="H1446" t="str">
            <v>Pinnacle Staffing</v>
          </cell>
          <cell r="I1446">
            <v>0.3125</v>
          </cell>
          <cell r="J1446">
            <v>0.5625</v>
          </cell>
          <cell r="K1446">
            <v>5.6666666666666696</v>
          </cell>
          <cell r="L1446">
            <v>53.15</v>
          </cell>
          <cell r="O1446" t="str">
            <v>Y</v>
          </cell>
          <cell r="P1446" t="str">
            <v>N</v>
          </cell>
          <cell r="Q1446" t="str">
            <v>Under Established</v>
          </cell>
          <cell r="S1446">
            <v>0.15</v>
          </cell>
        </row>
        <row r="1447">
          <cell r="D1447">
            <v>808004455</v>
          </cell>
          <cell r="E1447" t="str">
            <v>ATINUKE OKE-OLATUNDE</v>
          </cell>
          <cell r="F1447" t="str">
            <v>D (MD)</v>
          </cell>
          <cell r="G1447">
            <v>337652</v>
          </cell>
          <cell r="H1447" t="str">
            <v>Mayday</v>
          </cell>
          <cell r="I1447">
            <v>0.83333333333333337</v>
          </cell>
          <cell r="J1447">
            <v>0.33333333333333331</v>
          </cell>
          <cell r="K1447">
            <v>11.3333333333333</v>
          </cell>
          <cell r="L1447">
            <v>475.74</v>
          </cell>
          <cell r="O1447" t="str">
            <v>Y</v>
          </cell>
          <cell r="P1447" t="str">
            <v>N</v>
          </cell>
          <cell r="Q1447" t="str">
            <v>Extra Capacity</v>
          </cell>
          <cell r="S1447">
            <v>0.3</v>
          </cell>
        </row>
        <row r="1448">
          <cell r="D1448">
            <v>808004313</v>
          </cell>
          <cell r="E1448" t="str">
            <v>BEAUTY NGIDI</v>
          </cell>
          <cell r="F1448" t="str">
            <v>D (MD)</v>
          </cell>
          <cell r="G1448">
            <v>336574</v>
          </cell>
          <cell r="H1448" t="str">
            <v>Mayday</v>
          </cell>
          <cell r="I1448">
            <v>0.83333333333333337</v>
          </cell>
          <cell r="J1448">
            <v>0.33333333333333331</v>
          </cell>
          <cell r="K1448">
            <v>11.3333333333333</v>
          </cell>
          <cell r="L1448">
            <v>475.74</v>
          </cell>
          <cell r="O1448" t="str">
            <v>Y</v>
          </cell>
          <cell r="P1448" t="str">
            <v>N</v>
          </cell>
          <cell r="Q1448" t="str">
            <v>Extra Capacity</v>
          </cell>
          <cell r="S1448">
            <v>0.3</v>
          </cell>
        </row>
        <row r="1449">
          <cell r="D1449">
            <v>1008001913</v>
          </cell>
          <cell r="E1449" t="str">
            <v>BERNADETTE SHINYA-NDUNUWANI</v>
          </cell>
          <cell r="F1449" t="str">
            <v>D (MD)</v>
          </cell>
          <cell r="G1449">
            <v>335613</v>
          </cell>
          <cell r="H1449" t="str">
            <v>Mayday</v>
          </cell>
          <cell r="I1449">
            <v>0.3125</v>
          </cell>
          <cell r="J1449">
            <v>0.5625</v>
          </cell>
          <cell r="K1449">
            <v>5.6666666666666696</v>
          </cell>
          <cell r="L1449">
            <v>182.98</v>
          </cell>
          <cell r="O1449" t="str">
            <v>Y</v>
          </cell>
          <cell r="P1449" t="str">
            <v>N</v>
          </cell>
          <cell r="Q1449" t="str">
            <v>Vacancy</v>
          </cell>
          <cell r="S1449">
            <v>0.15</v>
          </cell>
        </row>
        <row r="1450">
          <cell r="D1450">
            <v>1008001802</v>
          </cell>
          <cell r="E1450" t="str">
            <v>CARL HIBBERT</v>
          </cell>
          <cell r="F1450" t="str">
            <v>D (Ch)</v>
          </cell>
          <cell r="G1450">
            <v>16955</v>
          </cell>
          <cell r="H1450" t="str">
            <v>Choice</v>
          </cell>
          <cell r="I1450">
            <v>0.83333333333333337</v>
          </cell>
          <cell r="J1450">
            <v>0.33333333333333331</v>
          </cell>
          <cell r="K1450">
            <v>11.3333333333333</v>
          </cell>
          <cell r="L1450">
            <v>359.05</v>
          </cell>
          <cell r="O1450" t="str">
            <v>Y</v>
          </cell>
          <cell r="P1450" t="str">
            <v>N</v>
          </cell>
          <cell r="Q1450" t="str">
            <v>Vacancy</v>
          </cell>
          <cell r="S1450">
            <v>0.3</v>
          </cell>
        </row>
        <row r="1451">
          <cell r="D1451">
            <v>908003757</v>
          </cell>
          <cell r="E1451" t="str">
            <v>CHRIS STULAR</v>
          </cell>
          <cell r="F1451" t="str">
            <v>D General (Orio</v>
          </cell>
          <cell r="G1451" t="str">
            <v>Invsd Smt checked</v>
          </cell>
          <cell r="H1451" t="str">
            <v>Orion</v>
          </cell>
          <cell r="I1451">
            <v>0.33333333333333331</v>
          </cell>
          <cell r="J1451">
            <v>0.75</v>
          </cell>
          <cell r="K1451">
            <v>9.5</v>
          </cell>
          <cell r="L1451">
            <v>172.14</v>
          </cell>
          <cell r="O1451" t="str">
            <v>Y</v>
          </cell>
          <cell r="P1451" t="str">
            <v>N</v>
          </cell>
          <cell r="Q1451" t="str">
            <v>Vacancy</v>
          </cell>
          <cell r="S1451">
            <v>0.25</v>
          </cell>
        </row>
        <row r="1452">
          <cell r="D1452">
            <v>1008002303</v>
          </cell>
          <cell r="E1452" t="str">
            <v>COLLEN SIBANDA</v>
          </cell>
          <cell r="F1452" t="str">
            <v>D (Ch)</v>
          </cell>
          <cell r="G1452">
            <v>16929</v>
          </cell>
          <cell r="H1452" t="str">
            <v>Choice</v>
          </cell>
          <cell r="I1452">
            <v>0.3125</v>
          </cell>
          <cell r="J1452">
            <v>0.625</v>
          </cell>
          <cell r="K1452">
            <v>7.1666666666666696</v>
          </cell>
          <cell r="L1452">
            <v>174.65</v>
          </cell>
          <cell r="O1452" t="str">
            <v>Y</v>
          </cell>
          <cell r="P1452" t="str">
            <v>N</v>
          </cell>
          <cell r="Q1452" t="str">
            <v>Extra Capacity</v>
          </cell>
          <cell r="S1452">
            <v>0.19</v>
          </cell>
        </row>
        <row r="1453">
          <cell r="D1453">
            <v>1008003451</v>
          </cell>
          <cell r="E1453" t="str">
            <v>CYNTHIA DELMO</v>
          </cell>
          <cell r="F1453" t="str">
            <v>D (Ch)</v>
          </cell>
          <cell r="G1453">
            <v>16927</v>
          </cell>
          <cell r="H1453" t="str">
            <v>Choice</v>
          </cell>
          <cell r="I1453">
            <v>0.83333333333333337</v>
          </cell>
          <cell r="J1453">
            <v>0.33333333333333331</v>
          </cell>
          <cell r="K1453">
            <v>11.3333333333333</v>
          </cell>
          <cell r="L1453">
            <v>359.05</v>
          </cell>
          <cell r="O1453" t="str">
            <v>Y</v>
          </cell>
          <cell r="P1453" t="str">
            <v>N</v>
          </cell>
          <cell r="Q1453" t="str">
            <v>On-Call</v>
          </cell>
          <cell r="S1453">
            <v>0.3</v>
          </cell>
        </row>
        <row r="1454">
          <cell r="D1454">
            <v>1008003008</v>
          </cell>
          <cell r="E1454" t="str">
            <v>DIAGRET MGANDELE</v>
          </cell>
          <cell r="F1454" t="str">
            <v>D (MD)</v>
          </cell>
          <cell r="G1454">
            <v>336050</v>
          </cell>
          <cell r="H1454" t="str">
            <v>Mayday</v>
          </cell>
          <cell r="I1454">
            <v>0.84375</v>
          </cell>
          <cell r="J1454">
            <v>0.32291666666666669</v>
          </cell>
          <cell r="K1454">
            <v>11.1666666666667</v>
          </cell>
          <cell r="L1454">
            <v>468.74</v>
          </cell>
          <cell r="O1454" t="str">
            <v>Y</v>
          </cell>
          <cell r="P1454" t="str">
            <v>N</v>
          </cell>
          <cell r="Q1454" t="str">
            <v>Under Established</v>
          </cell>
          <cell r="S1454">
            <v>0.3</v>
          </cell>
        </row>
        <row r="1455">
          <cell r="D1455">
            <v>908002876</v>
          </cell>
          <cell r="E1455" t="str">
            <v>DIGRACIA  NAPE</v>
          </cell>
          <cell r="F1455" t="str">
            <v>D (MD)</v>
          </cell>
          <cell r="G1455">
            <v>336047</v>
          </cell>
          <cell r="H1455" t="str">
            <v>Mayday</v>
          </cell>
          <cell r="I1455">
            <v>0.625</v>
          </cell>
          <cell r="J1455">
            <v>0.83333333333333337</v>
          </cell>
          <cell r="K1455">
            <v>5</v>
          </cell>
          <cell r="L1455">
            <v>161.44999999999999</v>
          </cell>
          <cell r="O1455" t="str">
            <v>Y</v>
          </cell>
          <cell r="P1455" t="str">
            <v>N</v>
          </cell>
          <cell r="Q1455" t="str">
            <v>Vacancy</v>
          </cell>
          <cell r="S1455">
            <v>0.13</v>
          </cell>
        </row>
        <row r="1456">
          <cell r="D1456">
            <v>1008002684</v>
          </cell>
          <cell r="E1456" t="str">
            <v>JAKE BROOKES</v>
          </cell>
          <cell r="F1456" t="str">
            <v>D General (Orio</v>
          </cell>
          <cell r="G1456" t="str">
            <v>Invsd Smt checked</v>
          </cell>
          <cell r="H1456" t="str">
            <v>Orion</v>
          </cell>
          <cell r="I1456">
            <v>0.33333333333333331</v>
          </cell>
          <cell r="J1456">
            <v>0.75</v>
          </cell>
          <cell r="K1456">
            <v>9.6666666666666696</v>
          </cell>
          <cell r="L1456">
            <v>175.16</v>
          </cell>
          <cell r="O1456" t="str">
            <v>Y</v>
          </cell>
          <cell r="P1456" t="str">
            <v>N</v>
          </cell>
          <cell r="Q1456" t="str">
            <v>Long Term Sick</v>
          </cell>
          <cell r="S1456">
            <v>0.26</v>
          </cell>
        </row>
        <row r="1457">
          <cell r="D1457">
            <v>908006615</v>
          </cell>
          <cell r="E1457" t="str">
            <v>JAMES MCCLEMENTS</v>
          </cell>
          <cell r="F1457" t="str">
            <v>D (MD)</v>
          </cell>
          <cell r="G1457">
            <v>336043</v>
          </cell>
          <cell r="H1457" t="str">
            <v>Mayday</v>
          </cell>
          <cell r="I1457">
            <v>0.83333333333333337</v>
          </cell>
          <cell r="J1457">
            <v>0.33333333333333331</v>
          </cell>
          <cell r="K1457">
            <v>11.3333333333333</v>
          </cell>
          <cell r="L1457">
            <v>475.74</v>
          </cell>
          <cell r="O1457" t="str">
            <v>Y</v>
          </cell>
          <cell r="P1457" t="str">
            <v>N</v>
          </cell>
          <cell r="Q1457" t="str">
            <v>Extra Capacity</v>
          </cell>
          <cell r="S1457">
            <v>0.3</v>
          </cell>
        </row>
        <row r="1458">
          <cell r="D1458">
            <v>1008002306</v>
          </cell>
          <cell r="E1458" t="str">
            <v>JASON WENT</v>
          </cell>
          <cell r="F1458" t="str">
            <v>D / 5 General (</v>
          </cell>
          <cell r="G1458" t="str">
            <v>604-152696</v>
          </cell>
          <cell r="H1458" t="str">
            <v>Blue Arrow</v>
          </cell>
          <cell r="I1458">
            <v>0.83333333333333337</v>
          </cell>
          <cell r="J1458">
            <v>0.33333333333333331</v>
          </cell>
          <cell r="K1458">
            <v>11.3333333333333</v>
          </cell>
          <cell r="L1458">
            <v>248.7</v>
          </cell>
          <cell r="O1458" t="str">
            <v>Y</v>
          </cell>
          <cell r="P1458" t="str">
            <v>N</v>
          </cell>
          <cell r="Q1458" t="str">
            <v>Extra Capacity</v>
          </cell>
          <cell r="S1458">
            <v>0.3</v>
          </cell>
        </row>
        <row r="1459">
          <cell r="D1459">
            <v>1008003229</v>
          </cell>
          <cell r="E1459" t="str">
            <v>JOAN LEWIS</v>
          </cell>
          <cell r="F1459" t="str">
            <v>D (MD)</v>
          </cell>
          <cell r="G1459">
            <v>335611</v>
          </cell>
          <cell r="H1459" t="str">
            <v>Mayday</v>
          </cell>
          <cell r="I1459">
            <v>0.63541666666666663</v>
          </cell>
          <cell r="J1459">
            <v>0.85416666666666663</v>
          </cell>
          <cell r="K1459">
            <v>5.25</v>
          </cell>
          <cell r="L1459">
            <v>169.52</v>
          </cell>
          <cell r="O1459" t="str">
            <v>Y</v>
          </cell>
          <cell r="P1459" t="str">
            <v>N</v>
          </cell>
          <cell r="Q1459" t="str">
            <v>Short Term Sick</v>
          </cell>
          <cell r="S1459">
            <v>0.14000000000000001</v>
          </cell>
        </row>
        <row r="1460">
          <cell r="D1460">
            <v>1008001800</v>
          </cell>
          <cell r="E1460" t="str">
            <v>JOANNE BUSS</v>
          </cell>
          <cell r="F1460" t="str">
            <v>D (MD)</v>
          </cell>
          <cell r="G1460">
            <v>336042</v>
          </cell>
          <cell r="H1460" t="str">
            <v>Mayday</v>
          </cell>
          <cell r="I1460">
            <v>0.3125</v>
          </cell>
          <cell r="J1460">
            <v>0.54166666666666663</v>
          </cell>
          <cell r="K1460">
            <v>5.5</v>
          </cell>
          <cell r="L1460">
            <v>177.59</v>
          </cell>
          <cell r="O1460" t="str">
            <v>Y</v>
          </cell>
          <cell r="P1460" t="str">
            <v>N</v>
          </cell>
          <cell r="Q1460" t="str">
            <v>Vacancy</v>
          </cell>
          <cell r="S1460">
            <v>0.15</v>
          </cell>
        </row>
        <row r="1461">
          <cell r="D1461">
            <v>1008003259</v>
          </cell>
          <cell r="E1461" t="str">
            <v>JOSEPH BASS</v>
          </cell>
          <cell r="F1461" t="str">
            <v>D (MD)</v>
          </cell>
          <cell r="G1461">
            <v>336041</v>
          </cell>
          <cell r="H1461" t="str">
            <v>Mayday</v>
          </cell>
          <cell r="I1461">
            <v>0.875</v>
          </cell>
          <cell r="J1461">
            <v>0.32291666666666669</v>
          </cell>
          <cell r="K1461">
            <v>10</v>
          </cell>
          <cell r="L1461">
            <v>419.77</v>
          </cell>
          <cell r="O1461" t="str">
            <v>Y</v>
          </cell>
          <cell r="P1461" t="str">
            <v>N</v>
          </cell>
          <cell r="Q1461" t="str">
            <v>Extra Capacity</v>
          </cell>
          <cell r="S1461">
            <v>0.27</v>
          </cell>
        </row>
        <row r="1462">
          <cell r="D1462">
            <v>1008003317</v>
          </cell>
          <cell r="E1462" t="str">
            <v>JOY MABITLE</v>
          </cell>
          <cell r="F1462" t="str">
            <v>D (MD)</v>
          </cell>
          <cell r="G1462">
            <v>351432</v>
          </cell>
          <cell r="H1462" t="str">
            <v>Mayday</v>
          </cell>
          <cell r="I1462">
            <v>0.875</v>
          </cell>
          <cell r="J1462">
            <v>0.30208333333333331</v>
          </cell>
          <cell r="K1462">
            <v>9.9166666666666696</v>
          </cell>
          <cell r="L1462">
            <v>416.27</v>
          </cell>
          <cell r="O1462" t="str">
            <v>Y</v>
          </cell>
          <cell r="P1462" t="str">
            <v>N</v>
          </cell>
          <cell r="Q1462" t="str">
            <v>Short Term Sick</v>
          </cell>
          <cell r="S1462">
            <v>0.26</v>
          </cell>
        </row>
        <row r="1463">
          <cell r="D1463">
            <v>908006865</v>
          </cell>
          <cell r="E1463" t="str">
            <v>KERRI GALLOWAY</v>
          </cell>
          <cell r="F1463" t="str">
            <v>D (MD)</v>
          </cell>
          <cell r="G1463">
            <v>336058</v>
          </cell>
          <cell r="H1463" t="str">
            <v>Mayday</v>
          </cell>
          <cell r="I1463">
            <v>0.3125</v>
          </cell>
          <cell r="J1463">
            <v>0.5625</v>
          </cell>
          <cell r="K1463">
            <v>5.6666666666666696</v>
          </cell>
          <cell r="L1463">
            <v>182.98</v>
          </cell>
          <cell r="O1463" t="str">
            <v>Y</v>
          </cell>
          <cell r="P1463" t="str">
            <v>N</v>
          </cell>
          <cell r="Q1463" t="str">
            <v>Under Established</v>
          </cell>
          <cell r="S1463">
            <v>0.15</v>
          </cell>
        </row>
        <row r="1464">
          <cell r="D1464">
            <v>1008003143</v>
          </cell>
          <cell r="E1464" t="str">
            <v>KERRI GALLOWAY</v>
          </cell>
          <cell r="F1464" t="str">
            <v>D (MD)</v>
          </cell>
          <cell r="G1464">
            <v>336058</v>
          </cell>
          <cell r="H1464" t="str">
            <v>Mayday</v>
          </cell>
          <cell r="I1464">
            <v>0.5625</v>
          </cell>
          <cell r="J1464">
            <v>0.875</v>
          </cell>
          <cell r="K1464">
            <v>7.1666666666666696</v>
          </cell>
          <cell r="L1464">
            <v>231.41</v>
          </cell>
          <cell r="O1464" t="str">
            <v>Y</v>
          </cell>
          <cell r="P1464" t="str">
            <v>N</v>
          </cell>
          <cell r="Q1464" t="str">
            <v>Vacancy</v>
          </cell>
          <cell r="S1464">
            <v>0.19</v>
          </cell>
        </row>
        <row r="1465">
          <cell r="D1465">
            <v>1008002768</v>
          </cell>
          <cell r="E1465" t="str">
            <v>KIU TAO</v>
          </cell>
          <cell r="F1465" t="str">
            <v>Band 5 (DN)</v>
          </cell>
          <cell r="G1465">
            <v>19156</v>
          </cell>
          <cell r="H1465" t="str">
            <v>Direct Nursing</v>
          </cell>
          <cell r="I1465">
            <v>0.375</v>
          </cell>
          <cell r="J1465">
            <v>0.58333333333333337</v>
          </cell>
          <cell r="K1465">
            <v>5</v>
          </cell>
          <cell r="L1465">
            <v>88</v>
          </cell>
          <cell r="O1465" t="str">
            <v>Y</v>
          </cell>
          <cell r="P1465" t="str">
            <v>N</v>
          </cell>
          <cell r="Q1465" t="str">
            <v>Short Term Sick</v>
          </cell>
          <cell r="S1465">
            <v>0.13</v>
          </cell>
        </row>
        <row r="1466">
          <cell r="D1466">
            <v>1008000324</v>
          </cell>
          <cell r="E1466" t="str">
            <v>LEONA CONTRERAS</v>
          </cell>
          <cell r="F1466" t="str">
            <v>D (MD)</v>
          </cell>
          <cell r="G1466">
            <v>336586</v>
          </cell>
          <cell r="H1466" t="str">
            <v>Mayday</v>
          </cell>
          <cell r="I1466">
            <v>0.58333333333333337</v>
          </cell>
          <cell r="J1466">
            <v>0.84375</v>
          </cell>
          <cell r="K1466">
            <v>6</v>
          </cell>
          <cell r="L1466">
            <v>193.74</v>
          </cell>
          <cell r="O1466" t="str">
            <v>Y</v>
          </cell>
          <cell r="P1466" t="str">
            <v>N</v>
          </cell>
          <cell r="Q1466" t="str">
            <v>Vacancy</v>
          </cell>
          <cell r="S1466">
            <v>0.16</v>
          </cell>
        </row>
        <row r="1467">
          <cell r="D1467">
            <v>1008003372</v>
          </cell>
          <cell r="E1467" t="str">
            <v>LEONA CONTRERAS</v>
          </cell>
          <cell r="F1467" t="str">
            <v>D (MD)</v>
          </cell>
          <cell r="G1467">
            <v>336588</v>
          </cell>
          <cell r="H1467" t="str">
            <v>Mayday</v>
          </cell>
          <cell r="I1467">
            <v>0.3125</v>
          </cell>
          <cell r="J1467">
            <v>0.5625</v>
          </cell>
          <cell r="K1467">
            <v>5.6666666666666696</v>
          </cell>
          <cell r="L1467">
            <v>182.98</v>
          </cell>
          <cell r="O1467" t="str">
            <v>Y</v>
          </cell>
          <cell r="P1467" t="str">
            <v>N</v>
          </cell>
          <cell r="Q1467" t="str">
            <v>Nurse Moved</v>
          </cell>
          <cell r="S1467">
            <v>0.15</v>
          </cell>
        </row>
        <row r="1468">
          <cell r="D1468">
            <v>1008002305</v>
          </cell>
          <cell r="E1468" t="str">
            <v>LETECIA MENIANO</v>
          </cell>
          <cell r="F1468" t="str">
            <v>D (Ch)</v>
          </cell>
          <cell r="H1468" t="str">
            <v>Choice</v>
          </cell>
          <cell r="I1468">
            <v>0.83333333333333337</v>
          </cell>
          <cell r="J1468">
            <v>0.33333333333333331</v>
          </cell>
          <cell r="K1468">
            <v>11.3333333333333</v>
          </cell>
          <cell r="L1468">
            <v>359.05</v>
          </cell>
          <cell r="O1468" t="str">
            <v>Y</v>
          </cell>
          <cell r="P1468" t="str">
            <v>N</v>
          </cell>
          <cell r="Q1468" t="str">
            <v>Extra Capacity</v>
          </cell>
          <cell r="S1468">
            <v>0.3</v>
          </cell>
        </row>
        <row r="1469">
          <cell r="D1469">
            <v>1008003258</v>
          </cell>
          <cell r="E1469" t="str">
            <v>MABEL MNISI</v>
          </cell>
          <cell r="F1469" t="str">
            <v>D (MD)</v>
          </cell>
          <cell r="G1469">
            <v>336052</v>
          </cell>
          <cell r="H1469" t="str">
            <v>Mayday</v>
          </cell>
          <cell r="I1469">
            <v>0.875</v>
          </cell>
          <cell r="J1469">
            <v>0.32291666666666669</v>
          </cell>
          <cell r="K1469">
            <v>10</v>
          </cell>
          <cell r="L1469">
            <v>419.77</v>
          </cell>
          <cell r="O1469" t="str">
            <v>Y</v>
          </cell>
          <cell r="P1469" t="str">
            <v>N</v>
          </cell>
          <cell r="Q1469" t="str">
            <v>Short Term Sick</v>
          </cell>
          <cell r="S1469">
            <v>0.27</v>
          </cell>
        </row>
        <row r="1470">
          <cell r="D1470">
            <v>1008001635</v>
          </cell>
          <cell r="E1470" t="str">
            <v>PAT NKOSI</v>
          </cell>
          <cell r="F1470" t="str">
            <v>D (MD)</v>
          </cell>
          <cell r="G1470">
            <v>336532</v>
          </cell>
          <cell r="H1470" t="str">
            <v>Mayday</v>
          </cell>
          <cell r="I1470">
            <v>0.60416666666666663</v>
          </cell>
          <cell r="J1470">
            <v>0.8125</v>
          </cell>
          <cell r="K1470">
            <v>5</v>
          </cell>
          <cell r="L1470">
            <v>161.44999999999999</v>
          </cell>
          <cell r="O1470" t="str">
            <v>Y</v>
          </cell>
          <cell r="P1470" t="str">
            <v>N</v>
          </cell>
          <cell r="Q1470" t="str">
            <v>Study Leave</v>
          </cell>
          <cell r="S1470">
            <v>0.13</v>
          </cell>
        </row>
        <row r="1471">
          <cell r="D1471">
            <v>908000240</v>
          </cell>
          <cell r="E1471" t="str">
            <v>PEGGY CHIRIKURE</v>
          </cell>
          <cell r="F1471" t="str">
            <v>D (Ch)</v>
          </cell>
          <cell r="G1471">
            <v>17009</v>
          </cell>
          <cell r="H1471" t="str">
            <v>Choice</v>
          </cell>
          <cell r="I1471">
            <v>0.5625</v>
          </cell>
          <cell r="J1471">
            <v>0.875</v>
          </cell>
          <cell r="K1471">
            <v>7.1666666666666696</v>
          </cell>
          <cell r="L1471">
            <v>174.65</v>
          </cell>
          <cell r="O1471" t="str">
            <v>Y</v>
          </cell>
          <cell r="P1471" t="str">
            <v>N</v>
          </cell>
          <cell r="Q1471" t="str">
            <v>Annual Leave</v>
          </cell>
          <cell r="S1471">
            <v>0.19</v>
          </cell>
        </row>
        <row r="1472">
          <cell r="D1472">
            <v>908006613</v>
          </cell>
          <cell r="E1472" t="str">
            <v>PEGGY CHIRIKURE</v>
          </cell>
          <cell r="F1472" t="str">
            <v>D (Ch)</v>
          </cell>
          <cell r="G1472">
            <v>17007</v>
          </cell>
          <cell r="H1472" t="str">
            <v>Choice</v>
          </cell>
          <cell r="I1472">
            <v>0.3125</v>
          </cell>
          <cell r="J1472">
            <v>0.54166666666666663</v>
          </cell>
          <cell r="K1472">
            <v>5.5</v>
          </cell>
          <cell r="L1472">
            <v>134.03</v>
          </cell>
          <cell r="O1472" t="str">
            <v>Y</v>
          </cell>
          <cell r="P1472" t="str">
            <v>N</v>
          </cell>
          <cell r="Q1472" t="str">
            <v>Extra Capacity</v>
          </cell>
          <cell r="S1472">
            <v>0.15</v>
          </cell>
        </row>
        <row r="1473">
          <cell r="D1473">
            <v>1008003228</v>
          </cell>
          <cell r="E1473" t="str">
            <v>PEGGY MAPOGO</v>
          </cell>
          <cell r="F1473" t="str">
            <v>D (Ch)</v>
          </cell>
          <cell r="G1473">
            <v>16941</v>
          </cell>
          <cell r="H1473" t="str">
            <v>Choice</v>
          </cell>
          <cell r="I1473">
            <v>0.3125</v>
          </cell>
          <cell r="J1473">
            <v>0.83333333333333337</v>
          </cell>
          <cell r="K1473">
            <v>11.8333333333333</v>
          </cell>
          <cell r="L1473">
            <v>288.38</v>
          </cell>
          <cell r="O1473" t="str">
            <v>Y</v>
          </cell>
          <cell r="P1473" t="str">
            <v>N</v>
          </cell>
          <cell r="Q1473" t="str">
            <v>On-Call</v>
          </cell>
          <cell r="S1473">
            <v>0.32</v>
          </cell>
        </row>
        <row r="1474">
          <cell r="D1474">
            <v>1008001801</v>
          </cell>
          <cell r="E1474" t="str">
            <v>SAM KELEM</v>
          </cell>
          <cell r="F1474" t="str">
            <v>D (Ch)</v>
          </cell>
          <cell r="G1474">
            <v>16955</v>
          </cell>
          <cell r="H1474" t="str">
            <v>Choice</v>
          </cell>
          <cell r="I1474">
            <v>0.83333333333333337</v>
          </cell>
          <cell r="J1474">
            <v>0.33333333333333331</v>
          </cell>
          <cell r="K1474">
            <v>11.3333333333333</v>
          </cell>
          <cell r="L1474">
            <v>359.05</v>
          </cell>
          <cell r="O1474" t="str">
            <v>Y</v>
          </cell>
          <cell r="P1474" t="str">
            <v>N</v>
          </cell>
          <cell r="Q1474" t="str">
            <v>Vacancy</v>
          </cell>
          <cell r="S1474">
            <v>0.3</v>
          </cell>
        </row>
        <row r="1475">
          <cell r="D1475">
            <v>808004448</v>
          </cell>
          <cell r="E1475" t="str">
            <v>TEMBE NGIDI</v>
          </cell>
          <cell r="F1475" t="str">
            <v>D (MD)</v>
          </cell>
          <cell r="G1475">
            <v>336570</v>
          </cell>
          <cell r="H1475" t="str">
            <v>Mayday</v>
          </cell>
          <cell r="I1475">
            <v>0.83333333333333337</v>
          </cell>
          <cell r="J1475">
            <v>0.33333333333333331</v>
          </cell>
          <cell r="K1475">
            <v>11.3333333333333</v>
          </cell>
          <cell r="L1475">
            <v>475.74</v>
          </cell>
          <cell r="O1475" t="str">
            <v>Y</v>
          </cell>
          <cell r="P1475" t="str">
            <v>N</v>
          </cell>
          <cell r="Q1475" t="str">
            <v>Extra Capacity</v>
          </cell>
          <cell r="S1475">
            <v>0.3</v>
          </cell>
        </row>
        <row r="1476">
          <cell r="D1476">
            <v>908006612</v>
          </cell>
          <cell r="E1476" t="str">
            <v>VAL ZUNGA</v>
          </cell>
          <cell r="F1476" t="str">
            <v>D (Ch)</v>
          </cell>
          <cell r="G1476">
            <v>16930</v>
          </cell>
          <cell r="H1476" t="str">
            <v>Choice</v>
          </cell>
          <cell r="I1476">
            <v>0.3125</v>
          </cell>
          <cell r="J1476">
            <v>0.54166666666666663</v>
          </cell>
          <cell r="K1476">
            <v>5.5</v>
          </cell>
          <cell r="L1476">
            <v>134.03</v>
          </cell>
          <cell r="O1476" t="str">
            <v>Y</v>
          </cell>
          <cell r="P1476" t="str">
            <v>N</v>
          </cell>
          <cell r="Q1476" t="str">
            <v>Extra Capacity</v>
          </cell>
          <cell r="S1476">
            <v>0.15</v>
          </cell>
        </row>
        <row r="1477">
          <cell r="D1477">
            <v>908000242</v>
          </cell>
          <cell r="E1477" t="str">
            <v>ALEX TYLER</v>
          </cell>
          <cell r="F1477" t="str">
            <v>A/2 (PS)</v>
          </cell>
          <cell r="H1477" t="str">
            <v>Pinnacle Staffing</v>
          </cell>
          <cell r="I1477">
            <v>0.3125</v>
          </cell>
          <cell r="J1477">
            <v>0.5625</v>
          </cell>
          <cell r="K1477">
            <v>5.6666666666666696</v>
          </cell>
          <cell r="L1477">
            <v>53.15</v>
          </cell>
          <cell r="O1477" t="str">
            <v>Y</v>
          </cell>
          <cell r="P1477" t="str">
            <v>N</v>
          </cell>
          <cell r="Q1477" t="str">
            <v>Maternity Leave</v>
          </cell>
          <cell r="S1477">
            <v>0.15</v>
          </cell>
        </row>
        <row r="1478">
          <cell r="D1478">
            <v>808004314</v>
          </cell>
          <cell r="E1478" t="str">
            <v>BEAUTY NGIDI</v>
          </cell>
          <cell r="F1478" t="str">
            <v>D (MD)</v>
          </cell>
          <cell r="G1478">
            <v>336574</v>
          </cell>
          <cell r="H1478" t="str">
            <v>Mayday</v>
          </cell>
          <cell r="I1478">
            <v>0.83333333333333337</v>
          </cell>
          <cell r="J1478">
            <v>0.33333333333333331</v>
          </cell>
          <cell r="K1478">
            <v>11.3333333333333</v>
          </cell>
          <cell r="L1478">
            <v>475.74</v>
          </cell>
          <cell r="O1478" t="str">
            <v>Y</v>
          </cell>
          <cell r="P1478" t="str">
            <v>N</v>
          </cell>
          <cell r="Q1478" t="str">
            <v>Extra Capacity</v>
          </cell>
          <cell r="S1478">
            <v>0.3</v>
          </cell>
        </row>
        <row r="1479">
          <cell r="D1479">
            <v>808004294</v>
          </cell>
          <cell r="E1479" t="str">
            <v>BERNADETTE SHINYA-NDUNUWANI</v>
          </cell>
          <cell r="F1479" t="str">
            <v>D (MD)</v>
          </cell>
          <cell r="G1479">
            <v>335613</v>
          </cell>
          <cell r="H1479" t="str">
            <v>Mayday</v>
          </cell>
          <cell r="I1479">
            <v>0.625</v>
          </cell>
          <cell r="J1479">
            <v>0.85416666666666663</v>
          </cell>
          <cell r="K1479">
            <v>5.5</v>
          </cell>
          <cell r="L1479">
            <v>177.59</v>
          </cell>
          <cell r="O1479" t="str">
            <v>Y</v>
          </cell>
          <cell r="P1479" t="str">
            <v>N</v>
          </cell>
          <cell r="Q1479" t="str">
            <v>Extra Capacity</v>
          </cell>
          <cell r="S1479">
            <v>0.15</v>
          </cell>
        </row>
        <row r="1480">
          <cell r="D1480">
            <v>1008003202</v>
          </cell>
          <cell r="E1480" t="str">
            <v>BERNADETTE SHINYA-NDUNUWANI</v>
          </cell>
          <cell r="F1480" t="str">
            <v>D (MD)</v>
          </cell>
          <cell r="G1480">
            <v>335613</v>
          </cell>
          <cell r="H1480" t="str">
            <v>Mayday</v>
          </cell>
          <cell r="I1480">
            <v>0.3125</v>
          </cell>
          <cell r="J1480">
            <v>0.58333333333333337</v>
          </cell>
          <cell r="K1480">
            <v>6.1666666666666696</v>
          </cell>
          <cell r="L1480">
            <v>199.12</v>
          </cell>
          <cell r="O1480" t="str">
            <v>Y</v>
          </cell>
          <cell r="P1480" t="str">
            <v>N</v>
          </cell>
          <cell r="Q1480" t="str">
            <v>Vacancy</v>
          </cell>
          <cell r="S1480">
            <v>0.16</v>
          </cell>
        </row>
        <row r="1481">
          <cell r="D1481">
            <v>808004428</v>
          </cell>
          <cell r="E1481" t="str">
            <v>BRIGHTNESS NDEBELE</v>
          </cell>
          <cell r="F1481" t="str">
            <v>D (MD)</v>
          </cell>
          <cell r="G1481">
            <v>336556</v>
          </cell>
          <cell r="H1481" t="str">
            <v>Mayday</v>
          </cell>
          <cell r="I1481">
            <v>0.625</v>
          </cell>
          <cell r="J1481">
            <v>0.85416666666666663</v>
          </cell>
          <cell r="K1481">
            <v>5.5</v>
          </cell>
          <cell r="L1481">
            <v>177.59</v>
          </cell>
          <cell r="O1481" t="str">
            <v>Y</v>
          </cell>
          <cell r="P1481" t="str">
            <v>N</v>
          </cell>
          <cell r="Q1481" t="str">
            <v>Extra Capacity</v>
          </cell>
          <cell r="S1481">
            <v>0.15</v>
          </cell>
        </row>
        <row r="1482">
          <cell r="D1482">
            <v>1008003280</v>
          </cell>
          <cell r="E1482" t="str">
            <v>CARL HIBBERT</v>
          </cell>
          <cell r="F1482" t="str">
            <v>D (Ch)</v>
          </cell>
          <cell r="G1482">
            <v>16951</v>
          </cell>
          <cell r="H1482" t="str">
            <v>Choice</v>
          </cell>
          <cell r="I1482">
            <v>0.875</v>
          </cell>
          <cell r="J1482">
            <v>0.32291666666666669</v>
          </cell>
          <cell r="K1482">
            <v>10</v>
          </cell>
          <cell r="L1482">
            <v>316.81</v>
          </cell>
          <cell r="O1482" t="str">
            <v>Y</v>
          </cell>
          <cell r="P1482" t="str">
            <v>N</v>
          </cell>
          <cell r="Q1482" t="str">
            <v>Short Term Sick</v>
          </cell>
          <cell r="S1482">
            <v>0.27</v>
          </cell>
        </row>
        <row r="1483">
          <cell r="D1483">
            <v>908003758</v>
          </cell>
          <cell r="E1483" t="str">
            <v>CHRIS STULAR</v>
          </cell>
          <cell r="F1483" t="str">
            <v>D General (Orio</v>
          </cell>
          <cell r="G1483" t="str">
            <v>Invsd Smt checked</v>
          </cell>
          <cell r="H1483" t="str">
            <v>Orion</v>
          </cell>
          <cell r="I1483">
            <v>0.33333333333333331</v>
          </cell>
          <cell r="J1483">
            <v>0.75</v>
          </cell>
          <cell r="K1483">
            <v>9.5</v>
          </cell>
          <cell r="L1483">
            <v>172.14</v>
          </cell>
          <cell r="O1483" t="str">
            <v>Y</v>
          </cell>
          <cell r="P1483" t="str">
            <v>N</v>
          </cell>
          <cell r="Q1483" t="str">
            <v>Vacancy</v>
          </cell>
          <cell r="S1483">
            <v>0.25</v>
          </cell>
        </row>
        <row r="1484">
          <cell r="D1484">
            <v>908006617</v>
          </cell>
          <cell r="E1484" t="str">
            <v>EVELYN PANESA</v>
          </cell>
          <cell r="F1484" t="str">
            <v>D (Ch)</v>
          </cell>
          <cell r="H1484" t="str">
            <v>Choice</v>
          </cell>
          <cell r="I1484">
            <v>0.3125</v>
          </cell>
          <cell r="J1484">
            <v>0.54166666666666663</v>
          </cell>
          <cell r="K1484">
            <v>5.5</v>
          </cell>
          <cell r="L1484">
            <v>134.03</v>
          </cell>
          <cell r="O1484" t="str">
            <v>Y</v>
          </cell>
          <cell r="P1484" t="str">
            <v>N</v>
          </cell>
          <cell r="Q1484" t="str">
            <v>Extra Capacity</v>
          </cell>
          <cell r="S1484">
            <v>0.15</v>
          </cell>
        </row>
        <row r="1485">
          <cell r="D1485">
            <v>1008003281</v>
          </cell>
          <cell r="E1485" t="str">
            <v>FIONA DURKIN-GREER</v>
          </cell>
          <cell r="F1485" t="str">
            <v>D (MD)</v>
          </cell>
          <cell r="G1485">
            <v>336752</v>
          </cell>
          <cell r="H1485" t="str">
            <v>Mayday</v>
          </cell>
          <cell r="I1485">
            <v>0.625</v>
          </cell>
          <cell r="J1485">
            <v>0.875</v>
          </cell>
          <cell r="K1485">
            <v>5.6666666666666696</v>
          </cell>
          <cell r="L1485">
            <v>182.98</v>
          </cell>
          <cell r="O1485" t="str">
            <v>Y</v>
          </cell>
          <cell r="P1485" t="str">
            <v>N</v>
          </cell>
          <cell r="Q1485" t="str">
            <v>Specials</v>
          </cell>
          <cell r="S1485">
            <v>0.15</v>
          </cell>
        </row>
        <row r="1486">
          <cell r="D1486">
            <v>908006871</v>
          </cell>
          <cell r="E1486" t="str">
            <v>GERTRUDE CHIGWADA</v>
          </cell>
          <cell r="F1486" t="str">
            <v>D (MD)</v>
          </cell>
          <cell r="G1486">
            <v>336044</v>
          </cell>
          <cell r="H1486" t="str">
            <v>Mayday</v>
          </cell>
          <cell r="I1486">
            <v>0.5625</v>
          </cell>
          <cell r="J1486">
            <v>0.89583333333333337</v>
          </cell>
          <cell r="K1486">
            <v>7.6666666666666696</v>
          </cell>
          <cell r="L1486">
            <v>247.56</v>
          </cell>
          <cell r="O1486" t="str">
            <v>Y</v>
          </cell>
          <cell r="P1486" t="str">
            <v>N</v>
          </cell>
          <cell r="Q1486" t="str">
            <v>Under Established</v>
          </cell>
          <cell r="S1486">
            <v>0.2</v>
          </cell>
        </row>
        <row r="1487">
          <cell r="D1487">
            <v>1008002699</v>
          </cell>
          <cell r="E1487" t="str">
            <v>JAKE BROOKES</v>
          </cell>
          <cell r="F1487" t="str">
            <v>D General (Orio</v>
          </cell>
          <cell r="G1487" t="str">
            <v>Invsd Smt checked</v>
          </cell>
          <cell r="H1487" t="str">
            <v>Orion</v>
          </cell>
          <cell r="I1487">
            <v>0.33333333333333331</v>
          </cell>
          <cell r="J1487">
            <v>0.75</v>
          </cell>
          <cell r="K1487">
            <v>9.6666666666666696</v>
          </cell>
          <cell r="L1487">
            <v>175.16</v>
          </cell>
          <cell r="O1487" t="str">
            <v>Y</v>
          </cell>
          <cell r="P1487" t="str">
            <v>N</v>
          </cell>
          <cell r="Q1487" t="str">
            <v>Long Term Sick</v>
          </cell>
          <cell r="S1487">
            <v>0.26</v>
          </cell>
        </row>
        <row r="1488">
          <cell r="D1488">
            <v>1008003375</v>
          </cell>
          <cell r="E1488" t="str">
            <v>JANE DUNSMURE</v>
          </cell>
          <cell r="F1488" t="str">
            <v>D/5 (PS)</v>
          </cell>
          <cell r="H1488" t="str">
            <v>Pinnacle Staffing</v>
          </cell>
          <cell r="I1488">
            <v>0.82291666666666663</v>
          </cell>
          <cell r="J1488">
            <v>0.32291666666666669</v>
          </cell>
          <cell r="K1488">
            <v>11.3333333333333</v>
          </cell>
          <cell r="L1488">
            <v>250.32</v>
          </cell>
          <cell r="O1488" t="str">
            <v>Y</v>
          </cell>
          <cell r="P1488" t="str">
            <v>N</v>
          </cell>
          <cell r="Q1488" t="str">
            <v>Vacancy</v>
          </cell>
          <cell r="S1488">
            <v>0.3</v>
          </cell>
        </row>
        <row r="1489">
          <cell r="D1489">
            <v>1008003897</v>
          </cell>
          <cell r="E1489" t="str">
            <v>JASON WENT</v>
          </cell>
          <cell r="F1489" t="str">
            <v>D / 5 General (</v>
          </cell>
          <cell r="G1489" t="str">
            <v>604-152751</v>
          </cell>
          <cell r="H1489" t="str">
            <v>Blue Arrow</v>
          </cell>
          <cell r="I1489">
            <v>0.875</v>
          </cell>
          <cell r="J1489">
            <v>0.30208333333333331</v>
          </cell>
          <cell r="K1489">
            <v>9.9166666666666696</v>
          </cell>
          <cell r="L1489">
            <v>217.61</v>
          </cell>
          <cell r="O1489" t="str">
            <v>Y</v>
          </cell>
          <cell r="P1489" t="str">
            <v>N</v>
          </cell>
          <cell r="Q1489" t="str">
            <v>Nurse Moved</v>
          </cell>
          <cell r="S1489">
            <v>0.26</v>
          </cell>
        </row>
        <row r="1490">
          <cell r="D1490">
            <v>1008002701</v>
          </cell>
          <cell r="E1490" t="str">
            <v>JEAN NGONA</v>
          </cell>
          <cell r="F1490" t="str">
            <v>D (MD)</v>
          </cell>
          <cell r="G1490">
            <v>339890</v>
          </cell>
          <cell r="H1490" t="str">
            <v>Mayday</v>
          </cell>
          <cell r="I1490">
            <v>0.5625</v>
          </cell>
          <cell r="J1490">
            <v>0.875</v>
          </cell>
          <cell r="K1490">
            <v>7.1666666666666696</v>
          </cell>
          <cell r="L1490">
            <v>231.41</v>
          </cell>
          <cell r="O1490" t="str">
            <v>Y</v>
          </cell>
          <cell r="P1490" t="str">
            <v>N</v>
          </cell>
          <cell r="Q1490" t="str">
            <v>Vacancy</v>
          </cell>
          <cell r="S1490">
            <v>0.19</v>
          </cell>
        </row>
        <row r="1491">
          <cell r="D1491">
            <v>1008002779</v>
          </cell>
          <cell r="E1491" t="str">
            <v>JEAN NGONA</v>
          </cell>
          <cell r="F1491" t="str">
            <v>D (MD)</v>
          </cell>
          <cell r="G1491">
            <v>339890</v>
          </cell>
          <cell r="H1491" t="str">
            <v>Mayday</v>
          </cell>
          <cell r="I1491">
            <v>0.3125</v>
          </cell>
          <cell r="J1491">
            <v>0.5625</v>
          </cell>
          <cell r="K1491">
            <v>5.6666666666666696</v>
          </cell>
          <cell r="L1491">
            <v>182.98</v>
          </cell>
          <cell r="O1491" t="str">
            <v>Y</v>
          </cell>
          <cell r="P1491" t="str">
            <v>N</v>
          </cell>
          <cell r="Q1491" t="str">
            <v>Backfill</v>
          </cell>
          <cell r="S1491">
            <v>0.15</v>
          </cell>
        </row>
        <row r="1492">
          <cell r="D1492">
            <v>1008003493</v>
          </cell>
          <cell r="E1492" t="str">
            <v>JOHANNA HATUIKULIPI</v>
          </cell>
          <cell r="F1492" t="str">
            <v>D (MD)</v>
          </cell>
          <cell r="G1492">
            <v>335902</v>
          </cell>
          <cell r="H1492" t="str">
            <v>Mayday</v>
          </cell>
          <cell r="I1492">
            <v>0.82291666666666663</v>
          </cell>
          <cell r="J1492">
            <v>0.33333333333333331</v>
          </cell>
          <cell r="K1492">
            <v>11.5833333333333</v>
          </cell>
          <cell r="L1492">
            <v>486.23</v>
          </cell>
          <cell r="O1492" t="str">
            <v>Y</v>
          </cell>
          <cell r="P1492" t="str">
            <v>N</v>
          </cell>
          <cell r="Q1492" t="str">
            <v>Extra Capacity</v>
          </cell>
          <cell r="S1492">
            <v>0.31</v>
          </cell>
        </row>
        <row r="1493">
          <cell r="D1493">
            <v>1008002307</v>
          </cell>
          <cell r="E1493" t="str">
            <v>LEONA CONTRERAS</v>
          </cell>
          <cell r="F1493" t="str">
            <v>D (MD)</v>
          </cell>
          <cell r="H1493" t="str">
            <v>Mayday</v>
          </cell>
          <cell r="I1493">
            <v>0.3125</v>
          </cell>
          <cell r="J1493">
            <v>0.625</v>
          </cell>
          <cell r="K1493">
            <v>7.1666666666666696</v>
          </cell>
          <cell r="L1493">
            <v>231.41</v>
          </cell>
          <cell r="O1493" t="str">
            <v>Y</v>
          </cell>
          <cell r="P1493" t="str">
            <v>N</v>
          </cell>
          <cell r="Q1493" t="str">
            <v>Extra Capacity</v>
          </cell>
          <cell r="S1493">
            <v>0.19</v>
          </cell>
        </row>
        <row r="1494">
          <cell r="D1494">
            <v>908005896</v>
          </cell>
          <cell r="E1494" t="str">
            <v>LETECIA MENIANO</v>
          </cell>
          <cell r="F1494" t="str">
            <v>D (MD)</v>
          </cell>
          <cell r="H1494" t="str">
            <v>Mayday</v>
          </cell>
          <cell r="I1494">
            <v>0.88541666666666663</v>
          </cell>
          <cell r="J1494">
            <v>0.30208333333333331</v>
          </cell>
          <cell r="K1494">
            <v>9</v>
          </cell>
          <cell r="L1494">
            <v>377.79</v>
          </cell>
          <cell r="O1494" t="str">
            <v>Y</v>
          </cell>
          <cell r="P1494" t="str">
            <v>N</v>
          </cell>
          <cell r="Q1494" t="str">
            <v>Vacancy</v>
          </cell>
          <cell r="S1494">
            <v>0.24</v>
          </cell>
        </row>
        <row r="1495">
          <cell r="D1495">
            <v>1008003413</v>
          </cell>
          <cell r="E1495" t="str">
            <v>LIZ BAGGIO</v>
          </cell>
          <cell r="F1495" t="str">
            <v>A/2 (PS)</v>
          </cell>
          <cell r="H1495" t="str">
            <v>Pinnacle Staffing</v>
          </cell>
          <cell r="I1495">
            <v>0.83333333333333337</v>
          </cell>
          <cell r="J1495">
            <v>0.33333333333333331</v>
          </cell>
          <cell r="K1495">
            <v>11.3333333333333</v>
          </cell>
          <cell r="L1495">
            <v>141.74</v>
          </cell>
          <cell r="O1495" t="str">
            <v>Y</v>
          </cell>
          <cell r="P1495" t="str">
            <v>N</v>
          </cell>
          <cell r="Q1495" t="str">
            <v>Specials</v>
          </cell>
          <cell r="S1495">
            <v>0.3</v>
          </cell>
        </row>
        <row r="1496">
          <cell r="D1496">
            <v>1008003490</v>
          </cell>
          <cell r="E1496" t="str">
            <v>MABEL MNISI</v>
          </cell>
          <cell r="F1496" t="str">
            <v>D (MD)</v>
          </cell>
          <cell r="G1496">
            <v>336055</v>
          </cell>
          <cell r="H1496" t="str">
            <v>Mayday</v>
          </cell>
          <cell r="I1496">
            <v>0.82291666666666663</v>
          </cell>
          <cell r="J1496">
            <v>0.33333333333333331</v>
          </cell>
          <cell r="K1496">
            <v>11.5833333333333</v>
          </cell>
          <cell r="L1496">
            <v>486.23</v>
          </cell>
          <cell r="O1496" t="str">
            <v>Y</v>
          </cell>
          <cell r="P1496" t="str">
            <v>N</v>
          </cell>
          <cell r="Q1496" t="str">
            <v>Extra Capacity</v>
          </cell>
          <cell r="S1496">
            <v>0.31</v>
          </cell>
        </row>
        <row r="1497">
          <cell r="D1497">
            <v>908006872</v>
          </cell>
          <cell r="E1497" t="str">
            <v>MZUKISI SPEELMAN</v>
          </cell>
          <cell r="F1497" t="str">
            <v>A (Ch)</v>
          </cell>
          <cell r="G1497">
            <v>16931</v>
          </cell>
          <cell r="H1497" t="str">
            <v>Choice</v>
          </cell>
          <cell r="I1497">
            <v>0.5625</v>
          </cell>
          <cell r="J1497">
            <v>0.89583333333333337</v>
          </cell>
          <cell r="K1497">
            <v>7.6666666666666696</v>
          </cell>
          <cell r="L1497">
            <v>85.02</v>
          </cell>
          <cell r="O1497" t="str">
            <v>Y</v>
          </cell>
          <cell r="P1497" t="str">
            <v>N</v>
          </cell>
          <cell r="Q1497" t="str">
            <v>Under Established</v>
          </cell>
          <cell r="S1497">
            <v>0.2</v>
          </cell>
        </row>
        <row r="1498">
          <cell r="D1498">
            <v>1008002625</v>
          </cell>
          <cell r="E1498" t="str">
            <v>MZUKISI SPEELMAN</v>
          </cell>
          <cell r="F1498" t="str">
            <v>A (Ch)</v>
          </cell>
          <cell r="G1498">
            <v>16931</v>
          </cell>
          <cell r="H1498" t="str">
            <v>Choice</v>
          </cell>
          <cell r="I1498">
            <v>0.3125</v>
          </cell>
          <cell r="J1498">
            <v>0.5625</v>
          </cell>
          <cell r="K1498">
            <v>5.6666666666666696</v>
          </cell>
          <cell r="L1498">
            <v>62.84</v>
          </cell>
          <cell r="O1498" t="str">
            <v>Y</v>
          </cell>
          <cell r="P1498" t="str">
            <v>N</v>
          </cell>
          <cell r="Q1498" t="str">
            <v>Under Established</v>
          </cell>
          <cell r="S1498">
            <v>0.15</v>
          </cell>
        </row>
        <row r="1499">
          <cell r="D1499">
            <v>908000244</v>
          </cell>
          <cell r="E1499" t="str">
            <v>PAT DUBE</v>
          </cell>
          <cell r="F1499" t="str">
            <v>D (MD)</v>
          </cell>
          <cell r="G1499">
            <v>337405</v>
          </cell>
          <cell r="H1499" t="str">
            <v>Mayday</v>
          </cell>
          <cell r="I1499">
            <v>0.5625</v>
          </cell>
          <cell r="J1499">
            <v>0.875</v>
          </cell>
          <cell r="K1499">
            <v>7.1666666666666696</v>
          </cell>
          <cell r="L1499">
            <v>231.41</v>
          </cell>
          <cell r="O1499" t="str">
            <v>Y</v>
          </cell>
          <cell r="P1499" t="str">
            <v>N</v>
          </cell>
          <cell r="Q1499" t="str">
            <v>Vacancy</v>
          </cell>
          <cell r="S1499">
            <v>0.19</v>
          </cell>
        </row>
        <row r="1500">
          <cell r="D1500">
            <v>908006616</v>
          </cell>
          <cell r="E1500" t="str">
            <v>PEGGY MAPOGO</v>
          </cell>
          <cell r="F1500" t="str">
            <v>D (Ch)</v>
          </cell>
          <cell r="G1500">
            <v>16955</v>
          </cell>
          <cell r="H1500" t="str">
            <v>Choice</v>
          </cell>
          <cell r="I1500">
            <v>0.3125</v>
          </cell>
          <cell r="J1500">
            <v>0.54166666666666663</v>
          </cell>
          <cell r="K1500">
            <v>5.5</v>
          </cell>
          <cell r="L1500">
            <v>134.03</v>
          </cell>
          <cell r="O1500" t="str">
            <v>Y</v>
          </cell>
          <cell r="P1500" t="str">
            <v>N</v>
          </cell>
          <cell r="Q1500" t="str">
            <v>Extra Capacity</v>
          </cell>
          <cell r="S1500">
            <v>0.15</v>
          </cell>
        </row>
        <row r="1501">
          <cell r="D1501">
            <v>908006619</v>
          </cell>
          <cell r="E1501" t="str">
            <v>PEGGY MAPOGO</v>
          </cell>
          <cell r="F1501" t="str">
            <v>D (Ch)</v>
          </cell>
          <cell r="G1501">
            <v>16955</v>
          </cell>
          <cell r="H1501" t="str">
            <v>Choice</v>
          </cell>
          <cell r="I1501">
            <v>0.625</v>
          </cell>
          <cell r="J1501">
            <v>0.85416666666666663</v>
          </cell>
          <cell r="K1501">
            <v>5.5</v>
          </cell>
          <cell r="L1501">
            <v>134.03</v>
          </cell>
          <cell r="O1501" t="str">
            <v>Y</v>
          </cell>
          <cell r="P1501" t="str">
            <v>N</v>
          </cell>
          <cell r="Q1501" t="str">
            <v>Extra Capacity</v>
          </cell>
          <cell r="S1501">
            <v>0.15</v>
          </cell>
        </row>
        <row r="1502">
          <cell r="D1502">
            <v>1008003261</v>
          </cell>
          <cell r="E1502" t="str">
            <v>SAM KELEM</v>
          </cell>
          <cell r="F1502" t="str">
            <v>D (Ch)</v>
          </cell>
          <cell r="G1502">
            <v>16951</v>
          </cell>
          <cell r="H1502" t="str">
            <v>Choice</v>
          </cell>
          <cell r="I1502">
            <v>0.875</v>
          </cell>
          <cell r="J1502">
            <v>0.32291666666666669</v>
          </cell>
          <cell r="K1502">
            <v>10</v>
          </cell>
          <cell r="L1502">
            <v>316.81</v>
          </cell>
          <cell r="O1502" t="str">
            <v>Y</v>
          </cell>
          <cell r="P1502" t="str">
            <v>N</v>
          </cell>
          <cell r="Q1502" t="str">
            <v>Extra Capacity</v>
          </cell>
          <cell r="S1502">
            <v>0.27</v>
          </cell>
        </row>
        <row r="1503">
          <cell r="D1503">
            <v>1008003898</v>
          </cell>
          <cell r="E1503" t="str">
            <v>SAMSON BARACENA</v>
          </cell>
          <cell r="F1503" t="str">
            <v>D (Ch)</v>
          </cell>
          <cell r="G1503">
            <v>16947</v>
          </cell>
          <cell r="H1503" t="str">
            <v>Choice</v>
          </cell>
          <cell r="I1503">
            <v>0.875</v>
          </cell>
          <cell r="J1503">
            <v>0.30208333333333331</v>
          </cell>
          <cell r="K1503">
            <v>9.9166666666666696</v>
          </cell>
          <cell r="L1503">
            <v>314.17</v>
          </cell>
          <cell r="O1503" t="str">
            <v>Y</v>
          </cell>
          <cell r="P1503" t="str">
            <v>N</v>
          </cell>
          <cell r="Q1503" t="str">
            <v>Nurse Moved</v>
          </cell>
          <cell r="S1503">
            <v>0.26</v>
          </cell>
        </row>
        <row r="1504">
          <cell r="D1504">
            <v>808004449</v>
          </cell>
          <cell r="E1504" t="str">
            <v>TEMBE NGIDI</v>
          </cell>
          <cell r="F1504" t="str">
            <v>D (MD)</v>
          </cell>
          <cell r="G1504">
            <v>336570</v>
          </cell>
          <cell r="H1504" t="str">
            <v>Mayday</v>
          </cell>
          <cell r="I1504">
            <v>0.83333333333333337</v>
          </cell>
          <cell r="J1504">
            <v>0.33333333333333331</v>
          </cell>
          <cell r="K1504">
            <v>11.3333333333333</v>
          </cell>
          <cell r="L1504">
            <v>475.74</v>
          </cell>
          <cell r="O1504" t="str">
            <v>Y</v>
          </cell>
          <cell r="P1504" t="str">
            <v>N</v>
          </cell>
          <cell r="Q1504" t="str">
            <v>Extra Capacity</v>
          </cell>
          <cell r="S1504">
            <v>0.3</v>
          </cell>
        </row>
        <row r="1505">
          <cell r="D1505">
            <v>1008003906</v>
          </cell>
          <cell r="E1505" t="str">
            <v>TRUST CHIWUNDURA</v>
          </cell>
          <cell r="F1505" t="str">
            <v>A (Ch)</v>
          </cell>
          <cell r="G1505">
            <v>16933</v>
          </cell>
          <cell r="H1505" t="str">
            <v>Choice</v>
          </cell>
          <cell r="I1505">
            <v>0.83333333333333337</v>
          </cell>
          <cell r="J1505">
            <v>0.33333333333333331</v>
          </cell>
          <cell r="K1505">
            <v>11.3333333333333</v>
          </cell>
          <cell r="L1505">
            <v>167.58</v>
          </cell>
          <cell r="O1505" t="str">
            <v>Y</v>
          </cell>
          <cell r="P1505" t="str">
            <v>N</v>
          </cell>
          <cell r="Q1505" t="str">
            <v>Specials</v>
          </cell>
          <cell r="S1505">
            <v>0.3</v>
          </cell>
        </row>
        <row r="1506">
          <cell r="D1506">
            <v>908006875</v>
          </cell>
          <cell r="E1506" t="str">
            <v>ALEX TYLER</v>
          </cell>
          <cell r="F1506" t="str">
            <v>A/2 (PS)</v>
          </cell>
          <cell r="H1506" t="str">
            <v>Pinnacle Staffing</v>
          </cell>
          <cell r="I1506">
            <v>0.5625</v>
          </cell>
          <cell r="J1506">
            <v>0.875</v>
          </cell>
          <cell r="K1506">
            <v>7.1666666666666696</v>
          </cell>
          <cell r="L1506">
            <v>67.22</v>
          </cell>
          <cell r="O1506" t="str">
            <v>Y</v>
          </cell>
          <cell r="P1506" t="str">
            <v>N</v>
          </cell>
          <cell r="Q1506" t="str">
            <v>Under Established</v>
          </cell>
          <cell r="S1506">
            <v>0.19</v>
          </cell>
        </row>
        <row r="1507">
          <cell r="D1507">
            <v>1008002628</v>
          </cell>
          <cell r="E1507" t="str">
            <v>ALEX TYLER</v>
          </cell>
          <cell r="F1507" t="str">
            <v>A/2 (PS)</v>
          </cell>
          <cell r="H1507" t="str">
            <v>Pinnacle Staffing</v>
          </cell>
          <cell r="I1507">
            <v>0.3125</v>
          </cell>
          <cell r="J1507">
            <v>0.5625</v>
          </cell>
          <cell r="K1507">
            <v>5.6666666666666696</v>
          </cell>
          <cell r="L1507">
            <v>53.15</v>
          </cell>
          <cell r="O1507" t="str">
            <v>Y</v>
          </cell>
          <cell r="P1507" t="str">
            <v>N</v>
          </cell>
          <cell r="Q1507" t="str">
            <v>Under Established</v>
          </cell>
          <cell r="S1507">
            <v>0.15</v>
          </cell>
        </row>
        <row r="1508">
          <cell r="D1508">
            <v>1008001810</v>
          </cell>
          <cell r="E1508" t="str">
            <v>ANNA BONNERUP</v>
          </cell>
          <cell r="F1508" t="str">
            <v>D / 5 General (</v>
          </cell>
          <cell r="G1508" t="str">
            <v>604-152971</v>
          </cell>
          <cell r="H1508" t="str">
            <v>Blue Arrow</v>
          </cell>
          <cell r="I1508">
            <v>0.625</v>
          </cell>
          <cell r="J1508">
            <v>0.85416666666666663</v>
          </cell>
          <cell r="K1508">
            <v>5.5</v>
          </cell>
          <cell r="L1508">
            <v>92.84</v>
          </cell>
          <cell r="O1508" t="str">
            <v>Y</v>
          </cell>
          <cell r="P1508" t="str">
            <v>N</v>
          </cell>
          <cell r="Q1508" t="str">
            <v>Vacancy</v>
          </cell>
          <cell r="S1508">
            <v>0.15</v>
          </cell>
        </row>
        <row r="1509">
          <cell r="D1509">
            <v>808004450</v>
          </cell>
          <cell r="E1509" t="str">
            <v>ATINUKE OKE-OLATUNDE</v>
          </cell>
          <cell r="F1509" t="str">
            <v>D (MD)</v>
          </cell>
          <cell r="G1509">
            <v>337653</v>
          </cell>
          <cell r="H1509" t="str">
            <v>Mayday</v>
          </cell>
          <cell r="I1509">
            <v>0.83333333333333337</v>
          </cell>
          <cell r="J1509">
            <v>0.33333333333333331</v>
          </cell>
          <cell r="K1509">
            <v>11.3333333333333</v>
          </cell>
          <cell r="L1509">
            <v>475.74</v>
          </cell>
          <cell r="O1509" t="str">
            <v>Y</v>
          </cell>
          <cell r="P1509" t="str">
            <v>N</v>
          </cell>
          <cell r="Q1509" t="str">
            <v>Extra Capacity</v>
          </cell>
          <cell r="S1509">
            <v>0.3</v>
          </cell>
        </row>
        <row r="1510">
          <cell r="D1510">
            <v>808004309</v>
          </cell>
          <cell r="E1510" t="str">
            <v>BEAUTY NGIDI</v>
          </cell>
          <cell r="F1510" t="str">
            <v>D (MD)</v>
          </cell>
          <cell r="G1510">
            <v>336574</v>
          </cell>
          <cell r="H1510" t="str">
            <v>Mayday</v>
          </cell>
          <cell r="I1510">
            <v>0.83333333333333337</v>
          </cell>
          <cell r="J1510">
            <v>0.33333333333333331</v>
          </cell>
          <cell r="K1510">
            <v>11.3333333333333</v>
          </cell>
          <cell r="L1510">
            <v>475.74</v>
          </cell>
          <cell r="O1510" t="str">
            <v>Y</v>
          </cell>
          <cell r="P1510" t="str">
            <v>N</v>
          </cell>
          <cell r="Q1510" t="str">
            <v>Extra Capacity</v>
          </cell>
          <cell r="S1510">
            <v>0.3</v>
          </cell>
        </row>
        <row r="1511">
          <cell r="D1511">
            <v>1008002154</v>
          </cell>
          <cell r="E1511" t="str">
            <v>BIDDY CHAFESUKA</v>
          </cell>
          <cell r="F1511" t="str">
            <v>D (Ch)</v>
          </cell>
          <cell r="G1511">
            <v>16950</v>
          </cell>
          <cell r="H1511" t="str">
            <v>Choice</v>
          </cell>
          <cell r="I1511">
            <v>0.5625</v>
          </cell>
          <cell r="J1511">
            <v>0.89583333333333337</v>
          </cell>
          <cell r="K1511">
            <v>7.5</v>
          </cell>
          <cell r="L1511">
            <v>182.78</v>
          </cell>
          <cell r="O1511" t="str">
            <v>Y</v>
          </cell>
          <cell r="P1511" t="str">
            <v>N</v>
          </cell>
          <cell r="Q1511" t="str">
            <v>Extra Capacity</v>
          </cell>
          <cell r="S1511">
            <v>0.2</v>
          </cell>
        </row>
        <row r="1512">
          <cell r="D1512">
            <v>808004415</v>
          </cell>
          <cell r="E1512" t="str">
            <v>BRIGHTNESS NDEBELE</v>
          </cell>
          <cell r="F1512" t="str">
            <v>D (MD)</v>
          </cell>
          <cell r="G1512">
            <v>336556</v>
          </cell>
          <cell r="H1512" t="str">
            <v>Mayday</v>
          </cell>
          <cell r="I1512">
            <v>0.3125</v>
          </cell>
          <cell r="J1512">
            <v>0.58333333333333337</v>
          </cell>
          <cell r="K1512">
            <v>6.1666666666666696</v>
          </cell>
          <cell r="L1512">
            <v>199.12</v>
          </cell>
          <cell r="O1512" t="str">
            <v>Y</v>
          </cell>
          <cell r="P1512" t="str">
            <v>N</v>
          </cell>
          <cell r="Q1512" t="str">
            <v>Extra Capacity</v>
          </cell>
          <cell r="S1512">
            <v>0.16</v>
          </cell>
        </row>
        <row r="1513">
          <cell r="D1513">
            <v>808004436</v>
          </cell>
          <cell r="E1513" t="str">
            <v>BRIGHTNESS NDEBELE</v>
          </cell>
          <cell r="F1513" t="str">
            <v>D (MD)</v>
          </cell>
          <cell r="G1513">
            <v>336556</v>
          </cell>
          <cell r="H1513" t="str">
            <v>Mayday</v>
          </cell>
          <cell r="I1513">
            <v>0.625</v>
          </cell>
          <cell r="J1513">
            <v>0.85416666666666663</v>
          </cell>
          <cell r="K1513">
            <v>5.5</v>
          </cell>
          <cell r="L1513">
            <v>177.59</v>
          </cell>
          <cell r="O1513" t="str">
            <v>Y</v>
          </cell>
          <cell r="P1513" t="str">
            <v>N</v>
          </cell>
          <cell r="Q1513" t="str">
            <v>Extra Capacity</v>
          </cell>
          <cell r="S1513">
            <v>0.15</v>
          </cell>
        </row>
        <row r="1514">
          <cell r="D1514">
            <v>1008002310</v>
          </cell>
          <cell r="E1514" t="str">
            <v>COLLEN SIBANDA</v>
          </cell>
          <cell r="F1514" t="str">
            <v>D (Ch)</v>
          </cell>
          <cell r="G1514">
            <v>16929</v>
          </cell>
          <cell r="H1514" t="str">
            <v>Choice</v>
          </cell>
          <cell r="I1514">
            <v>0.3125</v>
          </cell>
          <cell r="J1514">
            <v>0.625</v>
          </cell>
          <cell r="K1514">
            <v>7.1666666666666696</v>
          </cell>
          <cell r="L1514">
            <v>174.65</v>
          </cell>
          <cell r="O1514" t="str">
            <v>Y</v>
          </cell>
          <cell r="P1514" t="str">
            <v>N</v>
          </cell>
          <cell r="Q1514" t="str">
            <v>Extra Capacity</v>
          </cell>
          <cell r="S1514">
            <v>0.19</v>
          </cell>
        </row>
        <row r="1515">
          <cell r="D1515">
            <v>908006874</v>
          </cell>
          <cell r="E1515" t="str">
            <v>DIGRACIA  NAPE</v>
          </cell>
          <cell r="F1515" t="str">
            <v>D (MD)</v>
          </cell>
          <cell r="H1515" t="str">
            <v>Mayday</v>
          </cell>
          <cell r="I1515">
            <v>0.3125</v>
          </cell>
          <cell r="J1515">
            <v>0.5625</v>
          </cell>
          <cell r="K1515">
            <v>5.6666666666666696</v>
          </cell>
          <cell r="L1515">
            <v>182.98</v>
          </cell>
          <cell r="O1515" t="str">
            <v>Y</v>
          </cell>
          <cell r="P1515" t="str">
            <v>N</v>
          </cell>
          <cell r="Q1515" t="str">
            <v>Transfer</v>
          </cell>
          <cell r="S1515">
            <v>0.15</v>
          </cell>
        </row>
        <row r="1516">
          <cell r="D1516">
            <v>1008003643</v>
          </cell>
          <cell r="E1516" t="str">
            <v>ELLEN FLETCHER</v>
          </cell>
          <cell r="F1516" t="str">
            <v>D (Amb)</v>
          </cell>
          <cell r="G1516">
            <v>750275</v>
          </cell>
          <cell r="H1516" t="str">
            <v>Ambition</v>
          </cell>
          <cell r="I1516">
            <v>0.58333333333333337</v>
          </cell>
          <cell r="J1516">
            <v>0.83333333333333337</v>
          </cell>
          <cell r="K1516">
            <v>5.5</v>
          </cell>
          <cell r="L1516">
            <v>215.05</v>
          </cell>
          <cell r="O1516" t="str">
            <v>Y</v>
          </cell>
          <cell r="P1516" t="str">
            <v>N</v>
          </cell>
          <cell r="Q1516" t="str">
            <v>Vacancy</v>
          </cell>
          <cell r="S1516">
            <v>0.15</v>
          </cell>
        </row>
        <row r="1517">
          <cell r="D1517">
            <v>1008002311</v>
          </cell>
          <cell r="E1517" t="str">
            <v>HILDA SHANGE</v>
          </cell>
          <cell r="F1517" t="str">
            <v>D (Ch)</v>
          </cell>
          <cell r="H1517" t="str">
            <v>Choice</v>
          </cell>
          <cell r="I1517">
            <v>0.83333333333333337</v>
          </cell>
          <cell r="J1517">
            <v>0.33333333333333331</v>
          </cell>
          <cell r="K1517">
            <v>11.3333333333333</v>
          </cell>
          <cell r="L1517">
            <v>359.05</v>
          </cell>
          <cell r="O1517" t="str">
            <v>Y</v>
          </cell>
          <cell r="P1517" t="str">
            <v>N</v>
          </cell>
          <cell r="Q1517" t="str">
            <v>Extra Capacity</v>
          </cell>
          <cell r="S1517">
            <v>0.3</v>
          </cell>
        </row>
        <row r="1518">
          <cell r="D1518">
            <v>908003785</v>
          </cell>
          <cell r="E1518" t="str">
            <v>JAKE BROOKES</v>
          </cell>
          <cell r="F1518" t="str">
            <v>D General (Orio</v>
          </cell>
          <cell r="G1518" t="str">
            <v>Invsd Smt checked</v>
          </cell>
          <cell r="H1518" t="str">
            <v>Orion</v>
          </cell>
          <cell r="I1518">
            <v>0.33333333333333331</v>
          </cell>
          <cell r="J1518">
            <v>0.75</v>
          </cell>
          <cell r="K1518">
            <v>9.5</v>
          </cell>
          <cell r="L1518">
            <v>172.14</v>
          </cell>
          <cell r="O1518" t="str">
            <v>Y</v>
          </cell>
          <cell r="P1518" t="str">
            <v>N</v>
          </cell>
          <cell r="Q1518" t="str">
            <v>Vacancy</v>
          </cell>
          <cell r="S1518">
            <v>0.25</v>
          </cell>
        </row>
        <row r="1519">
          <cell r="D1519">
            <v>808004457</v>
          </cell>
          <cell r="E1519" t="str">
            <v>JASON WENT</v>
          </cell>
          <cell r="F1519" t="str">
            <v>D / 5 General (</v>
          </cell>
          <cell r="G1519" t="str">
            <v>604-152974</v>
          </cell>
          <cell r="H1519" t="str">
            <v>Blue Arrow</v>
          </cell>
          <cell r="I1519">
            <v>0.83333333333333337</v>
          </cell>
          <cell r="J1519">
            <v>0.33333333333333331</v>
          </cell>
          <cell r="K1519">
            <v>11.3333333333333</v>
          </cell>
          <cell r="L1519">
            <v>248.7</v>
          </cell>
          <cell r="O1519" t="str">
            <v>Y</v>
          </cell>
          <cell r="P1519" t="str">
            <v>N</v>
          </cell>
          <cell r="Q1519" t="str">
            <v>Extra Capacity</v>
          </cell>
          <cell r="S1519">
            <v>0.3</v>
          </cell>
        </row>
        <row r="1520">
          <cell r="D1520">
            <v>1008002551</v>
          </cell>
          <cell r="E1520" t="str">
            <v>JEAN NGONA</v>
          </cell>
          <cell r="F1520" t="str">
            <v>D (MD)</v>
          </cell>
          <cell r="G1520">
            <v>339887</v>
          </cell>
          <cell r="H1520" t="str">
            <v>Mayday</v>
          </cell>
          <cell r="I1520">
            <v>0.5625</v>
          </cell>
          <cell r="J1520">
            <v>0.89583333333333337</v>
          </cell>
          <cell r="K1520">
            <v>7.6666666666666696</v>
          </cell>
          <cell r="L1520">
            <v>247.56</v>
          </cell>
          <cell r="O1520" t="str">
            <v>Y</v>
          </cell>
          <cell r="P1520" t="str">
            <v>N</v>
          </cell>
          <cell r="Q1520" t="str">
            <v>Under Established</v>
          </cell>
          <cell r="S1520">
            <v>0.2</v>
          </cell>
        </row>
        <row r="1521">
          <cell r="D1521">
            <v>1008001806</v>
          </cell>
          <cell r="E1521" t="str">
            <v>JOANNE BUSS</v>
          </cell>
          <cell r="F1521" t="str">
            <v>D (MD)</v>
          </cell>
          <cell r="G1521">
            <v>336042</v>
          </cell>
          <cell r="H1521" t="str">
            <v>Mayday</v>
          </cell>
          <cell r="I1521">
            <v>0.3125</v>
          </cell>
          <cell r="J1521">
            <v>0.54166666666666663</v>
          </cell>
          <cell r="K1521">
            <v>5.5</v>
          </cell>
          <cell r="L1521">
            <v>177.59</v>
          </cell>
          <cell r="O1521" t="str">
            <v>Y</v>
          </cell>
          <cell r="P1521" t="str">
            <v>N</v>
          </cell>
          <cell r="Q1521" t="str">
            <v>Vacancy</v>
          </cell>
          <cell r="S1521">
            <v>0.15</v>
          </cell>
        </row>
        <row r="1522">
          <cell r="D1522">
            <v>1008001809</v>
          </cell>
          <cell r="E1522" t="str">
            <v>JOANNE BUSS</v>
          </cell>
          <cell r="F1522" t="str">
            <v>D (MD)</v>
          </cell>
          <cell r="G1522">
            <v>336042</v>
          </cell>
          <cell r="H1522" t="str">
            <v>Mayday</v>
          </cell>
          <cell r="I1522">
            <v>0.625</v>
          </cell>
          <cell r="J1522">
            <v>0.85416666666666663</v>
          </cell>
          <cell r="K1522">
            <v>5.5</v>
          </cell>
          <cell r="L1522">
            <v>177.59</v>
          </cell>
          <cell r="O1522" t="str">
            <v>Y</v>
          </cell>
          <cell r="P1522" t="str">
            <v>N</v>
          </cell>
          <cell r="Q1522" t="str">
            <v>Vacancy</v>
          </cell>
          <cell r="S1522">
            <v>0.15</v>
          </cell>
        </row>
        <row r="1523">
          <cell r="D1523">
            <v>1008003343</v>
          </cell>
          <cell r="E1523" t="str">
            <v>JOSEPH BASS</v>
          </cell>
          <cell r="F1523" t="str">
            <v>D (MD)</v>
          </cell>
          <cell r="G1523">
            <v>336541</v>
          </cell>
          <cell r="H1523" t="str">
            <v>Mayday</v>
          </cell>
          <cell r="I1523">
            <v>0.84375</v>
          </cell>
          <cell r="J1523">
            <v>0.33333333333333331</v>
          </cell>
          <cell r="K1523">
            <v>10.75</v>
          </cell>
          <cell r="L1523">
            <v>451.25</v>
          </cell>
          <cell r="O1523" t="str">
            <v>Y</v>
          </cell>
          <cell r="P1523" t="str">
            <v>N</v>
          </cell>
          <cell r="Q1523" t="str">
            <v>Short Term Sick</v>
          </cell>
          <cell r="S1523">
            <v>0.28999999999999998</v>
          </cell>
        </row>
        <row r="1524">
          <cell r="D1524">
            <v>808004315</v>
          </cell>
          <cell r="E1524" t="str">
            <v>KATIE KEAVENEY</v>
          </cell>
          <cell r="F1524" t="str">
            <v>D (MD)</v>
          </cell>
          <cell r="G1524">
            <v>336623</v>
          </cell>
          <cell r="H1524" t="str">
            <v>Mayday</v>
          </cell>
          <cell r="I1524">
            <v>0.83333333333333337</v>
          </cell>
          <cell r="J1524">
            <v>0.33333333333333331</v>
          </cell>
          <cell r="K1524">
            <v>11.3333333333333</v>
          </cell>
          <cell r="L1524">
            <v>475.74</v>
          </cell>
          <cell r="O1524" t="str">
            <v>Y</v>
          </cell>
          <cell r="P1524" t="str">
            <v>N</v>
          </cell>
          <cell r="Q1524" t="str">
            <v>Extra Capacity</v>
          </cell>
          <cell r="S1524">
            <v>0.3</v>
          </cell>
        </row>
        <row r="1525">
          <cell r="D1525">
            <v>1008003639</v>
          </cell>
          <cell r="E1525" t="str">
            <v>LETECIA MENIANO</v>
          </cell>
          <cell r="F1525" t="str">
            <v>D (MD)</v>
          </cell>
          <cell r="G1525">
            <v>336538</v>
          </cell>
          <cell r="H1525" t="str">
            <v>Mayday</v>
          </cell>
          <cell r="I1525">
            <v>0.875</v>
          </cell>
          <cell r="J1525">
            <v>0.30208333333333331</v>
          </cell>
          <cell r="K1525">
            <v>9.9166666666666696</v>
          </cell>
          <cell r="L1525">
            <v>416.27</v>
          </cell>
          <cell r="O1525" t="str">
            <v>Y</v>
          </cell>
          <cell r="P1525" t="str">
            <v>N</v>
          </cell>
          <cell r="Q1525" t="str">
            <v>Short Term Sick</v>
          </cell>
          <cell r="S1525">
            <v>0.26</v>
          </cell>
        </row>
        <row r="1526">
          <cell r="D1526">
            <v>1008002552</v>
          </cell>
          <cell r="E1526" t="str">
            <v>MZUKISI SPEELMAN</v>
          </cell>
          <cell r="F1526" t="str">
            <v>A (Ch)</v>
          </cell>
          <cell r="G1526">
            <v>16931</v>
          </cell>
          <cell r="H1526" t="str">
            <v>Choice</v>
          </cell>
          <cell r="I1526">
            <v>0.5625</v>
          </cell>
          <cell r="J1526">
            <v>0.89583333333333337</v>
          </cell>
          <cell r="K1526">
            <v>7.6666666666666696</v>
          </cell>
          <cell r="L1526">
            <v>85.02</v>
          </cell>
          <cell r="O1526" t="str">
            <v>Y</v>
          </cell>
          <cell r="P1526" t="str">
            <v>N</v>
          </cell>
          <cell r="Q1526" t="str">
            <v>Under Established</v>
          </cell>
          <cell r="S1526">
            <v>0.2</v>
          </cell>
        </row>
        <row r="1527">
          <cell r="D1527">
            <v>1008002627</v>
          </cell>
          <cell r="E1527" t="str">
            <v>MZUKISI SPEELMAN</v>
          </cell>
          <cell r="F1527" t="str">
            <v>A (Ch)</v>
          </cell>
          <cell r="G1527">
            <v>16931</v>
          </cell>
          <cell r="H1527" t="str">
            <v>Choice</v>
          </cell>
          <cell r="I1527">
            <v>0.3125</v>
          </cell>
          <cell r="J1527">
            <v>0.5625</v>
          </cell>
          <cell r="K1527">
            <v>5.6666666666666696</v>
          </cell>
          <cell r="L1527">
            <v>62.84</v>
          </cell>
          <cell r="O1527" t="str">
            <v>Y</v>
          </cell>
          <cell r="P1527" t="str">
            <v>N</v>
          </cell>
          <cell r="Q1527" t="str">
            <v>Under Established</v>
          </cell>
          <cell r="S1527">
            <v>0.15</v>
          </cell>
        </row>
        <row r="1528">
          <cell r="D1528">
            <v>908006873</v>
          </cell>
          <cell r="E1528" t="str">
            <v>PAT DUBE</v>
          </cell>
          <cell r="F1528" t="str">
            <v>D (MD)</v>
          </cell>
          <cell r="G1528">
            <v>337405</v>
          </cell>
          <cell r="H1528" t="str">
            <v>Mayday</v>
          </cell>
          <cell r="I1528">
            <v>0.3125</v>
          </cell>
          <cell r="J1528">
            <v>0.5625</v>
          </cell>
          <cell r="K1528">
            <v>5.6666666666666696</v>
          </cell>
          <cell r="L1528">
            <v>182.98</v>
          </cell>
          <cell r="O1528" t="str">
            <v>Y</v>
          </cell>
          <cell r="P1528" t="str">
            <v>N</v>
          </cell>
          <cell r="Q1528" t="str">
            <v>Under Established</v>
          </cell>
          <cell r="S1528">
            <v>0.15</v>
          </cell>
        </row>
        <row r="1529">
          <cell r="D1529">
            <v>908006876</v>
          </cell>
          <cell r="E1529" t="str">
            <v>PAT DUBE</v>
          </cell>
          <cell r="F1529" t="str">
            <v>D (Ch)</v>
          </cell>
          <cell r="H1529" t="str">
            <v>Choice</v>
          </cell>
          <cell r="I1529">
            <v>0.5625</v>
          </cell>
          <cell r="J1529">
            <v>0.89583333333333337</v>
          </cell>
          <cell r="K1529">
            <v>7.6666666666666696</v>
          </cell>
          <cell r="L1529">
            <v>186.84</v>
          </cell>
          <cell r="O1529" t="str">
            <v>Y</v>
          </cell>
          <cell r="P1529" t="str">
            <v>N</v>
          </cell>
          <cell r="Q1529" t="str">
            <v>Transfer</v>
          </cell>
          <cell r="S1529">
            <v>0.2</v>
          </cell>
        </row>
        <row r="1530">
          <cell r="D1530">
            <v>1008003907</v>
          </cell>
          <cell r="E1530" t="str">
            <v>PAT MUGABZA</v>
          </cell>
          <cell r="F1530" t="str">
            <v>A (Ch)</v>
          </cell>
          <cell r="G1530">
            <v>16951</v>
          </cell>
          <cell r="H1530" t="str">
            <v>Choice</v>
          </cell>
          <cell r="I1530">
            <v>0.33333333333333331</v>
          </cell>
          <cell r="J1530">
            <v>0.83333333333333337</v>
          </cell>
          <cell r="K1530">
            <v>11.3333333333333</v>
          </cell>
          <cell r="L1530">
            <v>125.69</v>
          </cell>
          <cell r="O1530" t="str">
            <v>Y</v>
          </cell>
          <cell r="P1530" t="str">
            <v>N</v>
          </cell>
          <cell r="Q1530" t="str">
            <v>Specials</v>
          </cell>
          <cell r="S1530">
            <v>0.3</v>
          </cell>
        </row>
        <row r="1531">
          <cell r="D1531">
            <v>1008004327</v>
          </cell>
          <cell r="E1531" t="str">
            <v>PETER HESSLER</v>
          </cell>
          <cell r="F1531" t="str">
            <v>D (MD)</v>
          </cell>
          <cell r="G1531">
            <v>336398</v>
          </cell>
          <cell r="H1531" t="str">
            <v>Mayday</v>
          </cell>
          <cell r="I1531">
            <v>0.83333333333333337</v>
          </cell>
          <cell r="J1531">
            <v>0.33333333333333331</v>
          </cell>
          <cell r="K1531">
            <v>11</v>
          </cell>
          <cell r="L1531">
            <v>461.75</v>
          </cell>
          <cell r="O1531" t="str">
            <v>Y</v>
          </cell>
          <cell r="P1531" t="str">
            <v>N</v>
          </cell>
          <cell r="Q1531" t="str">
            <v>Vacancy</v>
          </cell>
          <cell r="S1531">
            <v>0.28999999999999998</v>
          </cell>
        </row>
        <row r="1532">
          <cell r="D1532">
            <v>1008003146</v>
          </cell>
          <cell r="E1532" t="str">
            <v>PRICILLA SONO</v>
          </cell>
          <cell r="F1532" t="str">
            <v>D (MD)</v>
          </cell>
          <cell r="G1532">
            <v>336549</v>
          </cell>
          <cell r="H1532" t="str">
            <v>Mayday</v>
          </cell>
          <cell r="I1532">
            <v>0.58333333333333337</v>
          </cell>
          <cell r="J1532">
            <v>0.875</v>
          </cell>
          <cell r="K1532">
            <v>7</v>
          </cell>
          <cell r="L1532">
            <v>226.03</v>
          </cell>
          <cell r="O1532" t="str">
            <v>Y</v>
          </cell>
          <cell r="P1532" t="str">
            <v>N</v>
          </cell>
          <cell r="Q1532" t="str">
            <v>Short Term Sick</v>
          </cell>
          <cell r="S1532">
            <v>0.19</v>
          </cell>
        </row>
        <row r="1533">
          <cell r="D1533">
            <v>1008003884</v>
          </cell>
          <cell r="E1533" t="str">
            <v>RAMANI THOMAS</v>
          </cell>
          <cell r="F1533" t="str">
            <v>D (MD)</v>
          </cell>
          <cell r="G1533">
            <v>337165</v>
          </cell>
          <cell r="H1533" t="str">
            <v>Mayday</v>
          </cell>
          <cell r="I1533">
            <v>0.83333333333333337</v>
          </cell>
          <cell r="J1533">
            <v>0.33333333333333331</v>
          </cell>
          <cell r="K1533">
            <v>11</v>
          </cell>
          <cell r="L1533">
            <v>461.75</v>
          </cell>
          <cell r="O1533" t="str">
            <v>Y</v>
          </cell>
          <cell r="P1533" t="str">
            <v>N</v>
          </cell>
          <cell r="Q1533" t="str">
            <v>Short Term Sick</v>
          </cell>
          <cell r="S1533">
            <v>0.28999999999999998</v>
          </cell>
        </row>
        <row r="1534">
          <cell r="D1534">
            <v>1008003262</v>
          </cell>
          <cell r="E1534" t="str">
            <v>SAM KELEM</v>
          </cell>
          <cell r="F1534" t="str">
            <v>D (Ch)</v>
          </cell>
          <cell r="H1534" t="str">
            <v>Choice</v>
          </cell>
          <cell r="I1534">
            <v>0.875</v>
          </cell>
          <cell r="J1534">
            <v>0.32291666666666669</v>
          </cell>
          <cell r="K1534">
            <v>10</v>
          </cell>
          <cell r="L1534">
            <v>316.81</v>
          </cell>
          <cell r="O1534" t="str">
            <v>Y</v>
          </cell>
          <cell r="P1534" t="str">
            <v>N</v>
          </cell>
          <cell r="Q1534" t="str">
            <v>Extra Capacity</v>
          </cell>
          <cell r="S1534">
            <v>0.27</v>
          </cell>
        </row>
        <row r="1535">
          <cell r="D1535">
            <v>1008002312</v>
          </cell>
          <cell r="E1535" t="str">
            <v>SAMSON BARACENA</v>
          </cell>
          <cell r="F1535" t="str">
            <v>D (Ch)</v>
          </cell>
          <cell r="G1535">
            <v>16932</v>
          </cell>
          <cell r="H1535" t="str">
            <v>Choice</v>
          </cell>
          <cell r="I1535">
            <v>0.83333333333333337</v>
          </cell>
          <cell r="J1535">
            <v>0.33333333333333331</v>
          </cell>
          <cell r="K1535">
            <v>11.3333333333333</v>
          </cell>
          <cell r="L1535">
            <v>359.05</v>
          </cell>
          <cell r="O1535" t="str">
            <v>Y</v>
          </cell>
          <cell r="P1535" t="str">
            <v>N</v>
          </cell>
          <cell r="Q1535" t="str">
            <v>Extra Capacity</v>
          </cell>
          <cell r="S1535">
            <v>0.3</v>
          </cell>
        </row>
        <row r="1536">
          <cell r="D1536">
            <v>1008003469</v>
          </cell>
          <cell r="E1536" t="str">
            <v>SEREELETSO MAITIYO</v>
          </cell>
          <cell r="F1536" t="str">
            <v>D (Ch)</v>
          </cell>
          <cell r="G1536">
            <v>16944</v>
          </cell>
          <cell r="H1536" t="str">
            <v>Choice</v>
          </cell>
          <cell r="I1536">
            <v>0.625</v>
          </cell>
          <cell r="J1536">
            <v>0.875</v>
          </cell>
          <cell r="K1536">
            <v>5.75</v>
          </cell>
          <cell r="L1536">
            <v>140.13</v>
          </cell>
          <cell r="O1536" t="str">
            <v>Y</v>
          </cell>
          <cell r="P1536" t="str">
            <v>N</v>
          </cell>
          <cell r="Q1536" t="str">
            <v>Short Term Sick</v>
          </cell>
          <cell r="S1536">
            <v>0.15</v>
          </cell>
        </row>
        <row r="1537">
          <cell r="D1537">
            <v>808004295</v>
          </cell>
          <cell r="E1537" t="str">
            <v>TARA MASSIE</v>
          </cell>
          <cell r="F1537" t="str">
            <v>D (MD)</v>
          </cell>
          <cell r="G1537">
            <v>336593</v>
          </cell>
          <cell r="H1537" t="str">
            <v>Mayday</v>
          </cell>
          <cell r="I1537">
            <v>0.64583333333333337</v>
          </cell>
          <cell r="J1537">
            <v>0.85416666666666663</v>
          </cell>
          <cell r="K1537">
            <v>5</v>
          </cell>
          <cell r="L1537">
            <v>161.44999999999999</v>
          </cell>
          <cell r="O1537" t="str">
            <v>Y</v>
          </cell>
          <cell r="P1537" t="str">
            <v>N</v>
          </cell>
          <cell r="Q1537" t="str">
            <v>Extra Capacity</v>
          </cell>
          <cell r="S1537">
            <v>0.13</v>
          </cell>
        </row>
        <row r="1538">
          <cell r="D1538">
            <v>1008003885</v>
          </cell>
          <cell r="E1538" t="str">
            <v>THEMBE NHOSE</v>
          </cell>
          <cell r="F1538" t="str">
            <v>D (MD)</v>
          </cell>
          <cell r="G1538">
            <v>338059</v>
          </cell>
          <cell r="H1538" t="str">
            <v>Mayday</v>
          </cell>
          <cell r="I1538">
            <v>0.83333333333333337</v>
          </cell>
          <cell r="J1538">
            <v>0.33333333333333331</v>
          </cell>
          <cell r="K1538">
            <v>11</v>
          </cell>
          <cell r="L1538">
            <v>461.75</v>
          </cell>
          <cell r="O1538" t="str">
            <v>Y</v>
          </cell>
          <cell r="P1538" t="str">
            <v>N</v>
          </cell>
          <cell r="Q1538" t="str">
            <v>Acuity</v>
          </cell>
          <cell r="S1538">
            <v>0.28999999999999998</v>
          </cell>
        </row>
        <row r="1539">
          <cell r="D1539">
            <v>1008002615</v>
          </cell>
          <cell r="E1539" t="str">
            <v>ALEX TYLER</v>
          </cell>
          <cell r="F1539" t="str">
            <v>A/2 (PS)</v>
          </cell>
          <cell r="H1539" t="str">
            <v>Pinnacle Staffing</v>
          </cell>
          <cell r="I1539">
            <v>0.3125</v>
          </cell>
          <cell r="J1539">
            <v>0.89583333333333337</v>
          </cell>
          <cell r="K1539">
            <v>13.3333333333333</v>
          </cell>
          <cell r="L1539">
            <v>166.76</v>
          </cell>
          <cell r="O1539" t="str">
            <v>Y</v>
          </cell>
          <cell r="P1539" t="str">
            <v>N</v>
          </cell>
          <cell r="Q1539" t="str">
            <v>Annual Leave</v>
          </cell>
          <cell r="S1539">
            <v>0.36</v>
          </cell>
        </row>
        <row r="1540">
          <cell r="D1540">
            <v>1008001817</v>
          </cell>
          <cell r="E1540" t="str">
            <v>ANNA BONNERUP</v>
          </cell>
          <cell r="F1540" t="str">
            <v>D / 5 General (</v>
          </cell>
          <cell r="G1540" t="str">
            <v>604-152971</v>
          </cell>
          <cell r="H1540" t="str">
            <v>Blue Arrow</v>
          </cell>
          <cell r="I1540">
            <v>0.625</v>
          </cell>
          <cell r="J1540">
            <v>0.85416666666666663</v>
          </cell>
          <cell r="K1540">
            <v>5.5</v>
          </cell>
          <cell r="L1540">
            <v>120.69</v>
          </cell>
          <cell r="O1540" t="str">
            <v>Y</v>
          </cell>
          <cell r="P1540" t="str">
            <v>N</v>
          </cell>
          <cell r="Q1540" t="str">
            <v>Vacancy</v>
          </cell>
          <cell r="S1540">
            <v>0.15</v>
          </cell>
        </row>
        <row r="1541">
          <cell r="D1541">
            <v>808004458</v>
          </cell>
          <cell r="E1541" t="str">
            <v>ATINUKE OKE-OLATUNDE</v>
          </cell>
          <cell r="F1541" t="str">
            <v>D (MD)</v>
          </cell>
          <cell r="G1541">
            <v>337655</v>
          </cell>
          <cell r="H1541" t="str">
            <v>Mayday</v>
          </cell>
          <cell r="I1541">
            <v>0.83333333333333337</v>
          </cell>
          <cell r="J1541">
            <v>0.33333333333333331</v>
          </cell>
          <cell r="K1541">
            <v>11.3333333333333</v>
          </cell>
          <cell r="L1541">
            <v>475.74</v>
          </cell>
          <cell r="O1541" t="str">
            <v>Y</v>
          </cell>
          <cell r="P1541" t="str">
            <v>N</v>
          </cell>
          <cell r="Q1541" t="str">
            <v>Extra Capacity</v>
          </cell>
          <cell r="S1541">
            <v>0.3</v>
          </cell>
        </row>
        <row r="1542">
          <cell r="D1542">
            <v>808004310</v>
          </cell>
          <cell r="E1542" t="str">
            <v>BEAUTY NGIDI</v>
          </cell>
          <cell r="F1542" t="str">
            <v>D (MD)</v>
          </cell>
          <cell r="G1542">
            <v>336577</v>
          </cell>
          <cell r="H1542" t="str">
            <v>Mayday</v>
          </cell>
          <cell r="I1542">
            <v>0.83333333333333337</v>
          </cell>
          <cell r="J1542">
            <v>0.33333333333333331</v>
          </cell>
          <cell r="K1542">
            <v>11.3333333333333</v>
          </cell>
          <cell r="L1542">
            <v>475.74</v>
          </cell>
          <cell r="O1542" t="str">
            <v>Y</v>
          </cell>
          <cell r="P1542" t="str">
            <v>N</v>
          </cell>
          <cell r="Q1542" t="str">
            <v>Extra Capacity</v>
          </cell>
          <cell r="S1542">
            <v>0.3</v>
          </cell>
        </row>
        <row r="1543">
          <cell r="D1543">
            <v>1008004603</v>
          </cell>
          <cell r="E1543" t="str">
            <v>BIDDY CHAFESUKA</v>
          </cell>
          <cell r="F1543" t="str">
            <v>D (Ch)</v>
          </cell>
          <cell r="G1543">
            <v>16937</v>
          </cell>
          <cell r="H1543" t="str">
            <v>Choice</v>
          </cell>
          <cell r="I1543">
            <v>0.83333333333333337</v>
          </cell>
          <cell r="J1543">
            <v>0.33333333333333331</v>
          </cell>
          <cell r="K1543">
            <v>11.3333333333333</v>
          </cell>
          <cell r="L1543">
            <v>359.05</v>
          </cell>
          <cell r="O1543" t="str">
            <v>Y</v>
          </cell>
          <cell r="P1543" t="str">
            <v>N</v>
          </cell>
          <cell r="Q1543" t="str">
            <v>Vacancy</v>
          </cell>
          <cell r="S1543">
            <v>0.3</v>
          </cell>
        </row>
        <row r="1544">
          <cell r="D1544">
            <v>808004402</v>
          </cell>
          <cell r="E1544" t="str">
            <v>BRIGHTNESS NDEBELE</v>
          </cell>
          <cell r="F1544" t="str">
            <v>D (MD)</v>
          </cell>
          <cell r="G1544">
            <v>336556</v>
          </cell>
          <cell r="H1544" t="str">
            <v>Mayday</v>
          </cell>
          <cell r="I1544">
            <v>0.3125</v>
          </cell>
          <cell r="J1544">
            <v>0.58333333333333337</v>
          </cell>
          <cell r="K1544">
            <v>6.1666666666666696</v>
          </cell>
          <cell r="L1544">
            <v>258.86</v>
          </cell>
          <cell r="O1544" t="str">
            <v>Y</v>
          </cell>
          <cell r="P1544" t="str">
            <v>N</v>
          </cell>
          <cell r="Q1544" t="str">
            <v>Extra Capacity</v>
          </cell>
          <cell r="S1544">
            <v>0.16</v>
          </cell>
        </row>
        <row r="1545">
          <cell r="D1545">
            <v>1008004602</v>
          </cell>
          <cell r="E1545" t="str">
            <v>CHRISTINA CHIKHI</v>
          </cell>
          <cell r="F1545" t="str">
            <v>6 Mental (Advan</v>
          </cell>
          <cell r="G1545">
            <v>1402227</v>
          </cell>
          <cell r="H1545" t="str">
            <v>Advantage</v>
          </cell>
          <cell r="I1545">
            <v>0.83333333333333337</v>
          </cell>
          <cell r="J1545">
            <v>0.33333333333333331</v>
          </cell>
          <cell r="K1545">
            <v>11.3333333333333</v>
          </cell>
          <cell r="L1545">
            <v>280.95999999999998</v>
          </cell>
          <cell r="O1545" t="str">
            <v>Y</v>
          </cell>
          <cell r="P1545" t="str">
            <v>N</v>
          </cell>
          <cell r="Q1545" t="str">
            <v>Vacancy</v>
          </cell>
          <cell r="S1545">
            <v>0.3</v>
          </cell>
        </row>
        <row r="1546">
          <cell r="D1546">
            <v>1008003539</v>
          </cell>
          <cell r="E1546" t="str">
            <v>CYNTHIA DELMO</v>
          </cell>
          <cell r="F1546" t="str">
            <v>D (Ch)</v>
          </cell>
          <cell r="G1546">
            <v>16936</v>
          </cell>
          <cell r="H1546" t="str">
            <v>Choice</v>
          </cell>
          <cell r="I1546">
            <v>0.625</v>
          </cell>
          <cell r="J1546">
            <v>0.85416666666666663</v>
          </cell>
          <cell r="K1546">
            <v>5.5</v>
          </cell>
          <cell r="L1546">
            <v>174.25</v>
          </cell>
          <cell r="O1546" t="str">
            <v>Y</v>
          </cell>
          <cell r="P1546" t="str">
            <v>N</v>
          </cell>
          <cell r="Q1546" t="str">
            <v>Vacancy</v>
          </cell>
          <cell r="S1546">
            <v>0.15</v>
          </cell>
        </row>
        <row r="1547">
          <cell r="D1547">
            <v>1008003249</v>
          </cell>
          <cell r="E1547" t="str">
            <v>DIGRACIA  NAPE</v>
          </cell>
          <cell r="F1547" t="str">
            <v>D (MD)</v>
          </cell>
          <cell r="G1547">
            <v>336046</v>
          </cell>
          <cell r="H1547" t="str">
            <v>Mayday</v>
          </cell>
          <cell r="I1547">
            <v>0.3125</v>
          </cell>
          <cell r="J1547">
            <v>0.5625</v>
          </cell>
          <cell r="K1547">
            <v>5.6666666666666696</v>
          </cell>
          <cell r="L1547">
            <v>237.87</v>
          </cell>
          <cell r="O1547" t="str">
            <v>Y</v>
          </cell>
          <cell r="P1547" t="str">
            <v>N</v>
          </cell>
          <cell r="Q1547" t="str">
            <v>Annual Leave</v>
          </cell>
          <cell r="S1547">
            <v>0.15</v>
          </cell>
        </row>
        <row r="1548">
          <cell r="D1548">
            <v>1008003491</v>
          </cell>
          <cell r="E1548" t="str">
            <v>DIGRACIA  NAPE</v>
          </cell>
          <cell r="F1548" t="str">
            <v>D (MD)</v>
          </cell>
          <cell r="G1548">
            <v>336038</v>
          </cell>
          <cell r="H1548" t="str">
            <v>Mayday</v>
          </cell>
          <cell r="I1548">
            <v>0.5625</v>
          </cell>
          <cell r="J1548">
            <v>0.89583333333333337</v>
          </cell>
          <cell r="K1548">
            <v>7.6666666666666696</v>
          </cell>
          <cell r="L1548">
            <v>321.82</v>
          </cell>
          <cell r="O1548" t="str">
            <v>Y</v>
          </cell>
          <cell r="P1548" t="str">
            <v>N</v>
          </cell>
          <cell r="Q1548" t="str">
            <v>Under Established</v>
          </cell>
          <cell r="S1548">
            <v>0.2</v>
          </cell>
        </row>
        <row r="1549">
          <cell r="D1549">
            <v>908005830</v>
          </cell>
          <cell r="E1549" t="str">
            <v>JASON WENT</v>
          </cell>
          <cell r="F1549" t="str">
            <v>D / 5 General (</v>
          </cell>
          <cell r="G1549" t="str">
            <v>604-152973</v>
          </cell>
          <cell r="H1549" t="str">
            <v>Blue Arrow</v>
          </cell>
          <cell r="I1549">
            <v>0.82291666666666663</v>
          </cell>
          <cell r="J1549">
            <v>0.34375</v>
          </cell>
          <cell r="K1549">
            <v>11.5</v>
          </cell>
          <cell r="L1549">
            <v>252.36</v>
          </cell>
          <cell r="O1549" t="str">
            <v>Y</v>
          </cell>
          <cell r="P1549" t="str">
            <v>N</v>
          </cell>
          <cell r="Q1549" t="str">
            <v>Vacancy</v>
          </cell>
          <cell r="S1549">
            <v>0.31</v>
          </cell>
        </row>
        <row r="1550">
          <cell r="D1550">
            <v>1008001816</v>
          </cell>
          <cell r="E1550" t="str">
            <v>JOANNE BUSS</v>
          </cell>
          <cell r="F1550" t="str">
            <v>D (MD)</v>
          </cell>
          <cell r="G1550">
            <v>336042</v>
          </cell>
          <cell r="H1550" t="str">
            <v>Mayday</v>
          </cell>
          <cell r="I1550">
            <v>0.625</v>
          </cell>
          <cell r="J1550">
            <v>0.85416666666666663</v>
          </cell>
          <cell r="K1550">
            <v>5.5</v>
          </cell>
          <cell r="L1550">
            <v>230.87</v>
          </cell>
          <cell r="O1550" t="str">
            <v>Y</v>
          </cell>
          <cell r="P1550" t="str">
            <v>N</v>
          </cell>
          <cell r="Q1550" t="str">
            <v>Vacancy</v>
          </cell>
          <cell r="S1550">
            <v>0.15</v>
          </cell>
        </row>
        <row r="1551">
          <cell r="D1551">
            <v>808004296</v>
          </cell>
          <cell r="E1551" t="str">
            <v>KERRI GALLOWAY</v>
          </cell>
          <cell r="F1551" t="str">
            <v>D (MD)</v>
          </cell>
          <cell r="G1551">
            <v>336529</v>
          </cell>
          <cell r="H1551" t="str">
            <v>Mayday</v>
          </cell>
          <cell r="I1551">
            <v>0.625</v>
          </cell>
          <cell r="J1551">
            <v>0.85416666666666663</v>
          </cell>
          <cell r="K1551">
            <v>5.5</v>
          </cell>
          <cell r="L1551">
            <v>230.87</v>
          </cell>
          <cell r="O1551" t="str">
            <v>Y</v>
          </cell>
          <cell r="P1551" t="str">
            <v>N</v>
          </cell>
          <cell r="Q1551" t="str">
            <v>Extra Capacity</v>
          </cell>
          <cell r="S1551">
            <v>0.15</v>
          </cell>
        </row>
        <row r="1552">
          <cell r="D1552">
            <v>1008002634</v>
          </cell>
          <cell r="E1552" t="str">
            <v>MZUKISI SPEELMAN</v>
          </cell>
          <cell r="F1552" t="str">
            <v>A (Ch)</v>
          </cell>
          <cell r="G1552">
            <v>16931</v>
          </cell>
          <cell r="H1552" t="str">
            <v>Choice</v>
          </cell>
          <cell r="I1552">
            <v>0.3125</v>
          </cell>
          <cell r="J1552">
            <v>0.5625</v>
          </cell>
          <cell r="K1552">
            <v>5.6666666666666696</v>
          </cell>
          <cell r="L1552">
            <v>83.79</v>
          </cell>
          <cell r="O1552" t="str">
            <v>Y</v>
          </cell>
          <cell r="P1552" t="str">
            <v>N</v>
          </cell>
          <cell r="Q1552" t="str">
            <v>Under Established</v>
          </cell>
          <cell r="S1552">
            <v>0.15</v>
          </cell>
        </row>
        <row r="1553">
          <cell r="D1553">
            <v>1008002315</v>
          </cell>
          <cell r="E1553" t="str">
            <v>RODA RAMERIZ</v>
          </cell>
          <cell r="F1553" t="str">
            <v>D (Ch)</v>
          </cell>
          <cell r="G1553">
            <v>16956</v>
          </cell>
          <cell r="H1553" t="str">
            <v>Choice</v>
          </cell>
          <cell r="I1553">
            <v>0.83333333333333337</v>
          </cell>
          <cell r="J1553">
            <v>0.33333333333333331</v>
          </cell>
          <cell r="K1553">
            <v>11.3333333333333</v>
          </cell>
          <cell r="L1553">
            <v>359.05</v>
          </cell>
          <cell r="O1553" t="str">
            <v>Y</v>
          </cell>
          <cell r="P1553" t="str">
            <v>N</v>
          </cell>
          <cell r="Q1553" t="str">
            <v>Extra Capacity</v>
          </cell>
          <cell r="S1553">
            <v>0.3</v>
          </cell>
        </row>
        <row r="1554">
          <cell r="D1554">
            <v>1008003263</v>
          </cell>
          <cell r="E1554" t="str">
            <v>SAM KELEM</v>
          </cell>
          <cell r="F1554" t="str">
            <v>D (Ch)</v>
          </cell>
          <cell r="G1554">
            <v>16951</v>
          </cell>
          <cell r="H1554" t="str">
            <v>Choice</v>
          </cell>
          <cell r="I1554">
            <v>0.875</v>
          </cell>
          <cell r="J1554">
            <v>0.32291666666666669</v>
          </cell>
          <cell r="K1554">
            <v>10</v>
          </cell>
          <cell r="L1554">
            <v>316.81</v>
          </cell>
          <cell r="O1554" t="str">
            <v>Y</v>
          </cell>
          <cell r="P1554" t="str">
            <v>N</v>
          </cell>
          <cell r="Q1554" t="str">
            <v>Extra Capacity</v>
          </cell>
          <cell r="S1554">
            <v>0.27</v>
          </cell>
        </row>
        <row r="1555">
          <cell r="D1555">
            <v>1008002317</v>
          </cell>
          <cell r="E1555" t="str">
            <v>SAMSON BARACENA</v>
          </cell>
          <cell r="F1555" t="str">
            <v>D (Ch)</v>
          </cell>
          <cell r="G1555">
            <v>16936</v>
          </cell>
          <cell r="H1555" t="str">
            <v>Choice</v>
          </cell>
          <cell r="I1555">
            <v>0.83333333333333337</v>
          </cell>
          <cell r="J1555">
            <v>0.33333333333333331</v>
          </cell>
          <cell r="K1555">
            <v>11.3333333333333</v>
          </cell>
          <cell r="L1555">
            <v>359.05</v>
          </cell>
          <cell r="O1555" t="str">
            <v>Y</v>
          </cell>
          <cell r="P1555" t="str">
            <v>N</v>
          </cell>
          <cell r="Q1555" t="str">
            <v>Extra Capacity</v>
          </cell>
          <cell r="S1555">
            <v>0.3</v>
          </cell>
        </row>
        <row r="1556">
          <cell r="D1556">
            <v>1008002314</v>
          </cell>
          <cell r="E1556" t="str">
            <v>SEREELETSO MAITIYO</v>
          </cell>
          <cell r="F1556" t="str">
            <v>D (Ch)</v>
          </cell>
          <cell r="H1556" t="str">
            <v>Choice</v>
          </cell>
          <cell r="I1556">
            <v>0.3125</v>
          </cell>
          <cell r="J1556">
            <v>0.625</v>
          </cell>
          <cell r="K1556">
            <v>7.1666666666666696</v>
          </cell>
          <cell r="L1556">
            <v>227.05</v>
          </cell>
          <cell r="O1556" t="str">
            <v>Y</v>
          </cell>
          <cell r="P1556" t="str">
            <v>N</v>
          </cell>
          <cell r="Q1556" t="str">
            <v>Extra Capacity</v>
          </cell>
          <cell r="S1556">
            <v>0.19</v>
          </cell>
        </row>
        <row r="1557">
          <cell r="D1557">
            <v>808004451</v>
          </cell>
          <cell r="E1557" t="str">
            <v>TEMBE NGIDI</v>
          </cell>
          <cell r="F1557" t="str">
            <v>D (MD)</v>
          </cell>
          <cell r="G1557">
            <v>336565</v>
          </cell>
          <cell r="H1557" t="str">
            <v>Mayday</v>
          </cell>
          <cell r="I1557">
            <v>0.83333333333333337</v>
          </cell>
          <cell r="J1557">
            <v>0.33333333333333331</v>
          </cell>
          <cell r="K1557">
            <v>11.3333333333333</v>
          </cell>
          <cell r="L1557">
            <v>475.74</v>
          </cell>
          <cell r="O1557" t="str">
            <v>Y</v>
          </cell>
          <cell r="P1557" t="str">
            <v>N</v>
          </cell>
          <cell r="Q1557" t="str">
            <v>Extra Capacity</v>
          </cell>
          <cell r="S1557">
            <v>0.3</v>
          </cell>
        </row>
        <row r="1558">
          <cell r="D1558">
            <v>1008004359</v>
          </cell>
          <cell r="E1558" t="str">
            <v>THEMBE NHOSE</v>
          </cell>
          <cell r="F1558" t="str">
            <v>D (MD)</v>
          </cell>
          <cell r="G1558">
            <v>337394</v>
          </cell>
          <cell r="H1558" t="str">
            <v>Mayday</v>
          </cell>
          <cell r="I1558">
            <v>0.83333333333333337</v>
          </cell>
          <cell r="J1558">
            <v>0.33333333333333331</v>
          </cell>
          <cell r="K1558">
            <v>11</v>
          </cell>
          <cell r="L1558">
            <v>461.75</v>
          </cell>
          <cell r="O1558" t="str">
            <v>Y</v>
          </cell>
          <cell r="P1558" t="str">
            <v>N</v>
          </cell>
          <cell r="Q1558" t="str">
            <v>Productive Ward</v>
          </cell>
          <cell r="S1558">
            <v>0.28999999999999998</v>
          </cell>
        </row>
        <row r="1559">
          <cell r="D1559">
            <v>1008002616</v>
          </cell>
          <cell r="E1559" t="str">
            <v>ALEX TYLER</v>
          </cell>
          <cell r="F1559" t="str">
            <v>A/2 (PS)</v>
          </cell>
          <cell r="H1559" t="str">
            <v>Pinnacle Staffing</v>
          </cell>
          <cell r="I1559">
            <v>0.3125</v>
          </cell>
          <cell r="J1559">
            <v>0.89583333333333337</v>
          </cell>
          <cell r="K1559">
            <v>13.3333333333333</v>
          </cell>
          <cell r="L1559">
            <v>208.44</v>
          </cell>
          <cell r="O1559" t="str">
            <v>Y</v>
          </cell>
          <cell r="P1559" t="str">
            <v>N</v>
          </cell>
          <cell r="Q1559" t="str">
            <v>Annual Leave</v>
          </cell>
          <cell r="S1559">
            <v>0.36</v>
          </cell>
        </row>
        <row r="1560">
          <cell r="D1560">
            <v>1008004434</v>
          </cell>
          <cell r="E1560" t="str">
            <v>ALMA DEPENA</v>
          </cell>
          <cell r="F1560" t="str">
            <v>D (Ch)</v>
          </cell>
          <cell r="G1560">
            <v>16936</v>
          </cell>
          <cell r="H1560" t="str">
            <v>Choice</v>
          </cell>
          <cell r="I1560">
            <v>0.82291666666666663</v>
          </cell>
          <cell r="J1560">
            <v>0.33333333333333331</v>
          </cell>
          <cell r="K1560">
            <v>11.5833333333333</v>
          </cell>
          <cell r="L1560">
            <v>451.66</v>
          </cell>
          <cell r="O1560" t="str">
            <v>Y</v>
          </cell>
          <cell r="P1560" t="str">
            <v>N</v>
          </cell>
          <cell r="Q1560" t="str">
            <v>Vacancy</v>
          </cell>
          <cell r="S1560">
            <v>0.31</v>
          </cell>
        </row>
        <row r="1561">
          <cell r="D1561">
            <v>1008004605</v>
          </cell>
          <cell r="E1561" t="str">
            <v>ANDREA VENEURELA</v>
          </cell>
          <cell r="F1561" t="str">
            <v>D (Ch)</v>
          </cell>
          <cell r="G1561">
            <v>16935</v>
          </cell>
          <cell r="H1561" t="str">
            <v>Choice</v>
          </cell>
          <cell r="I1561">
            <v>0.84375</v>
          </cell>
          <cell r="J1561">
            <v>0.32291666666666669</v>
          </cell>
          <cell r="K1561">
            <v>10.75</v>
          </cell>
          <cell r="L1561">
            <v>419.16</v>
          </cell>
          <cell r="O1561" t="str">
            <v>Y</v>
          </cell>
          <cell r="P1561" t="str">
            <v>N</v>
          </cell>
          <cell r="Q1561" t="str">
            <v>Vacancy</v>
          </cell>
          <cell r="S1561">
            <v>0.28999999999999998</v>
          </cell>
        </row>
        <row r="1562">
          <cell r="D1562">
            <v>1008001822</v>
          </cell>
          <cell r="E1562" t="str">
            <v>ANNA BONNERUP</v>
          </cell>
          <cell r="F1562" t="str">
            <v>D / 5 General (</v>
          </cell>
          <cell r="G1562" t="str">
            <v>604-152971</v>
          </cell>
          <cell r="H1562" t="str">
            <v>Blue Arrow</v>
          </cell>
          <cell r="I1562">
            <v>0.625</v>
          </cell>
          <cell r="J1562">
            <v>0.85416666666666663</v>
          </cell>
          <cell r="K1562">
            <v>5.5</v>
          </cell>
          <cell r="L1562">
            <v>148.54</v>
          </cell>
          <cell r="O1562" t="str">
            <v>Y</v>
          </cell>
          <cell r="P1562" t="str">
            <v>N</v>
          </cell>
          <cell r="Q1562" t="str">
            <v>Vacancy</v>
          </cell>
          <cell r="S1562">
            <v>0.15</v>
          </cell>
        </row>
        <row r="1563">
          <cell r="D1563">
            <v>808004325</v>
          </cell>
          <cell r="E1563" t="str">
            <v>ATINUKE OKE-OLATUNDE</v>
          </cell>
          <cell r="F1563" t="str">
            <v>D (MD)</v>
          </cell>
          <cell r="G1563">
            <v>340124</v>
          </cell>
          <cell r="H1563" t="str">
            <v>Mayday</v>
          </cell>
          <cell r="I1563">
            <v>0.83333333333333337</v>
          </cell>
          <cell r="J1563">
            <v>0.33333333333333331</v>
          </cell>
          <cell r="K1563">
            <v>11.3333333333333</v>
          </cell>
          <cell r="L1563">
            <v>585.53</v>
          </cell>
          <cell r="O1563" t="str">
            <v>Y</v>
          </cell>
          <cell r="P1563" t="str">
            <v>N</v>
          </cell>
          <cell r="Q1563" t="str">
            <v>Extra Capacity</v>
          </cell>
          <cell r="S1563">
            <v>0.3</v>
          </cell>
        </row>
        <row r="1564">
          <cell r="D1564">
            <v>808004317</v>
          </cell>
          <cell r="E1564" t="str">
            <v>BEAUTY NGIDI</v>
          </cell>
          <cell r="F1564" t="str">
            <v>D (MD)</v>
          </cell>
          <cell r="G1564">
            <v>336577</v>
          </cell>
          <cell r="H1564" t="str">
            <v>Mayday</v>
          </cell>
          <cell r="I1564">
            <v>0.83333333333333337</v>
          </cell>
          <cell r="J1564">
            <v>0.33333333333333331</v>
          </cell>
          <cell r="K1564">
            <v>11.3333333333333</v>
          </cell>
          <cell r="L1564">
            <v>585.53</v>
          </cell>
          <cell r="O1564" t="str">
            <v>Y</v>
          </cell>
          <cell r="P1564" t="str">
            <v>N</v>
          </cell>
          <cell r="Q1564" t="str">
            <v>Extra Capacity</v>
          </cell>
          <cell r="S1564">
            <v>0.3</v>
          </cell>
        </row>
        <row r="1565">
          <cell r="D1565">
            <v>1008004432</v>
          </cell>
          <cell r="E1565" t="str">
            <v>BIDDY CHAFESUKA</v>
          </cell>
          <cell r="F1565" t="str">
            <v>D (Ch)</v>
          </cell>
          <cell r="G1565">
            <v>16936</v>
          </cell>
          <cell r="H1565" t="str">
            <v>Choice</v>
          </cell>
          <cell r="I1565">
            <v>0.82291666666666663</v>
          </cell>
          <cell r="J1565">
            <v>0.33333333333333331</v>
          </cell>
          <cell r="K1565">
            <v>11.5833333333333</v>
          </cell>
          <cell r="L1565">
            <v>451.66</v>
          </cell>
          <cell r="O1565" t="str">
            <v>Y</v>
          </cell>
          <cell r="P1565" t="str">
            <v>N</v>
          </cell>
          <cell r="Q1565" t="str">
            <v>Vacancy</v>
          </cell>
          <cell r="S1565">
            <v>0.31</v>
          </cell>
        </row>
        <row r="1566">
          <cell r="D1566">
            <v>808004403</v>
          </cell>
          <cell r="E1566" t="str">
            <v>BRIGHTNESS NDEBELE</v>
          </cell>
          <cell r="F1566" t="str">
            <v>D (MD)</v>
          </cell>
          <cell r="G1566">
            <v>336556</v>
          </cell>
          <cell r="H1566" t="str">
            <v>Mayday</v>
          </cell>
          <cell r="I1566">
            <v>0.3125</v>
          </cell>
          <cell r="J1566">
            <v>0.58333333333333337</v>
          </cell>
          <cell r="K1566">
            <v>6.1666666666666696</v>
          </cell>
          <cell r="L1566">
            <v>318.58999999999997</v>
          </cell>
          <cell r="O1566" t="str">
            <v>Y</v>
          </cell>
          <cell r="P1566" t="str">
            <v>N</v>
          </cell>
          <cell r="Q1566" t="str">
            <v>Extra Capacity</v>
          </cell>
          <cell r="S1566">
            <v>0.16</v>
          </cell>
        </row>
        <row r="1567">
          <cell r="D1567">
            <v>1008003125</v>
          </cell>
          <cell r="E1567" t="str">
            <v>BRIGHTNESS NDEBELE</v>
          </cell>
          <cell r="F1567" t="str">
            <v>D (MD)</v>
          </cell>
          <cell r="G1567">
            <v>336556</v>
          </cell>
          <cell r="H1567" t="str">
            <v>Mayday</v>
          </cell>
          <cell r="I1567">
            <v>0.625</v>
          </cell>
          <cell r="J1567">
            <v>0.85416666666666663</v>
          </cell>
          <cell r="K1567">
            <v>5.5</v>
          </cell>
          <cell r="L1567">
            <v>284.14999999999998</v>
          </cell>
          <cell r="O1567" t="str">
            <v>Y</v>
          </cell>
          <cell r="P1567" t="str">
            <v>N</v>
          </cell>
          <cell r="Q1567" t="str">
            <v>Vacancy</v>
          </cell>
          <cell r="S1567">
            <v>0.15</v>
          </cell>
        </row>
        <row r="1568">
          <cell r="D1568">
            <v>908003760</v>
          </cell>
          <cell r="E1568" t="str">
            <v>CHRIS STULAR</v>
          </cell>
          <cell r="F1568" t="str">
            <v>D General (Orio</v>
          </cell>
          <cell r="G1568" t="str">
            <v>Invsd Smt checked</v>
          </cell>
          <cell r="H1568" t="str">
            <v>Orion</v>
          </cell>
          <cell r="I1568">
            <v>0.33333333333333331</v>
          </cell>
          <cell r="J1568">
            <v>0.89583333333333337</v>
          </cell>
          <cell r="K1568">
            <v>12.5</v>
          </cell>
          <cell r="L1568">
            <v>362.4</v>
          </cell>
          <cell r="O1568" t="str">
            <v>Y</v>
          </cell>
          <cell r="P1568" t="str">
            <v>N</v>
          </cell>
          <cell r="Q1568" t="str">
            <v>Vacancy</v>
          </cell>
          <cell r="S1568">
            <v>0.33</v>
          </cell>
        </row>
        <row r="1569">
          <cell r="D1569">
            <v>1008002179</v>
          </cell>
          <cell r="E1569" t="str">
            <v>CYNTHIA DELMO</v>
          </cell>
          <cell r="F1569" t="str">
            <v>D (Ch)</v>
          </cell>
          <cell r="H1569" t="str">
            <v>Choice</v>
          </cell>
          <cell r="I1569">
            <v>0.84375</v>
          </cell>
          <cell r="J1569">
            <v>0.32291666666666669</v>
          </cell>
          <cell r="K1569">
            <v>11.1666666666667</v>
          </cell>
          <cell r="L1569">
            <v>435.41</v>
          </cell>
          <cell r="O1569" t="str">
            <v>Y</v>
          </cell>
          <cell r="P1569" t="str">
            <v>N</v>
          </cell>
          <cell r="Q1569" t="str">
            <v>Short Term Sick</v>
          </cell>
          <cell r="S1569">
            <v>0.3</v>
          </cell>
        </row>
        <row r="1570">
          <cell r="D1570">
            <v>1008003492</v>
          </cell>
          <cell r="E1570" t="str">
            <v>DIGRACIA  NAPE</v>
          </cell>
          <cell r="F1570" t="str">
            <v>D (MD)</v>
          </cell>
          <cell r="G1570">
            <v>336049</v>
          </cell>
          <cell r="H1570" t="str">
            <v>Mayday</v>
          </cell>
          <cell r="I1570">
            <v>0.5625</v>
          </cell>
          <cell r="J1570">
            <v>0.89583333333333337</v>
          </cell>
          <cell r="K1570">
            <v>7.6666666666666696</v>
          </cell>
          <cell r="L1570">
            <v>396.09</v>
          </cell>
          <cell r="O1570" t="str">
            <v>Y</v>
          </cell>
          <cell r="P1570" t="str">
            <v>N</v>
          </cell>
          <cell r="Q1570" t="str">
            <v>Under Established</v>
          </cell>
          <cell r="S1570">
            <v>0.2</v>
          </cell>
        </row>
        <row r="1571">
          <cell r="D1571">
            <v>908005829</v>
          </cell>
          <cell r="E1571" t="str">
            <v>HILDA SHANGE</v>
          </cell>
          <cell r="F1571" t="str">
            <v>D (Ch)</v>
          </cell>
          <cell r="H1571" t="str">
            <v>Choice</v>
          </cell>
          <cell r="I1571">
            <v>0.82291666666666663</v>
          </cell>
          <cell r="J1571">
            <v>0.34375</v>
          </cell>
          <cell r="K1571">
            <v>11.5</v>
          </cell>
          <cell r="L1571">
            <v>448.41</v>
          </cell>
          <cell r="O1571" t="str">
            <v>Y</v>
          </cell>
          <cell r="P1571" t="str">
            <v>N</v>
          </cell>
          <cell r="Q1571" t="str">
            <v>Vacancy</v>
          </cell>
          <cell r="S1571">
            <v>0.31</v>
          </cell>
        </row>
        <row r="1572">
          <cell r="D1572">
            <v>908005142</v>
          </cell>
          <cell r="E1572" t="str">
            <v>JANE DUNSMURE</v>
          </cell>
          <cell r="F1572" t="str">
            <v>D/5 (PS)</v>
          </cell>
          <cell r="H1572" t="str">
            <v>Pinnacle Staffing</v>
          </cell>
          <cell r="I1572">
            <v>0.875</v>
          </cell>
          <cell r="J1572">
            <v>0.30208333333333331</v>
          </cell>
          <cell r="K1572">
            <v>9.9166666666666696</v>
          </cell>
          <cell r="L1572">
            <v>269.57</v>
          </cell>
          <cell r="O1572" t="str">
            <v>Y</v>
          </cell>
          <cell r="P1572" t="str">
            <v>N</v>
          </cell>
          <cell r="Q1572" t="str">
            <v>Vacancy</v>
          </cell>
          <cell r="S1572">
            <v>0.26</v>
          </cell>
        </row>
        <row r="1573">
          <cell r="D1573">
            <v>1008004238</v>
          </cell>
          <cell r="E1573" t="str">
            <v>JASMINE ESGUERRA</v>
          </cell>
          <cell r="F1573" t="str">
            <v>D (Ch)</v>
          </cell>
          <cell r="G1573">
            <v>16947</v>
          </cell>
          <cell r="H1573" t="str">
            <v>Choice</v>
          </cell>
          <cell r="I1573">
            <v>0.3125</v>
          </cell>
          <cell r="J1573">
            <v>0.875</v>
          </cell>
          <cell r="K1573">
            <v>12.8333333333333</v>
          </cell>
          <cell r="L1573">
            <v>500.4</v>
          </cell>
          <cell r="O1573" t="str">
            <v>Y</v>
          </cell>
          <cell r="P1573" t="str">
            <v>N</v>
          </cell>
          <cell r="Q1573" t="str">
            <v>Nurse Moved</v>
          </cell>
          <cell r="S1573">
            <v>0.34</v>
          </cell>
        </row>
        <row r="1574">
          <cell r="D1574">
            <v>1008001752</v>
          </cell>
          <cell r="E1574" t="str">
            <v>JASON WENT</v>
          </cell>
          <cell r="F1574" t="str">
            <v>D / 5 General (</v>
          </cell>
          <cell r="G1574" t="str">
            <v>604-152972</v>
          </cell>
          <cell r="H1574" t="str">
            <v>Blue Arrow</v>
          </cell>
          <cell r="I1574">
            <v>0.83333333333333337</v>
          </cell>
          <cell r="J1574">
            <v>0.33333333333333331</v>
          </cell>
          <cell r="K1574">
            <v>11.3333333333333</v>
          </cell>
          <cell r="L1574">
            <v>306.08999999999997</v>
          </cell>
          <cell r="O1574" t="str">
            <v>Y</v>
          </cell>
          <cell r="P1574" t="str">
            <v>N</v>
          </cell>
          <cell r="Q1574" t="str">
            <v>Under Established</v>
          </cell>
          <cell r="S1574">
            <v>0.3</v>
          </cell>
        </row>
        <row r="1575">
          <cell r="D1575">
            <v>1008004606</v>
          </cell>
          <cell r="E1575" t="str">
            <v>KERRI GALLOWAY</v>
          </cell>
          <cell r="F1575" t="str">
            <v>D (MD)</v>
          </cell>
          <cell r="G1575">
            <v>336056</v>
          </cell>
          <cell r="H1575" t="str">
            <v>Mayday</v>
          </cell>
          <cell r="I1575">
            <v>0.5625</v>
          </cell>
          <cell r="J1575">
            <v>0.89583333333333337</v>
          </cell>
          <cell r="K1575">
            <v>7.6666666666666696</v>
          </cell>
          <cell r="L1575">
            <v>396.09</v>
          </cell>
          <cell r="O1575" t="str">
            <v>Y</v>
          </cell>
          <cell r="P1575" t="str">
            <v>N</v>
          </cell>
          <cell r="Q1575" t="str">
            <v>Vacancy</v>
          </cell>
          <cell r="S1575">
            <v>0.2</v>
          </cell>
        </row>
        <row r="1576">
          <cell r="D1576">
            <v>808004452</v>
          </cell>
          <cell r="E1576" t="str">
            <v>LETECIA MENIANO</v>
          </cell>
          <cell r="F1576" t="str">
            <v>D (MD)</v>
          </cell>
          <cell r="G1576">
            <v>336536</v>
          </cell>
          <cell r="H1576" t="str">
            <v>Mayday</v>
          </cell>
          <cell r="I1576">
            <v>0.83333333333333337</v>
          </cell>
          <cell r="J1576">
            <v>0.33333333333333331</v>
          </cell>
          <cell r="K1576">
            <v>11.3333333333333</v>
          </cell>
          <cell r="L1576">
            <v>585.53</v>
          </cell>
          <cell r="O1576" t="str">
            <v>Y</v>
          </cell>
          <cell r="P1576" t="str">
            <v>N</v>
          </cell>
          <cell r="Q1576" t="str">
            <v>Extra Capacity</v>
          </cell>
          <cell r="S1576">
            <v>0.3</v>
          </cell>
        </row>
        <row r="1577">
          <cell r="D1577">
            <v>1008002321</v>
          </cell>
          <cell r="E1577" t="str">
            <v>NILO DANUGO</v>
          </cell>
          <cell r="F1577" t="str">
            <v>D (Ch)</v>
          </cell>
          <cell r="G1577">
            <v>16954</v>
          </cell>
          <cell r="H1577" t="str">
            <v>Choice</v>
          </cell>
          <cell r="I1577">
            <v>0.83333333333333337</v>
          </cell>
          <cell r="J1577">
            <v>0.33333333333333331</v>
          </cell>
          <cell r="K1577">
            <v>11.3333333333333</v>
          </cell>
          <cell r="L1577">
            <v>441.91</v>
          </cell>
          <cell r="O1577" t="str">
            <v>Y</v>
          </cell>
          <cell r="P1577" t="str">
            <v>N</v>
          </cell>
          <cell r="Q1577" t="str">
            <v>Extra Capacity</v>
          </cell>
          <cell r="S1577">
            <v>0.3</v>
          </cell>
        </row>
        <row r="1578">
          <cell r="D1578">
            <v>808004276</v>
          </cell>
          <cell r="E1578" t="str">
            <v>PAT DUBE</v>
          </cell>
          <cell r="F1578" t="str">
            <v>D (MD)</v>
          </cell>
          <cell r="H1578" t="str">
            <v>Mayday</v>
          </cell>
          <cell r="I1578">
            <v>0.3125</v>
          </cell>
          <cell r="J1578">
            <v>0.58333333333333337</v>
          </cell>
          <cell r="K1578">
            <v>6.1666666666666696</v>
          </cell>
          <cell r="L1578">
            <v>318.58999999999997</v>
          </cell>
          <cell r="O1578" t="str">
            <v>Y</v>
          </cell>
          <cell r="P1578" t="str">
            <v>N</v>
          </cell>
          <cell r="Q1578" t="str">
            <v>Extra Capacity</v>
          </cell>
          <cell r="S1578">
            <v>0.16</v>
          </cell>
        </row>
        <row r="1579">
          <cell r="D1579">
            <v>1008004229</v>
          </cell>
          <cell r="E1579" t="str">
            <v>RODA RAMERIZ</v>
          </cell>
          <cell r="F1579" t="str">
            <v>D (Ch)</v>
          </cell>
          <cell r="H1579" t="str">
            <v>Choice</v>
          </cell>
          <cell r="I1579">
            <v>0.875</v>
          </cell>
          <cell r="J1579">
            <v>0.30208333333333331</v>
          </cell>
          <cell r="K1579">
            <v>9.9166666666666696</v>
          </cell>
          <cell r="L1579">
            <v>386.67</v>
          </cell>
          <cell r="O1579" t="str">
            <v>Y</v>
          </cell>
          <cell r="P1579" t="str">
            <v>N</v>
          </cell>
          <cell r="Q1579" t="str">
            <v>Nurse Moved</v>
          </cell>
          <cell r="S1579">
            <v>0.26</v>
          </cell>
        </row>
        <row r="1580">
          <cell r="D1580">
            <v>1008003919</v>
          </cell>
          <cell r="E1580" t="str">
            <v>TAMBU JENA</v>
          </cell>
          <cell r="F1580" t="str">
            <v>D (Ch)</v>
          </cell>
          <cell r="G1580">
            <v>16956</v>
          </cell>
          <cell r="H1580" t="str">
            <v>Choice</v>
          </cell>
          <cell r="I1580">
            <v>0.3125</v>
          </cell>
          <cell r="J1580">
            <v>0.5625</v>
          </cell>
          <cell r="K1580">
            <v>5.6666666666666696</v>
          </cell>
          <cell r="L1580">
            <v>220.95</v>
          </cell>
          <cell r="O1580" t="str">
            <v>Y</v>
          </cell>
          <cell r="P1580" t="str">
            <v>N</v>
          </cell>
          <cell r="Q1580" t="str">
            <v>Short Term Sick</v>
          </cell>
          <cell r="S1580">
            <v>0.15</v>
          </cell>
        </row>
        <row r="1581">
          <cell r="D1581">
            <v>1008004431</v>
          </cell>
          <cell r="E1581" t="str">
            <v>TRUST CHIWUNDURA</v>
          </cell>
          <cell r="F1581" t="str">
            <v>A (Ch)</v>
          </cell>
          <cell r="G1581">
            <v>16953</v>
          </cell>
          <cell r="H1581" t="str">
            <v>Choice</v>
          </cell>
          <cell r="I1581">
            <v>0.82291666666666663</v>
          </cell>
          <cell r="J1581">
            <v>0.34375</v>
          </cell>
          <cell r="K1581">
            <v>11.5</v>
          </cell>
          <cell r="L1581">
            <v>212.56</v>
          </cell>
          <cell r="O1581" t="str">
            <v>Y</v>
          </cell>
          <cell r="P1581" t="str">
            <v>N</v>
          </cell>
          <cell r="Q1581" t="str">
            <v>Vacancy</v>
          </cell>
          <cell r="S1581">
            <v>0.31</v>
          </cell>
        </row>
        <row r="1582">
          <cell r="D1582">
            <v>808004523</v>
          </cell>
          <cell r="E1582" t="str">
            <v>ATINUKE OKE-OLATUNDE</v>
          </cell>
          <cell r="F1582" t="str">
            <v>D (MD)</v>
          </cell>
          <cell r="G1582">
            <v>337656</v>
          </cell>
          <cell r="H1582" t="str">
            <v>Mayday</v>
          </cell>
          <cell r="I1582">
            <v>0.83333333333333337</v>
          </cell>
          <cell r="J1582">
            <v>0.33333333333333331</v>
          </cell>
          <cell r="K1582">
            <v>11.3333333333333</v>
          </cell>
          <cell r="L1582">
            <v>475.74</v>
          </cell>
          <cell r="O1582" t="str">
            <v>Y</v>
          </cell>
          <cell r="P1582" t="str">
            <v>N</v>
          </cell>
          <cell r="Q1582" t="str">
            <v>Extra Capacity</v>
          </cell>
          <cell r="S1582">
            <v>0.3</v>
          </cell>
        </row>
        <row r="1583">
          <cell r="D1583">
            <v>808004375</v>
          </cell>
          <cell r="E1583" t="str">
            <v>BEAUTY NGIDI</v>
          </cell>
          <cell r="F1583" t="str">
            <v>D (MD)</v>
          </cell>
          <cell r="G1583">
            <v>336577</v>
          </cell>
          <cell r="H1583" t="str">
            <v>Mayday</v>
          </cell>
          <cell r="I1583">
            <v>0.83333333333333337</v>
          </cell>
          <cell r="J1583">
            <v>0.33333333333333331</v>
          </cell>
          <cell r="K1583">
            <v>11.3333333333333</v>
          </cell>
          <cell r="L1583">
            <v>475.74</v>
          </cell>
          <cell r="O1583" t="str">
            <v>Y</v>
          </cell>
          <cell r="P1583" t="str">
            <v>N</v>
          </cell>
          <cell r="Q1583" t="str">
            <v>Extra Capacity</v>
          </cell>
          <cell r="S1583">
            <v>0.3</v>
          </cell>
        </row>
        <row r="1584">
          <cell r="D1584">
            <v>1008004332</v>
          </cell>
          <cell r="E1584" t="str">
            <v>BELLA ZALOUMIS</v>
          </cell>
          <cell r="F1584" t="str">
            <v>2 General (Adva</v>
          </cell>
          <cell r="G1584">
            <v>1403877</v>
          </cell>
          <cell r="H1584" t="str">
            <v>Advantage</v>
          </cell>
          <cell r="I1584">
            <v>0.83333333333333337</v>
          </cell>
          <cell r="J1584">
            <v>0.33333333333333331</v>
          </cell>
          <cell r="K1584">
            <v>11.3333333333333</v>
          </cell>
          <cell r="L1584">
            <v>140.08000000000001</v>
          </cell>
          <cell r="O1584" t="str">
            <v>Y</v>
          </cell>
          <cell r="P1584" t="str">
            <v>N</v>
          </cell>
          <cell r="Q1584" t="str">
            <v>Short Term Sick</v>
          </cell>
          <cell r="S1584">
            <v>0.3</v>
          </cell>
        </row>
        <row r="1585">
          <cell r="D1585">
            <v>808004481</v>
          </cell>
          <cell r="E1585" t="str">
            <v>BERNADETTE SHINYA-NDUNUWANI</v>
          </cell>
          <cell r="F1585" t="str">
            <v>D (MD)</v>
          </cell>
          <cell r="G1585">
            <v>337670</v>
          </cell>
          <cell r="H1585" t="str">
            <v>Mayday</v>
          </cell>
          <cell r="I1585">
            <v>0.3125</v>
          </cell>
          <cell r="J1585">
            <v>0.58333333333333337</v>
          </cell>
          <cell r="K1585">
            <v>6.1666666666666696</v>
          </cell>
          <cell r="L1585">
            <v>199.12</v>
          </cell>
          <cell r="O1585" t="str">
            <v>Y</v>
          </cell>
          <cell r="P1585" t="str">
            <v>N</v>
          </cell>
          <cell r="Q1585" t="str">
            <v>Extra Capacity</v>
          </cell>
          <cell r="S1585">
            <v>0.16</v>
          </cell>
        </row>
        <row r="1586">
          <cell r="D1586">
            <v>1008004467</v>
          </cell>
          <cell r="E1586" t="str">
            <v>BONNIE TWALA</v>
          </cell>
          <cell r="F1586" t="str">
            <v>D (MD)</v>
          </cell>
          <cell r="G1586">
            <v>337413</v>
          </cell>
          <cell r="H1586" t="str">
            <v>Mayday</v>
          </cell>
          <cell r="I1586">
            <v>0.8125</v>
          </cell>
          <cell r="J1586">
            <v>0.33333333333333331</v>
          </cell>
          <cell r="K1586">
            <v>11.8333333333333</v>
          </cell>
          <cell r="L1586">
            <v>496.73</v>
          </cell>
          <cell r="O1586" t="str">
            <v>Y</v>
          </cell>
          <cell r="P1586" t="str">
            <v>N</v>
          </cell>
          <cell r="Q1586" t="str">
            <v>Vacancy</v>
          </cell>
          <cell r="S1586">
            <v>0.32</v>
          </cell>
        </row>
        <row r="1587">
          <cell r="D1587">
            <v>908006644</v>
          </cell>
          <cell r="E1587" t="str">
            <v>CECILIA TIPPA</v>
          </cell>
          <cell r="F1587" t="str">
            <v>D (MD)</v>
          </cell>
          <cell r="H1587" t="str">
            <v>Mayday</v>
          </cell>
          <cell r="I1587">
            <v>0.3125</v>
          </cell>
          <cell r="J1587">
            <v>0.54166666666666663</v>
          </cell>
          <cell r="K1587">
            <v>5.5</v>
          </cell>
          <cell r="L1587">
            <v>177.59</v>
          </cell>
          <cell r="O1587" t="str">
            <v>Y</v>
          </cell>
          <cell r="P1587" t="str">
            <v>N</v>
          </cell>
          <cell r="Q1587" t="str">
            <v>Vacancy</v>
          </cell>
          <cell r="S1587">
            <v>0.15</v>
          </cell>
        </row>
        <row r="1588">
          <cell r="D1588">
            <v>908003761</v>
          </cell>
          <cell r="E1588" t="str">
            <v>CHRIS STULAR</v>
          </cell>
          <cell r="F1588" t="str">
            <v>D General (Orio</v>
          </cell>
          <cell r="G1588" t="str">
            <v>Invsd Smt checked</v>
          </cell>
          <cell r="H1588" t="str">
            <v>Orion</v>
          </cell>
          <cell r="I1588">
            <v>0.33333333333333331</v>
          </cell>
          <cell r="J1588">
            <v>0.75</v>
          </cell>
          <cell r="K1588">
            <v>9.5</v>
          </cell>
          <cell r="L1588">
            <v>172.14</v>
          </cell>
          <cell r="O1588" t="str">
            <v>Y</v>
          </cell>
          <cell r="P1588" t="str">
            <v>N</v>
          </cell>
          <cell r="Q1588" t="str">
            <v>Vacancy</v>
          </cell>
          <cell r="S1588">
            <v>0.25</v>
          </cell>
        </row>
        <row r="1589">
          <cell r="D1589">
            <v>1008004600</v>
          </cell>
          <cell r="E1589" t="str">
            <v>DIGRACIA  NAPE</v>
          </cell>
          <cell r="F1589" t="str">
            <v>D (MD)</v>
          </cell>
          <cell r="G1589">
            <v>338554</v>
          </cell>
          <cell r="H1589" t="str">
            <v>Mayday</v>
          </cell>
          <cell r="I1589">
            <v>0.3125</v>
          </cell>
          <cell r="J1589">
            <v>0.5625</v>
          </cell>
          <cell r="K1589">
            <v>5.6666666666666696</v>
          </cell>
          <cell r="L1589">
            <v>182.98</v>
          </cell>
          <cell r="O1589" t="str">
            <v>Y</v>
          </cell>
          <cell r="P1589" t="str">
            <v>N</v>
          </cell>
          <cell r="Q1589" t="str">
            <v>Vacancy</v>
          </cell>
          <cell r="S1589">
            <v>0.15</v>
          </cell>
        </row>
        <row r="1590">
          <cell r="D1590">
            <v>1008004594</v>
          </cell>
          <cell r="E1590" t="str">
            <v>DOROTHY MUTHWA</v>
          </cell>
          <cell r="F1590" t="str">
            <v>A (Ch)</v>
          </cell>
          <cell r="G1590">
            <v>17031</v>
          </cell>
          <cell r="H1590" t="str">
            <v>Choice</v>
          </cell>
          <cell r="I1590">
            <v>0.83333333333333337</v>
          </cell>
          <cell r="J1590">
            <v>0.33333333333333331</v>
          </cell>
          <cell r="K1590">
            <v>11.3333333333333</v>
          </cell>
          <cell r="L1590">
            <v>167.58</v>
          </cell>
          <cell r="O1590" t="str">
            <v>Y</v>
          </cell>
          <cell r="P1590" t="str">
            <v>N</v>
          </cell>
          <cell r="Q1590" t="str">
            <v>Vacancy</v>
          </cell>
          <cell r="S1590">
            <v>0.3</v>
          </cell>
        </row>
        <row r="1591">
          <cell r="D1591">
            <v>1008003020</v>
          </cell>
          <cell r="E1591" t="str">
            <v>GLENDA RONA</v>
          </cell>
          <cell r="F1591" t="str">
            <v>D (Ch)</v>
          </cell>
          <cell r="G1591">
            <v>17012</v>
          </cell>
          <cell r="H1591" t="str">
            <v>Choice</v>
          </cell>
          <cell r="I1591">
            <v>0.84375</v>
          </cell>
          <cell r="J1591">
            <v>0.32291666666666669</v>
          </cell>
          <cell r="K1591">
            <v>11.1666666666667</v>
          </cell>
          <cell r="L1591">
            <v>353.77</v>
          </cell>
          <cell r="O1591" t="str">
            <v>Y</v>
          </cell>
          <cell r="P1591" t="str">
            <v>N</v>
          </cell>
          <cell r="Q1591" t="str">
            <v>Under Established</v>
          </cell>
          <cell r="S1591">
            <v>0.3</v>
          </cell>
        </row>
        <row r="1592">
          <cell r="D1592">
            <v>908003816</v>
          </cell>
          <cell r="E1592" t="str">
            <v>JAKE BROOKES</v>
          </cell>
          <cell r="F1592" t="str">
            <v>D General (Orio</v>
          </cell>
          <cell r="G1592">
            <v>17523</v>
          </cell>
          <cell r="H1592" t="str">
            <v>Orion</v>
          </cell>
          <cell r="I1592">
            <v>0.33333333333333331</v>
          </cell>
          <cell r="J1592">
            <v>0.75</v>
          </cell>
          <cell r="K1592">
            <v>9.5</v>
          </cell>
          <cell r="L1592">
            <v>172.14</v>
          </cell>
          <cell r="O1592" t="str">
            <v>Y</v>
          </cell>
          <cell r="P1592" t="str">
            <v>N</v>
          </cell>
          <cell r="Q1592" t="str">
            <v>Vacancy</v>
          </cell>
          <cell r="S1592">
            <v>0.25</v>
          </cell>
        </row>
        <row r="1593">
          <cell r="D1593">
            <v>908006056</v>
          </cell>
          <cell r="E1593" t="str">
            <v>JASON WENT</v>
          </cell>
          <cell r="F1593" t="str">
            <v>D / 5 General (</v>
          </cell>
          <cell r="G1593" t="str">
            <v>604-153538</v>
          </cell>
          <cell r="H1593" t="str">
            <v>Blue Arrow</v>
          </cell>
          <cell r="I1593">
            <v>0.875</v>
          </cell>
          <cell r="J1593">
            <v>0.30208333333333331</v>
          </cell>
          <cell r="K1593">
            <v>9.9166666666666696</v>
          </cell>
          <cell r="L1593">
            <v>217.61</v>
          </cell>
          <cell r="O1593" t="str">
            <v>Y</v>
          </cell>
          <cell r="P1593" t="str">
            <v>N</v>
          </cell>
          <cell r="Q1593" t="str">
            <v>Vacancy</v>
          </cell>
          <cell r="S1593">
            <v>0.26</v>
          </cell>
        </row>
        <row r="1594">
          <cell r="D1594">
            <v>1008003485</v>
          </cell>
          <cell r="E1594" t="str">
            <v>JEAN NGONA</v>
          </cell>
          <cell r="F1594" t="str">
            <v>D (MD)</v>
          </cell>
          <cell r="G1594">
            <v>340128</v>
          </cell>
          <cell r="H1594" t="str">
            <v>Mayday</v>
          </cell>
          <cell r="I1594">
            <v>0.58333333333333337</v>
          </cell>
          <cell r="J1594">
            <v>0.85416666666666663</v>
          </cell>
          <cell r="K1594">
            <v>6.1666666666666696</v>
          </cell>
          <cell r="L1594">
            <v>199.12</v>
          </cell>
          <cell r="O1594" t="str">
            <v>Y</v>
          </cell>
          <cell r="P1594" t="str">
            <v>N</v>
          </cell>
          <cell r="Q1594" t="str">
            <v>Short Term Sick</v>
          </cell>
          <cell r="S1594">
            <v>0.16</v>
          </cell>
        </row>
        <row r="1595">
          <cell r="D1595">
            <v>1008004615</v>
          </cell>
          <cell r="E1595" t="str">
            <v>JESSICA BELLAMY</v>
          </cell>
          <cell r="F1595" t="str">
            <v>D (MD)</v>
          </cell>
          <cell r="G1595">
            <v>337648</v>
          </cell>
          <cell r="H1595" t="str">
            <v>Mayday</v>
          </cell>
          <cell r="I1595">
            <v>0.875</v>
          </cell>
          <cell r="J1595">
            <v>0.3125</v>
          </cell>
          <cell r="K1595">
            <v>10.1666666666667</v>
          </cell>
          <cell r="L1595">
            <v>426.77</v>
          </cell>
          <cell r="O1595" t="str">
            <v>Y</v>
          </cell>
          <cell r="P1595" t="str">
            <v>N</v>
          </cell>
          <cell r="Q1595" t="str">
            <v>Vacancy</v>
          </cell>
          <cell r="S1595">
            <v>0.27</v>
          </cell>
        </row>
        <row r="1596">
          <cell r="D1596">
            <v>1008001847</v>
          </cell>
          <cell r="E1596" t="str">
            <v>JOANNE BUSS</v>
          </cell>
          <cell r="F1596" t="str">
            <v>D (MD)</v>
          </cell>
          <cell r="G1596">
            <v>337395</v>
          </cell>
          <cell r="H1596" t="str">
            <v>Mayday</v>
          </cell>
          <cell r="I1596">
            <v>0.3125</v>
          </cell>
          <cell r="J1596">
            <v>0.54166666666666663</v>
          </cell>
          <cell r="K1596">
            <v>5.5</v>
          </cell>
          <cell r="L1596">
            <v>177.59</v>
          </cell>
          <cell r="O1596" t="str">
            <v>Y</v>
          </cell>
          <cell r="P1596" t="str">
            <v>N</v>
          </cell>
          <cell r="Q1596" t="str">
            <v>Vacancy</v>
          </cell>
          <cell r="S1596">
            <v>0.15</v>
          </cell>
        </row>
        <row r="1597">
          <cell r="D1597">
            <v>1008001115</v>
          </cell>
          <cell r="E1597" t="str">
            <v>JOANNE DUCKER</v>
          </cell>
          <cell r="F1597" t="str">
            <v>D / 5 General (</v>
          </cell>
          <cell r="G1597" t="str">
            <v>604-153528</v>
          </cell>
          <cell r="H1597" t="str">
            <v>Medacs</v>
          </cell>
          <cell r="I1597">
            <v>0.58333333333333337</v>
          </cell>
          <cell r="J1597">
            <v>0.84375</v>
          </cell>
          <cell r="K1597">
            <v>6</v>
          </cell>
          <cell r="L1597">
            <v>101.28</v>
          </cell>
          <cell r="O1597" t="str">
            <v>Y</v>
          </cell>
          <cell r="P1597" t="str">
            <v>N</v>
          </cell>
          <cell r="Q1597" t="str">
            <v>Vacancy</v>
          </cell>
          <cell r="S1597">
            <v>0.16</v>
          </cell>
        </row>
        <row r="1598">
          <cell r="D1598">
            <v>808004382</v>
          </cell>
          <cell r="E1598" t="str">
            <v>LETECIA MENIANO</v>
          </cell>
          <cell r="F1598" t="str">
            <v>D (MD)</v>
          </cell>
          <cell r="G1598">
            <v>337712</v>
          </cell>
          <cell r="H1598" t="str">
            <v>Mayday</v>
          </cell>
          <cell r="I1598">
            <v>0.83333333333333337</v>
          </cell>
          <cell r="J1598">
            <v>0.33333333333333331</v>
          </cell>
          <cell r="K1598">
            <v>11.3333333333333</v>
          </cell>
          <cell r="L1598">
            <v>475.74</v>
          </cell>
          <cell r="O1598" t="str">
            <v>Y</v>
          </cell>
          <cell r="P1598" t="str">
            <v>N</v>
          </cell>
          <cell r="Q1598" t="str">
            <v>Extra Capacity</v>
          </cell>
          <cell r="S1598">
            <v>0.3</v>
          </cell>
        </row>
        <row r="1599">
          <cell r="D1599">
            <v>1008003160</v>
          </cell>
          <cell r="E1599" t="str">
            <v>LETECIA MENIANO</v>
          </cell>
          <cell r="F1599" t="str">
            <v>D (Ch)</v>
          </cell>
          <cell r="H1599" t="str">
            <v>Choice</v>
          </cell>
          <cell r="I1599">
            <v>0.83333333333333337</v>
          </cell>
          <cell r="J1599">
            <v>0.33333333333333331</v>
          </cell>
          <cell r="K1599">
            <v>11.3333333333333</v>
          </cell>
          <cell r="L1599">
            <v>359.05</v>
          </cell>
          <cell r="O1599" t="str">
            <v>Y</v>
          </cell>
          <cell r="P1599" t="str">
            <v>N</v>
          </cell>
          <cell r="Q1599" t="str">
            <v>Extra Capacity</v>
          </cell>
          <cell r="S1599">
            <v>0.3</v>
          </cell>
        </row>
        <row r="1600">
          <cell r="D1600">
            <v>1008004219</v>
          </cell>
          <cell r="E1600" t="str">
            <v>MERCY AFELE</v>
          </cell>
          <cell r="F1600" t="str">
            <v>D (MD)</v>
          </cell>
          <cell r="G1600">
            <v>337668</v>
          </cell>
          <cell r="H1600" t="str">
            <v>Mayday</v>
          </cell>
          <cell r="I1600">
            <v>0.625</v>
          </cell>
          <cell r="J1600">
            <v>0.8125</v>
          </cell>
          <cell r="K1600">
            <v>4.5</v>
          </cell>
          <cell r="L1600">
            <v>145.31</v>
          </cell>
          <cell r="O1600" t="str">
            <v>Y</v>
          </cell>
          <cell r="P1600" t="str">
            <v>N</v>
          </cell>
          <cell r="Q1600" t="str">
            <v>Short Term Sick</v>
          </cell>
          <cell r="S1600">
            <v>0.12</v>
          </cell>
        </row>
        <row r="1601">
          <cell r="D1601">
            <v>1008004441</v>
          </cell>
          <cell r="E1601" t="str">
            <v>NATHI ZULU</v>
          </cell>
          <cell r="F1601" t="str">
            <v>D (MD)</v>
          </cell>
          <cell r="H1601" t="str">
            <v>Mayday</v>
          </cell>
          <cell r="I1601">
            <v>0.82291666666666663</v>
          </cell>
          <cell r="J1601">
            <v>0.34375</v>
          </cell>
          <cell r="K1601">
            <v>11.5</v>
          </cell>
          <cell r="L1601">
            <v>482.74</v>
          </cell>
          <cell r="O1601" t="str">
            <v>Y</v>
          </cell>
          <cell r="P1601" t="str">
            <v>N</v>
          </cell>
          <cell r="Q1601" t="str">
            <v>Short Term Sick</v>
          </cell>
          <cell r="S1601">
            <v>0.31</v>
          </cell>
        </row>
        <row r="1602">
          <cell r="D1602">
            <v>1008004614</v>
          </cell>
          <cell r="E1602" t="str">
            <v>OLGA NYAMAYARO</v>
          </cell>
          <cell r="F1602" t="str">
            <v>D (MD)</v>
          </cell>
          <cell r="G1602">
            <v>340110</v>
          </cell>
          <cell r="H1602" t="str">
            <v>Mayday</v>
          </cell>
          <cell r="I1602">
            <v>0.83333333333333337</v>
          </cell>
          <cell r="J1602">
            <v>0.33333333333333331</v>
          </cell>
          <cell r="K1602">
            <v>11.3333333333333</v>
          </cell>
          <cell r="L1602">
            <v>475.74</v>
          </cell>
          <cell r="O1602" t="str">
            <v>Y</v>
          </cell>
          <cell r="P1602" t="str">
            <v>N</v>
          </cell>
          <cell r="Q1602" t="str">
            <v>Vacancy</v>
          </cell>
          <cell r="S1602">
            <v>0.3</v>
          </cell>
        </row>
        <row r="1603">
          <cell r="D1603">
            <v>1008001917</v>
          </cell>
          <cell r="E1603" t="str">
            <v>OMAR SENGHORE</v>
          </cell>
          <cell r="F1603" t="str">
            <v>D (MD)</v>
          </cell>
          <cell r="G1603">
            <v>339841</v>
          </cell>
          <cell r="H1603" t="str">
            <v>Mayday</v>
          </cell>
          <cell r="I1603">
            <v>0.83333333333333337</v>
          </cell>
          <cell r="J1603">
            <v>0.33333333333333331</v>
          </cell>
          <cell r="K1603">
            <v>11.3333333333333</v>
          </cell>
          <cell r="L1603">
            <v>475.74</v>
          </cell>
          <cell r="O1603" t="str">
            <v>Y</v>
          </cell>
          <cell r="P1603" t="str">
            <v>N</v>
          </cell>
          <cell r="Q1603" t="str">
            <v>Vacancy</v>
          </cell>
          <cell r="S1603">
            <v>0.3</v>
          </cell>
        </row>
        <row r="1604">
          <cell r="D1604">
            <v>1008004313</v>
          </cell>
          <cell r="E1604" t="str">
            <v>OUSMAN JAWO</v>
          </cell>
          <cell r="F1604" t="str">
            <v>D (MD)</v>
          </cell>
          <cell r="G1604">
            <v>337404</v>
          </cell>
          <cell r="H1604" t="str">
            <v>Mayday</v>
          </cell>
          <cell r="I1604">
            <v>0.83333333333333337</v>
          </cell>
          <cell r="J1604">
            <v>0.33333333333333331</v>
          </cell>
          <cell r="K1604">
            <v>11.3333333333333</v>
          </cell>
          <cell r="L1604">
            <v>475.74</v>
          </cell>
          <cell r="O1604" t="str">
            <v>Y</v>
          </cell>
          <cell r="P1604" t="str">
            <v>N</v>
          </cell>
          <cell r="Q1604" t="str">
            <v>Extra Capacity</v>
          </cell>
          <cell r="S1604">
            <v>0.3</v>
          </cell>
        </row>
        <row r="1605">
          <cell r="D1605">
            <v>908006641</v>
          </cell>
          <cell r="E1605" t="str">
            <v>PEGGY MAPOGO</v>
          </cell>
          <cell r="F1605" t="str">
            <v>D (Ch)</v>
          </cell>
          <cell r="G1605">
            <v>17020</v>
          </cell>
          <cell r="H1605" t="str">
            <v>Choice</v>
          </cell>
          <cell r="I1605">
            <v>0.3125</v>
          </cell>
          <cell r="J1605">
            <v>0.54166666666666663</v>
          </cell>
          <cell r="K1605">
            <v>5.5</v>
          </cell>
          <cell r="L1605">
            <v>134.03</v>
          </cell>
          <cell r="O1605" t="str">
            <v>Y</v>
          </cell>
          <cell r="P1605" t="str">
            <v>N</v>
          </cell>
          <cell r="Q1605" t="str">
            <v>Vacancy</v>
          </cell>
          <cell r="S1605">
            <v>0.15</v>
          </cell>
        </row>
        <row r="1606">
          <cell r="D1606">
            <v>1008004283</v>
          </cell>
          <cell r="E1606" t="str">
            <v>PEGGY MAPOGO</v>
          </cell>
          <cell r="F1606" t="str">
            <v>D (Ch)</v>
          </cell>
          <cell r="G1606">
            <v>17009</v>
          </cell>
          <cell r="H1606" t="str">
            <v>Choice</v>
          </cell>
          <cell r="I1606">
            <v>0.5625</v>
          </cell>
          <cell r="J1606">
            <v>0.875</v>
          </cell>
          <cell r="K1606">
            <v>7.1666666666666696</v>
          </cell>
          <cell r="L1606">
            <v>174.65</v>
          </cell>
          <cell r="O1606" t="str">
            <v>Y</v>
          </cell>
          <cell r="P1606" t="str">
            <v>N</v>
          </cell>
          <cell r="Q1606" t="str">
            <v>Vacancy</v>
          </cell>
          <cell r="S1606">
            <v>0.19</v>
          </cell>
        </row>
        <row r="1607">
          <cell r="D1607">
            <v>1008002650</v>
          </cell>
          <cell r="E1607" t="str">
            <v>PHILILE NDLANGAMANDLA</v>
          </cell>
          <cell r="F1607" t="str">
            <v>D (Ch)</v>
          </cell>
          <cell r="G1607">
            <v>17103</v>
          </cell>
          <cell r="H1607" t="str">
            <v>Choice</v>
          </cell>
          <cell r="I1607">
            <v>0.29166666666666669</v>
          </cell>
          <cell r="J1607">
            <v>0.625</v>
          </cell>
          <cell r="K1607">
            <v>7.5</v>
          </cell>
          <cell r="L1607">
            <v>182.78</v>
          </cell>
          <cell r="O1607" t="str">
            <v>Y</v>
          </cell>
          <cell r="P1607" t="str">
            <v>N</v>
          </cell>
          <cell r="Q1607" t="str">
            <v>Extra Capacity</v>
          </cell>
          <cell r="S1607">
            <v>0.2</v>
          </cell>
        </row>
        <row r="1608">
          <cell r="D1608">
            <v>1008002651</v>
          </cell>
          <cell r="E1608" t="str">
            <v>PHILILE NDLANGAMANDLA</v>
          </cell>
          <cell r="F1608" t="str">
            <v>D (Ch)</v>
          </cell>
          <cell r="G1608">
            <v>17103</v>
          </cell>
          <cell r="H1608" t="str">
            <v>Choice</v>
          </cell>
          <cell r="I1608">
            <v>0.625</v>
          </cell>
          <cell r="J1608">
            <v>0.89583333333333337</v>
          </cell>
          <cell r="K1608">
            <v>6.1666666666666696</v>
          </cell>
          <cell r="L1608">
            <v>150.28</v>
          </cell>
          <cell r="O1608" t="str">
            <v>Y</v>
          </cell>
          <cell r="P1608" t="str">
            <v>N</v>
          </cell>
          <cell r="Q1608" t="str">
            <v>Extra Capacity</v>
          </cell>
          <cell r="S1608">
            <v>0.16</v>
          </cell>
        </row>
        <row r="1609">
          <cell r="D1609">
            <v>808004354</v>
          </cell>
          <cell r="E1609" t="str">
            <v>PURITY EHREUREICH</v>
          </cell>
          <cell r="F1609" t="str">
            <v>D (MD)</v>
          </cell>
          <cell r="G1609">
            <v>337705</v>
          </cell>
          <cell r="H1609" t="str">
            <v>Mayday</v>
          </cell>
          <cell r="I1609">
            <v>0.625</v>
          </cell>
          <cell r="J1609">
            <v>0.85416666666666663</v>
          </cell>
          <cell r="K1609">
            <v>5.5</v>
          </cell>
          <cell r="L1609">
            <v>177.59</v>
          </cell>
          <cell r="O1609" t="str">
            <v>Y</v>
          </cell>
          <cell r="P1609" t="str">
            <v>N</v>
          </cell>
          <cell r="Q1609" t="str">
            <v>Extra Capacity</v>
          </cell>
          <cell r="S1609">
            <v>0.15</v>
          </cell>
        </row>
        <row r="1610">
          <cell r="D1610">
            <v>1008003779</v>
          </cell>
          <cell r="E1610" t="str">
            <v>PURITY EHREUREICH</v>
          </cell>
          <cell r="F1610" t="str">
            <v>D (MD)</v>
          </cell>
          <cell r="G1610">
            <v>337705</v>
          </cell>
          <cell r="H1610" t="str">
            <v>Mayday</v>
          </cell>
          <cell r="I1610">
            <v>0.3125</v>
          </cell>
          <cell r="J1610">
            <v>0.54166666666666663</v>
          </cell>
          <cell r="K1610">
            <v>5.5</v>
          </cell>
          <cell r="L1610">
            <v>177.59</v>
          </cell>
          <cell r="O1610" t="str">
            <v>Y</v>
          </cell>
          <cell r="P1610" t="str">
            <v>N</v>
          </cell>
          <cell r="Q1610" t="str">
            <v>Vacancy</v>
          </cell>
          <cell r="S1610">
            <v>0.15</v>
          </cell>
        </row>
        <row r="1611">
          <cell r="D1611">
            <v>1008003265</v>
          </cell>
          <cell r="E1611" t="str">
            <v>SAM KELEM</v>
          </cell>
          <cell r="F1611" t="str">
            <v>D (Ch)</v>
          </cell>
          <cell r="G1611">
            <v>17008</v>
          </cell>
          <cell r="H1611" t="str">
            <v>Choice</v>
          </cell>
          <cell r="I1611">
            <v>0.875</v>
          </cell>
          <cell r="J1611">
            <v>0.32291666666666669</v>
          </cell>
          <cell r="K1611">
            <v>10</v>
          </cell>
          <cell r="L1611">
            <v>316.81</v>
          </cell>
          <cell r="O1611" t="str">
            <v>Y</v>
          </cell>
          <cell r="P1611" t="str">
            <v>N</v>
          </cell>
          <cell r="Q1611" t="str">
            <v>Extra Capacity</v>
          </cell>
          <cell r="S1611">
            <v>0.27</v>
          </cell>
        </row>
        <row r="1612">
          <cell r="D1612">
            <v>1008002322</v>
          </cell>
          <cell r="E1612" t="str">
            <v>SUNITHA SINGH</v>
          </cell>
          <cell r="F1612" t="str">
            <v>D (MD)</v>
          </cell>
          <cell r="G1612">
            <v>337658</v>
          </cell>
          <cell r="H1612" t="str">
            <v>Mayday</v>
          </cell>
          <cell r="I1612">
            <v>0.3125</v>
          </cell>
          <cell r="J1612">
            <v>0.625</v>
          </cell>
          <cell r="K1612">
            <v>7.1666666666666696</v>
          </cell>
          <cell r="L1612">
            <v>231.41</v>
          </cell>
          <cell r="O1612" t="str">
            <v>Y</v>
          </cell>
          <cell r="P1612" t="str">
            <v>N</v>
          </cell>
          <cell r="Q1612" t="str">
            <v>Extra Capacity</v>
          </cell>
          <cell r="S1612">
            <v>0.19</v>
          </cell>
        </row>
        <row r="1613">
          <cell r="D1613">
            <v>1008004205</v>
          </cell>
          <cell r="E1613" t="str">
            <v>SUSAN MCENTIRE</v>
          </cell>
          <cell r="F1613" t="str">
            <v>D (MD)</v>
          </cell>
          <cell r="G1613">
            <v>338094</v>
          </cell>
          <cell r="H1613" t="str">
            <v>Mayday</v>
          </cell>
          <cell r="I1613">
            <v>0.58333333333333337</v>
          </cell>
          <cell r="J1613">
            <v>0.89583333333333337</v>
          </cell>
          <cell r="K1613">
            <v>7.1666666666666696</v>
          </cell>
          <cell r="L1613">
            <v>231.41</v>
          </cell>
          <cell r="O1613" t="str">
            <v>Y</v>
          </cell>
          <cell r="P1613" t="str">
            <v>N</v>
          </cell>
          <cell r="Q1613" t="str">
            <v>Short Term Sick</v>
          </cell>
          <cell r="S1613">
            <v>0.19</v>
          </cell>
        </row>
        <row r="1614">
          <cell r="D1614">
            <v>1008003481</v>
          </cell>
          <cell r="E1614" t="str">
            <v>TABBY MAEPE</v>
          </cell>
          <cell r="F1614" t="str">
            <v>D (MD)</v>
          </cell>
          <cell r="G1614">
            <v>337392</v>
          </cell>
          <cell r="H1614" t="str">
            <v>Mayday</v>
          </cell>
          <cell r="I1614">
            <v>0.3125</v>
          </cell>
          <cell r="J1614">
            <v>0.5625</v>
          </cell>
          <cell r="K1614">
            <v>5.6666666666666696</v>
          </cell>
          <cell r="L1614">
            <v>182.98</v>
          </cell>
          <cell r="O1614" t="str">
            <v>Y</v>
          </cell>
          <cell r="P1614" t="str">
            <v>N</v>
          </cell>
          <cell r="Q1614" t="str">
            <v>Annual Leave</v>
          </cell>
          <cell r="S1614">
            <v>0.15</v>
          </cell>
        </row>
        <row r="1615">
          <cell r="D1615">
            <v>1008004601</v>
          </cell>
          <cell r="E1615" t="str">
            <v>TABBY MAEPE</v>
          </cell>
          <cell r="F1615" t="str">
            <v>D (MD)</v>
          </cell>
          <cell r="G1615">
            <v>337392</v>
          </cell>
          <cell r="H1615" t="str">
            <v>Mayday</v>
          </cell>
          <cell r="I1615">
            <v>0.5625</v>
          </cell>
          <cell r="J1615">
            <v>0.85416666666666663</v>
          </cell>
          <cell r="K1615">
            <v>6.6666666666666696</v>
          </cell>
          <cell r="L1615">
            <v>215.27</v>
          </cell>
          <cell r="O1615" t="str">
            <v>Y</v>
          </cell>
          <cell r="P1615" t="str">
            <v>N</v>
          </cell>
          <cell r="Q1615" t="str">
            <v>Vacancy</v>
          </cell>
          <cell r="S1615">
            <v>0.18</v>
          </cell>
        </row>
        <row r="1616">
          <cell r="D1616">
            <v>1008003135</v>
          </cell>
          <cell r="E1616" t="str">
            <v>TAMBU JENA</v>
          </cell>
          <cell r="F1616" t="str">
            <v>D (Ch)</v>
          </cell>
          <cell r="G1616">
            <v>17021</v>
          </cell>
          <cell r="H1616" t="str">
            <v>Choice</v>
          </cell>
          <cell r="I1616">
            <v>0.32291666666666669</v>
          </cell>
          <cell r="J1616">
            <v>0.83333333333333337</v>
          </cell>
          <cell r="K1616">
            <v>10.25</v>
          </cell>
          <cell r="L1616">
            <v>249.79</v>
          </cell>
          <cell r="O1616" t="str">
            <v>Y</v>
          </cell>
          <cell r="P1616" t="str">
            <v>N</v>
          </cell>
          <cell r="Q1616" t="str">
            <v>Short Term Sick</v>
          </cell>
          <cell r="S1616">
            <v>0.27</v>
          </cell>
        </row>
        <row r="1617">
          <cell r="D1617">
            <v>1008004466</v>
          </cell>
          <cell r="E1617" t="str">
            <v>THEMBE NHOSE</v>
          </cell>
          <cell r="F1617" t="str">
            <v>D (MD)</v>
          </cell>
          <cell r="G1617">
            <v>337412</v>
          </cell>
          <cell r="H1617" t="str">
            <v>Mayday</v>
          </cell>
          <cell r="I1617">
            <v>0.8125</v>
          </cell>
          <cell r="J1617">
            <v>0.33333333333333331</v>
          </cell>
          <cell r="K1617">
            <v>11.8333333333333</v>
          </cell>
          <cell r="L1617">
            <v>496.73</v>
          </cell>
          <cell r="O1617" t="str">
            <v>Y</v>
          </cell>
          <cell r="P1617" t="str">
            <v>N</v>
          </cell>
          <cell r="Q1617" t="str">
            <v>Vacancy</v>
          </cell>
          <cell r="S1617">
            <v>0.32</v>
          </cell>
        </row>
        <row r="1618">
          <cell r="D1618">
            <v>1008001205</v>
          </cell>
          <cell r="E1618" t="str">
            <v>TONDERA MAKAZA</v>
          </cell>
          <cell r="F1618" t="str">
            <v>A (Ch)</v>
          </cell>
          <cell r="G1618">
            <v>17009</v>
          </cell>
          <cell r="H1618" t="str">
            <v>Choice</v>
          </cell>
          <cell r="I1618">
            <v>0.875</v>
          </cell>
          <cell r="J1618">
            <v>0.3125</v>
          </cell>
          <cell r="K1618">
            <v>10.1666666666667</v>
          </cell>
          <cell r="L1618">
            <v>150.33000000000001</v>
          </cell>
          <cell r="O1618" t="str">
            <v>Y</v>
          </cell>
          <cell r="P1618" t="str">
            <v>N</v>
          </cell>
          <cell r="Q1618" t="str">
            <v>Annual Leave</v>
          </cell>
          <cell r="S1618">
            <v>0.27</v>
          </cell>
        </row>
        <row r="1619">
          <cell r="D1619">
            <v>1008004595</v>
          </cell>
          <cell r="E1619" t="str">
            <v>TRUDY BRENNAN</v>
          </cell>
          <cell r="F1619" t="str">
            <v>D (MD)</v>
          </cell>
          <cell r="G1619">
            <v>337409</v>
          </cell>
          <cell r="H1619" t="str">
            <v>Mayday</v>
          </cell>
          <cell r="I1619">
            <v>0.83333333333333337</v>
          </cell>
          <cell r="J1619">
            <v>0.33333333333333331</v>
          </cell>
          <cell r="K1619">
            <v>11.3333333333333</v>
          </cell>
          <cell r="L1619">
            <v>475.74</v>
          </cell>
          <cell r="O1619" t="str">
            <v>Y</v>
          </cell>
          <cell r="P1619" t="str">
            <v>N</v>
          </cell>
          <cell r="Q1619" t="str">
            <v>Under Established</v>
          </cell>
          <cell r="S1619">
            <v>0.3</v>
          </cell>
        </row>
        <row r="1620">
          <cell r="D1620">
            <v>1008001206</v>
          </cell>
          <cell r="E1620" t="str">
            <v>AGNES SIBANDA</v>
          </cell>
          <cell r="F1620" t="str">
            <v>A (Ch)</v>
          </cell>
          <cell r="H1620" t="str">
            <v>Choice</v>
          </cell>
          <cell r="I1620">
            <v>0.3125</v>
          </cell>
          <cell r="J1620">
            <v>0.5625</v>
          </cell>
          <cell r="K1620">
            <v>5.6666666666666696</v>
          </cell>
          <cell r="L1620">
            <v>62.84</v>
          </cell>
          <cell r="O1620" t="str">
            <v>Y</v>
          </cell>
          <cell r="P1620" t="str">
            <v>N</v>
          </cell>
          <cell r="Q1620" t="str">
            <v>Under Established</v>
          </cell>
          <cell r="S1620">
            <v>0.15</v>
          </cell>
        </row>
        <row r="1621">
          <cell r="D1621">
            <v>808004383</v>
          </cell>
          <cell r="E1621" t="str">
            <v>BEAUTY NGIDI</v>
          </cell>
          <cell r="F1621" t="str">
            <v>D (MD)</v>
          </cell>
          <cell r="G1621">
            <v>337688</v>
          </cell>
          <cell r="H1621" t="str">
            <v>Mayday</v>
          </cell>
          <cell r="I1621">
            <v>0.83333333333333337</v>
          </cell>
          <cell r="J1621">
            <v>0.33333333333333331</v>
          </cell>
          <cell r="K1621">
            <v>11.3333333333333</v>
          </cell>
          <cell r="L1621">
            <v>475.74</v>
          </cell>
          <cell r="O1621" t="str">
            <v>Y</v>
          </cell>
          <cell r="P1621" t="str">
            <v>N</v>
          </cell>
          <cell r="Q1621" t="str">
            <v>Extra Capacity</v>
          </cell>
          <cell r="S1621">
            <v>0.3</v>
          </cell>
        </row>
        <row r="1622">
          <cell r="D1622">
            <v>808004482</v>
          </cell>
          <cell r="E1622" t="str">
            <v>BERNADETTE SHINYA-NDUNUWANI</v>
          </cell>
          <cell r="F1622" t="str">
            <v>D (MD)</v>
          </cell>
          <cell r="G1622">
            <v>337670</v>
          </cell>
          <cell r="H1622" t="str">
            <v>Mayday</v>
          </cell>
          <cell r="I1622">
            <v>0.3125</v>
          </cell>
          <cell r="J1622">
            <v>0.58333333333333337</v>
          </cell>
          <cell r="K1622">
            <v>6.1666666666666696</v>
          </cell>
          <cell r="L1622">
            <v>199.12</v>
          </cell>
          <cell r="O1622" t="str">
            <v>Y</v>
          </cell>
          <cell r="P1622" t="str">
            <v>N</v>
          </cell>
          <cell r="Q1622" t="str">
            <v>Extra Capacity</v>
          </cell>
          <cell r="S1622">
            <v>0.16</v>
          </cell>
        </row>
        <row r="1623">
          <cell r="D1623">
            <v>808004503</v>
          </cell>
          <cell r="E1623" t="str">
            <v>BRIGHTNESS NDEBELE</v>
          </cell>
          <cell r="F1623" t="str">
            <v>D (MD)</v>
          </cell>
          <cell r="G1623">
            <v>337703</v>
          </cell>
          <cell r="H1623" t="str">
            <v>Mayday</v>
          </cell>
          <cell r="I1623">
            <v>0.625</v>
          </cell>
          <cell r="J1623">
            <v>0.85416666666666663</v>
          </cell>
          <cell r="K1623">
            <v>5.5</v>
          </cell>
          <cell r="L1623">
            <v>177.59</v>
          </cell>
          <cell r="O1623" t="str">
            <v>Y</v>
          </cell>
          <cell r="P1623" t="str">
            <v>N</v>
          </cell>
          <cell r="Q1623" t="str">
            <v>Extra Capacity</v>
          </cell>
          <cell r="S1623">
            <v>0.15</v>
          </cell>
        </row>
        <row r="1624">
          <cell r="D1624">
            <v>1008003931</v>
          </cell>
          <cell r="E1624" t="str">
            <v>BRIGHTNESS NDEBELE</v>
          </cell>
          <cell r="F1624" t="str">
            <v>D (MD)</v>
          </cell>
          <cell r="G1624">
            <v>337707</v>
          </cell>
          <cell r="H1624" t="str">
            <v>Mayday</v>
          </cell>
          <cell r="I1624">
            <v>0.3125</v>
          </cell>
          <cell r="J1624">
            <v>0.54166666666666663</v>
          </cell>
          <cell r="K1624">
            <v>5.5</v>
          </cell>
          <cell r="L1624">
            <v>177.59</v>
          </cell>
          <cell r="O1624" t="str">
            <v>Y</v>
          </cell>
          <cell r="P1624" t="str">
            <v>N</v>
          </cell>
          <cell r="Q1624" t="str">
            <v>Backfill</v>
          </cell>
          <cell r="S1624">
            <v>0.15</v>
          </cell>
        </row>
        <row r="1625">
          <cell r="D1625">
            <v>1008004806</v>
          </cell>
          <cell r="E1625" t="str">
            <v>DEBBIE HARRIS</v>
          </cell>
          <cell r="F1625" t="str">
            <v>D (MD)</v>
          </cell>
          <cell r="H1625" t="str">
            <v>Mayday</v>
          </cell>
          <cell r="I1625">
            <v>0.83333333333333337</v>
          </cell>
          <cell r="J1625">
            <v>0.33333333333333331</v>
          </cell>
          <cell r="K1625">
            <v>11</v>
          </cell>
          <cell r="L1625">
            <v>461.75</v>
          </cell>
          <cell r="O1625" t="str">
            <v>Y</v>
          </cell>
          <cell r="P1625" t="str">
            <v>N</v>
          </cell>
          <cell r="Q1625" t="str">
            <v>Annual Leave</v>
          </cell>
          <cell r="S1625">
            <v>0.28999999999999998</v>
          </cell>
        </row>
        <row r="1626">
          <cell r="D1626">
            <v>1008005528</v>
          </cell>
          <cell r="E1626" t="str">
            <v>ELENOR PARAZO</v>
          </cell>
          <cell r="F1626" t="str">
            <v>D (MD)</v>
          </cell>
          <cell r="G1626">
            <v>337166</v>
          </cell>
          <cell r="H1626" t="str">
            <v>Mayday</v>
          </cell>
          <cell r="I1626">
            <v>0.83333333333333337</v>
          </cell>
          <cell r="J1626">
            <v>0.33333333333333331</v>
          </cell>
          <cell r="K1626">
            <v>11</v>
          </cell>
          <cell r="L1626">
            <v>461.75</v>
          </cell>
          <cell r="O1626" t="str">
            <v>Y</v>
          </cell>
          <cell r="P1626" t="str">
            <v>N</v>
          </cell>
          <cell r="Q1626" t="str">
            <v>Acuity</v>
          </cell>
          <cell r="S1626">
            <v>0.28999999999999998</v>
          </cell>
        </row>
        <row r="1627">
          <cell r="D1627">
            <v>1008001091</v>
          </cell>
          <cell r="E1627" t="str">
            <v>EVELYN PANESA</v>
          </cell>
          <cell r="F1627" t="str">
            <v>D (Ch)</v>
          </cell>
          <cell r="G1627">
            <v>17009</v>
          </cell>
          <cell r="H1627" t="str">
            <v>Choice</v>
          </cell>
          <cell r="I1627">
            <v>0.3125</v>
          </cell>
          <cell r="J1627">
            <v>0.5625</v>
          </cell>
          <cell r="K1627">
            <v>5.6666666666666696</v>
          </cell>
          <cell r="L1627">
            <v>138.1</v>
          </cell>
          <cell r="O1627" t="str">
            <v>Y</v>
          </cell>
          <cell r="P1627" t="str">
            <v>N</v>
          </cell>
          <cell r="Q1627" t="str">
            <v>Under Established</v>
          </cell>
          <cell r="S1627">
            <v>0.15</v>
          </cell>
        </row>
        <row r="1628">
          <cell r="D1628">
            <v>1008001093</v>
          </cell>
          <cell r="E1628" t="str">
            <v>EVELYN PANESA</v>
          </cell>
          <cell r="F1628" t="str">
            <v>D (Ch)</v>
          </cell>
          <cell r="G1628">
            <v>17009</v>
          </cell>
          <cell r="H1628" t="str">
            <v>Choice</v>
          </cell>
          <cell r="I1628">
            <v>0.5625</v>
          </cell>
          <cell r="J1628">
            <v>0.89583333333333337</v>
          </cell>
          <cell r="K1628">
            <v>7.6666666666666696</v>
          </cell>
          <cell r="L1628">
            <v>186.84</v>
          </cell>
          <cell r="O1628" t="str">
            <v>Y</v>
          </cell>
          <cell r="P1628" t="str">
            <v>N</v>
          </cell>
          <cell r="Q1628" t="str">
            <v>Under Established</v>
          </cell>
          <cell r="S1628">
            <v>0.2</v>
          </cell>
        </row>
        <row r="1629">
          <cell r="D1629">
            <v>1008002287</v>
          </cell>
          <cell r="E1629" t="str">
            <v>FIONA DURKIN-GREER</v>
          </cell>
          <cell r="F1629" t="str">
            <v>D (MD)</v>
          </cell>
          <cell r="G1629">
            <v>337396</v>
          </cell>
          <cell r="H1629" t="str">
            <v>Mayday</v>
          </cell>
          <cell r="I1629">
            <v>0.625</v>
          </cell>
          <cell r="J1629">
            <v>0.875</v>
          </cell>
          <cell r="K1629">
            <v>5.6666666666666696</v>
          </cell>
          <cell r="L1629">
            <v>182.98</v>
          </cell>
          <cell r="O1629" t="str">
            <v>Y</v>
          </cell>
          <cell r="P1629" t="str">
            <v>N</v>
          </cell>
          <cell r="Q1629" t="str">
            <v>Backfill</v>
          </cell>
          <cell r="S1629">
            <v>0.15</v>
          </cell>
        </row>
        <row r="1630">
          <cell r="D1630">
            <v>908003824</v>
          </cell>
          <cell r="E1630" t="str">
            <v>JAKE BROOKES</v>
          </cell>
          <cell r="F1630" t="str">
            <v>D General (Orio</v>
          </cell>
          <cell r="G1630">
            <v>17522</v>
          </cell>
          <cell r="H1630" t="str">
            <v>Orion</v>
          </cell>
          <cell r="I1630">
            <v>0.33333333333333331</v>
          </cell>
          <cell r="J1630">
            <v>0.75</v>
          </cell>
          <cell r="K1630">
            <v>9.5</v>
          </cell>
          <cell r="L1630">
            <v>172.14</v>
          </cell>
          <cell r="O1630" t="str">
            <v>Y</v>
          </cell>
          <cell r="P1630" t="str">
            <v>N</v>
          </cell>
          <cell r="Q1630" t="str">
            <v>Vacancy</v>
          </cell>
          <cell r="S1630">
            <v>0.25</v>
          </cell>
        </row>
        <row r="1631">
          <cell r="D1631">
            <v>908005908</v>
          </cell>
          <cell r="E1631" t="str">
            <v>JANE DUNSMURE</v>
          </cell>
          <cell r="F1631" t="str">
            <v>D/5 (PS)</v>
          </cell>
          <cell r="H1631" t="str">
            <v>Pinnacle Staffing</v>
          </cell>
          <cell r="I1631">
            <v>0.88541666666666663</v>
          </cell>
          <cell r="J1631">
            <v>0.30208333333333331</v>
          </cell>
          <cell r="K1631">
            <v>9</v>
          </cell>
          <cell r="L1631">
            <v>198.78</v>
          </cell>
          <cell r="O1631" t="str">
            <v>Y</v>
          </cell>
          <cell r="P1631" t="str">
            <v>N</v>
          </cell>
          <cell r="Q1631" t="str">
            <v>Vacancy</v>
          </cell>
          <cell r="S1631">
            <v>0.24</v>
          </cell>
        </row>
        <row r="1632">
          <cell r="D1632">
            <v>1008004593</v>
          </cell>
          <cell r="E1632" t="str">
            <v>JEAN NGONA</v>
          </cell>
          <cell r="F1632" t="str">
            <v>D (MD)</v>
          </cell>
          <cell r="G1632">
            <v>341538</v>
          </cell>
          <cell r="H1632" t="str">
            <v>Mayday</v>
          </cell>
          <cell r="I1632">
            <v>0.3125</v>
          </cell>
          <cell r="J1632">
            <v>0.875</v>
          </cell>
          <cell r="K1632">
            <v>12.8333333333333</v>
          </cell>
          <cell r="L1632">
            <v>414.39</v>
          </cell>
          <cell r="O1632" t="str">
            <v>Y</v>
          </cell>
          <cell r="P1632" t="str">
            <v>N</v>
          </cell>
          <cell r="Q1632" t="str">
            <v>Vacancy</v>
          </cell>
          <cell r="S1632">
            <v>0.34</v>
          </cell>
        </row>
        <row r="1633">
          <cell r="D1633">
            <v>1008002653</v>
          </cell>
          <cell r="E1633" t="str">
            <v>LEONA CONTRERAS</v>
          </cell>
          <cell r="F1633" t="str">
            <v>D (MD)</v>
          </cell>
          <cell r="G1633">
            <v>338169</v>
          </cell>
          <cell r="H1633" t="str">
            <v>Mayday</v>
          </cell>
          <cell r="I1633">
            <v>0.64583333333333337</v>
          </cell>
          <cell r="J1633">
            <v>0.89583333333333337</v>
          </cell>
          <cell r="K1633">
            <v>5.6666666666666696</v>
          </cell>
          <cell r="L1633">
            <v>182.98</v>
          </cell>
          <cell r="O1633" t="str">
            <v>Y</v>
          </cell>
          <cell r="P1633" t="str">
            <v>N</v>
          </cell>
          <cell r="Q1633" t="str">
            <v>Extra Capacity</v>
          </cell>
          <cell r="S1633">
            <v>0.15</v>
          </cell>
        </row>
        <row r="1634">
          <cell r="D1634">
            <v>1008003162</v>
          </cell>
          <cell r="E1634" t="str">
            <v>LEONA CONTRERAS</v>
          </cell>
          <cell r="F1634" t="str">
            <v>D (MD)</v>
          </cell>
          <cell r="G1634">
            <v>337674</v>
          </cell>
          <cell r="H1634" t="str">
            <v>Mayday</v>
          </cell>
          <cell r="I1634">
            <v>0.3125</v>
          </cell>
          <cell r="J1634">
            <v>0.625</v>
          </cell>
          <cell r="K1634">
            <v>7.1666666666666696</v>
          </cell>
          <cell r="L1634">
            <v>231.41</v>
          </cell>
          <cell r="O1634" t="str">
            <v>Y</v>
          </cell>
          <cell r="P1634" t="str">
            <v>N</v>
          </cell>
          <cell r="Q1634" t="str">
            <v>Extra Capacity</v>
          </cell>
          <cell r="S1634">
            <v>0.19</v>
          </cell>
        </row>
        <row r="1635">
          <cell r="D1635">
            <v>808004517</v>
          </cell>
          <cell r="E1635" t="str">
            <v>LETECIA MENIANO</v>
          </cell>
          <cell r="F1635" t="str">
            <v>D (MD)</v>
          </cell>
          <cell r="G1635">
            <v>337711</v>
          </cell>
          <cell r="H1635" t="str">
            <v>Mayday</v>
          </cell>
          <cell r="I1635">
            <v>0.83333333333333337</v>
          </cell>
          <cell r="J1635">
            <v>0.33333333333333331</v>
          </cell>
          <cell r="K1635">
            <v>11.3333333333333</v>
          </cell>
          <cell r="L1635">
            <v>475.74</v>
          </cell>
          <cell r="O1635" t="str">
            <v>Y</v>
          </cell>
          <cell r="P1635" t="str">
            <v>N</v>
          </cell>
          <cell r="Q1635" t="str">
            <v>Extra Capacity</v>
          </cell>
          <cell r="S1635">
            <v>0.3</v>
          </cell>
        </row>
        <row r="1636">
          <cell r="D1636">
            <v>1008003652</v>
          </cell>
          <cell r="E1636" t="str">
            <v>MZUKISI SPEELMAN</v>
          </cell>
          <cell r="F1636" t="str">
            <v>A (Ch)</v>
          </cell>
          <cell r="G1636">
            <v>17009</v>
          </cell>
          <cell r="H1636" t="str">
            <v>Choice</v>
          </cell>
          <cell r="I1636">
            <v>0.5625</v>
          </cell>
          <cell r="J1636">
            <v>0.89583333333333337</v>
          </cell>
          <cell r="K1636">
            <v>7.6666666666666696</v>
          </cell>
          <cell r="L1636">
            <v>85.02</v>
          </cell>
          <cell r="O1636" t="str">
            <v>Y</v>
          </cell>
          <cell r="P1636" t="str">
            <v>N</v>
          </cell>
          <cell r="Q1636" t="str">
            <v>Under Established</v>
          </cell>
          <cell r="S1636">
            <v>0.2</v>
          </cell>
        </row>
        <row r="1637">
          <cell r="D1637">
            <v>1008002637</v>
          </cell>
          <cell r="E1637" t="str">
            <v>PAT MUGABZA</v>
          </cell>
          <cell r="F1637" t="str">
            <v>A (Ch)</v>
          </cell>
          <cell r="H1637" t="str">
            <v>Choice</v>
          </cell>
          <cell r="I1637">
            <v>0.3125</v>
          </cell>
          <cell r="J1637">
            <v>0.5625</v>
          </cell>
          <cell r="K1637">
            <v>5.6666666666666696</v>
          </cell>
          <cell r="L1637">
            <v>62.84</v>
          </cell>
          <cell r="O1637" t="str">
            <v>Y</v>
          </cell>
          <cell r="P1637" t="str">
            <v>N</v>
          </cell>
          <cell r="Q1637" t="str">
            <v>Under Established</v>
          </cell>
          <cell r="S1637">
            <v>0.15</v>
          </cell>
        </row>
        <row r="1638">
          <cell r="D1638">
            <v>1008001094</v>
          </cell>
          <cell r="E1638" t="str">
            <v>PEGGY MAPOGO</v>
          </cell>
          <cell r="F1638" t="str">
            <v>D (Ch)</v>
          </cell>
          <cell r="G1638">
            <v>17009</v>
          </cell>
          <cell r="H1638" t="str">
            <v>Choice</v>
          </cell>
          <cell r="I1638">
            <v>0.5625</v>
          </cell>
          <cell r="J1638">
            <v>0.89583333333333337</v>
          </cell>
          <cell r="K1638">
            <v>7.6666666666666696</v>
          </cell>
          <cell r="L1638">
            <v>186.84</v>
          </cell>
          <cell r="O1638" t="str">
            <v>Y</v>
          </cell>
          <cell r="P1638" t="str">
            <v>N</v>
          </cell>
          <cell r="Q1638" t="str">
            <v>Under Established</v>
          </cell>
          <cell r="S1638">
            <v>0.2</v>
          </cell>
        </row>
        <row r="1639">
          <cell r="D1639">
            <v>1008004267</v>
          </cell>
          <cell r="E1639" t="str">
            <v>PEGGY MAPOGO</v>
          </cell>
          <cell r="F1639" t="str">
            <v>D (Ch)</v>
          </cell>
          <cell r="G1639">
            <v>17009</v>
          </cell>
          <cell r="H1639" t="str">
            <v>Choice</v>
          </cell>
          <cell r="I1639">
            <v>0.3125</v>
          </cell>
          <cell r="J1639">
            <v>0.5625</v>
          </cell>
          <cell r="K1639">
            <v>5.6666666666666696</v>
          </cell>
          <cell r="L1639">
            <v>138.1</v>
          </cell>
          <cell r="O1639" t="str">
            <v>Y</v>
          </cell>
          <cell r="P1639" t="str">
            <v>N</v>
          </cell>
          <cell r="Q1639" t="str">
            <v>Under Established</v>
          </cell>
          <cell r="S1639">
            <v>0.15</v>
          </cell>
        </row>
        <row r="1640">
          <cell r="D1640">
            <v>1008001121</v>
          </cell>
          <cell r="E1640" t="str">
            <v>PRICILLA SONO</v>
          </cell>
          <cell r="F1640" t="str">
            <v>D (MD)</v>
          </cell>
          <cell r="G1640">
            <v>338167</v>
          </cell>
          <cell r="H1640" t="str">
            <v>Mayday</v>
          </cell>
          <cell r="I1640">
            <v>0.64583333333333337</v>
          </cell>
          <cell r="J1640">
            <v>0.83333333333333337</v>
          </cell>
          <cell r="K1640">
            <v>4.5</v>
          </cell>
          <cell r="L1640">
            <v>145.31</v>
          </cell>
          <cell r="O1640" t="str">
            <v>Y</v>
          </cell>
          <cell r="P1640" t="str">
            <v>N</v>
          </cell>
          <cell r="Q1640" t="str">
            <v>Vacancy</v>
          </cell>
          <cell r="S1640">
            <v>0.12</v>
          </cell>
        </row>
        <row r="1641">
          <cell r="D1641">
            <v>1008006019</v>
          </cell>
          <cell r="E1641" t="str">
            <v>PRICILLA SONO</v>
          </cell>
          <cell r="F1641" t="str">
            <v>D (MD)</v>
          </cell>
          <cell r="G1641">
            <v>338164</v>
          </cell>
          <cell r="H1641" t="str">
            <v>Mayday</v>
          </cell>
          <cell r="I1641">
            <v>0.3125</v>
          </cell>
          <cell r="J1641">
            <v>0.60416666666666663</v>
          </cell>
          <cell r="K1641">
            <v>6.6666666666666696</v>
          </cell>
          <cell r="L1641">
            <v>215.27</v>
          </cell>
          <cell r="O1641" t="str">
            <v>Y</v>
          </cell>
          <cell r="P1641" t="str">
            <v>N</v>
          </cell>
          <cell r="Q1641" t="str">
            <v>Short Term Sick</v>
          </cell>
          <cell r="S1641">
            <v>0.18</v>
          </cell>
        </row>
        <row r="1642">
          <cell r="D1642">
            <v>1008004435</v>
          </cell>
          <cell r="E1642" t="str">
            <v>PRUDENCE MAJOZI</v>
          </cell>
          <cell r="F1642" t="str">
            <v>D (MD)</v>
          </cell>
          <cell r="G1642">
            <v>337407</v>
          </cell>
          <cell r="H1642" t="str">
            <v>Mayday</v>
          </cell>
          <cell r="I1642">
            <v>0.5625</v>
          </cell>
          <cell r="J1642">
            <v>0.89583333333333337</v>
          </cell>
          <cell r="K1642">
            <v>7.6666666666666696</v>
          </cell>
          <cell r="L1642">
            <v>247.56</v>
          </cell>
          <cell r="O1642" t="str">
            <v>Y</v>
          </cell>
          <cell r="P1642" t="str">
            <v>N</v>
          </cell>
          <cell r="Q1642" t="str">
            <v>Short Term Sick</v>
          </cell>
          <cell r="S1642">
            <v>0.2</v>
          </cell>
        </row>
        <row r="1643">
          <cell r="D1643">
            <v>1008003163</v>
          </cell>
          <cell r="E1643" t="str">
            <v>RODA RAMERIZ</v>
          </cell>
          <cell r="F1643" t="str">
            <v>D (Ch)</v>
          </cell>
          <cell r="G1643">
            <v>17030</v>
          </cell>
          <cell r="H1643" t="str">
            <v>Choice</v>
          </cell>
          <cell r="I1643">
            <v>0.83333333333333337</v>
          </cell>
          <cell r="J1643">
            <v>0.33333333333333331</v>
          </cell>
          <cell r="K1643">
            <v>11.3333333333333</v>
          </cell>
          <cell r="L1643">
            <v>359.05</v>
          </cell>
          <cell r="O1643" t="str">
            <v>Y</v>
          </cell>
          <cell r="P1643" t="str">
            <v>N</v>
          </cell>
          <cell r="Q1643" t="str">
            <v>Extra Capacity</v>
          </cell>
          <cell r="S1643">
            <v>0.3</v>
          </cell>
        </row>
        <row r="1644">
          <cell r="D1644">
            <v>1008004631</v>
          </cell>
          <cell r="E1644" t="str">
            <v>SAM KELEM</v>
          </cell>
          <cell r="F1644" t="str">
            <v>D (Ch)</v>
          </cell>
          <cell r="G1644">
            <v>17008</v>
          </cell>
          <cell r="H1644" t="str">
            <v>Choice</v>
          </cell>
          <cell r="I1644">
            <v>0.83333333333333337</v>
          </cell>
          <cell r="J1644">
            <v>0.33333333333333331</v>
          </cell>
          <cell r="K1644">
            <v>11.3333333333333</v>
          </cell>
          <cell r="L1644">
            <v>359.05</v>
          </cell>
          <cell r="O1644" t="str">
            <v>Y</v>
          </cell>
          <cell r="P1644" t="str">
            <v>N</v>
          </cell>
          <cell r="Q1644" t="str">
            <v>Extra Capacity</v>
          </cell>
          <cell r="S1644">
            <v>0.3</v>
          </cell>
        </row>
        <row r="1645">
          <cell r="D1645">
            <v>808004376</v>
          </cell>
          <cell r="E1645" t="str">
            <v>TEMBE NGIDI</v>
          </cell>
          <cell r="F1645" t="str">
            <v>D (MD)</v>
          </cell>
          <cell r="G1645">
            <v>337690</v>
          </cell>
          <cell r="H1645" t="str">
            <v>Mayday</v>
          </cell>
          <cell r="I1645">
            <v>0.83333333333333337</v>
          </cell>
          <cell r="J1645">
            <v>0.33333333333333331</v>
          </cell>
          <cell r="K1645">
            <v>11.3333333333333</v>
          </cell>
          <cell r="L1645">
            <v>475.74</v>
          </cell>
          <cell r="O1645" t="str">
            <v>Y</v>
          </cell>
          <cell r="P1645" t="str">
            <v>N</v>
          </cell>
          <cell r="Q1645" t="str">
            <v>Extra Capacity</v>
          </cell>
          <cell r="S1645">
            <v>0.3</v>
          </cell>
        </row>
        <row r="1646">
          <cell r="D1646">
            <v>1008004632</v>
          </cell>
          <cell r="E1646" t="str">
            <v>TONDERA MAKAZA</v>
          </cell>
          <cell r="F1646" t="str">
            <v>A (Ch)</v>
          </cell>
          <cell r="H1646" t="str">
            <v>Choice</v>
          </cell>
          <cell r="I1646">
            <v>0.83333333333333337</v>
          </cell>
          <cell r="J1646">
            <v>0.33333333333333331</v>
          </cell>
          <cell r="K1646">
            <v>11.3333333333333</v>
          </cell>
          <cell r="L1646">
            <v>167.58</v>
          </cell>
          <cell r="O1646" t="str">
            <v>Y</v>
          </cell>
          <cell r="P1646" t="str">
            <v>N</v>
          </cell>
          <cell r="Q1646" t="str">
            <v>Extra Capacity</v>
          </cell>
          <cell r="S1646">
            <v>0.3</v>
          </cell>
        </row>
        <row r="1647">
          <cell r="D1647">
            <v>1008004835</v>
          </cell>
          <cell r="E1647" t="str">
            <v>ATINUKE OKE-OLATUNDE</v>
          </cell>
          <cell r="F1647" t="str">
            <v>D (MD)</v>
          </cell>
          <cell r="G1647">
            <v>339883</v>
          </cell>
          <cell r="H1647" t="str">
            <v>Mayday</v>
          </cell>
          <cell r="I1647">
            <v>0.83333333333333337</v>
          </cell>
          <cell r="J1647">
            <v>0.33333333333333331</v>
          </cell>
          <cell r="K1647">
            <v>11.3333333333333</v>
          </cell>
          <cell r="L1647">
            <v>475.74</v>
          </cell>
          <cell r="O1647" t="str">
            <v>Y</v>
          </cell>
          <cell r="P1647" t="str">
            <v>N</v>
          </cell>
          <cell r="Q1647" t="str">
            <v>Under Established</v>
          </cell>
          <cell r="S1647">
            <v>0.3</v>
          </cell>
        </row>
        <row r="1648">
          <cell r="D1648">
            <v>808004384</v>
          </cell>
          <cell r="E1648" t="str">
            <v>BEAUTY NGIDI</v>
          </cell>
          <cell r="F1648" t="str">
            <v>D (MD)</v>
          </cell>
          <cell r="G1648">
            <v>337688</v>
          </cell>
          <cell r="H1648" t="str">
            <v>Mayday</v>
          </cell>
          <cell r="I1648">
            <v>0.83333333333333337</v>
          </cell>
          <cell r="J1648">
            <v>0.33333333333333331</v>
          </cell>
          <cell r="K1648">
            <v>11.3333333333333</v>
          </cell>
          <cell r="L1648">
            <v>475.74</v>
          </cell>
          <cell r="O1648" t="str">
            <v>Y</v>
          </cell>
          <cell r="P1648" t="str">
            <v>N</v>
          </cell>
          <cell r="Q1648" t="str">
            <v>Extra Capacity</v>
          </cell>
          <cell r="S1648">
            <v>0.3</v>
          </cell>
        </row>
        <row r="1649">
          <cell r="D1649">
            <v>808004329</v>
          </cell>
          <cell r="E1649" t="str">
            <v>BRIGHTNESS NDEBELE</v>
          </cell>
          <cell r="F1649" t="str">
            <v>D (MD)</v>
          </cell>
          <cell r="G1649">
            <v>337707</v>
          </cell>
          <cell r="H1649" t="str">
            <v>Mayday</v>
          </cell>
          <cell r="I1649">
            <v>0.3125</v>
          </cell>
          <cell r="J1649">
            <v>0.58333333333333337</v>
          </cell>
          <cell r="K1649">
            <v>6.1666666666666696</v>
          </cell>
          <cell r="L1649">
            <v>199.12</v>
          </cell>
          <cell r="O1649" t="str">
            <v>Y</v>
          </cell>
          <cell r="P1649" t="str">
            <v>N</v>
          </cell>
          <cell r="Q1649" t="str">
            <v>Extra Capacity</v>
          </cell>
          <cell r="S1649">
            <v>0.16</v>
          </cell>
        </row>
        <row r="1650">
          <cell r="D1650">
            <v>808004504</v>
          </cell>
          <cell r="E1650" t="str">
            <v>BRIGHTNESS NDEBELE</v>
          </cell>
          <cell r="F1650" t="str">
            <v>D (MD)</v>
          </cell>
          <cell r="G1650">
            <v>337703</v>
          </cell>
          <cell r="H1650" t="str">
            <v>Mayday</v>
          </cell>
          <cell r="I1650">
            <v>0.625</v>
          </cell>
          <cell r="J1650">
            <v>0.85416666666666663</v>
          </cell>
          <cell r="K1650">
            <v>5.5</v>
          </cell>
          <cell r="L1650">
            <v>177.59</v>
          </cell>
          <cell r="O1650" t="str">
            <v>Y</v>
          </cell>
          <cell r="P1650" t="str">
            <v>N</v>
          </cell>
          <cell r="Q1650" t="str">
            <v>Extra Capacity</v>
          </cell>
          <cell r="S1650">
            <v>0.15</v>
          </cell>
        </row>
        <row r="1651">
          <cell r="D1651">
            <v>908003763</v>
          </cell>
          <cell r="E1651" t="str">
            <v>CHRIS STULAR</v>
          </cell>
          <cell r="F1651" t="str">
            <v>D General (Orio</v>
          </cell>
          <cell r="G1651">
            <v>17381</v>
          </cell>
          <cell r="H1651" t="str">
            <v>Orion</v>
          </cell>
          <cell r="I1651">
            <v>0.33333333333333331</v>
          </cell>
          <cell r="J1651">
            <v>0.75</v>
          </cell>
          <cell r="K1651">
            <v>9.5</v>
          </cell>
          <cell r="L1651">
            <v>172.14</v>
          </cell>
          <cell r="O1651" t="str">
            <v>Y</v>
          </cell>
          <cell r="P1651" t="str">
            <v>N</v>
          </cell>
          <cell r="Q1651" t="str">
            <v>Vacancy</v>
          </cell>
          <cell r="S1651">
            <v>0.25</v>
          </cell>
        </row>
        <row r="1652">
          <cell r="D1652">
            <v>1008003167</v>
          </cell>
          <cell r="E1652" t="str">
            <v>CYNTHIA DELMO</v>
          </cell>
          <cell r="F1652" t="str">
            <v>D (Ch)</v>
          </cell>
          <cell r="G1652">
            <v>17027</v>
          </cell>
          <cell r="H1652" t="str">
            <v>Choice</v>
          </cell>
          <cell r="I1652">
            <v>0.83333333333333337</v>
          </cell>
          <cell r="J1652">
            <v>0.33333333333333331</v>
          </cell>
          <cell r="K1652">
            <v>11.3333333333333</v>
          </cell>
          <cell r="L1652">
            <v>359.05</v>
          </cell>
          <cell r="O1652" t="str">
            <v>Y</v>
          </cell>
          <cell r="P1652" t="str">
            <v>N</v>
          </cell>
          <cell r="Q1652" t="str">
            <v>Extra Capacity</v>
          </cell>
          <cell r="S1652">
            <v>0.3</v>
          </cell>
        </row>
        <row r="1653">
          <cell r="D1653">
            <v>1008002744</v>
          </cell>
          <cell r="E1653" t="str">
            <v>DEVIKA SAMAROO</v>
          </cell>
          <cell r="F1653" t="str">
            <v>D (Amb)</v>
          </cell>
          <cell r="H1653" t="str">
            <v>Ambition</v>
          </cell>
          <cell r="I1653">
            <v>0.58333333333333337</v>
          </cell>
          <cell r="J1653">
            <v>0.84375</v>
          </cell>
          <cell r="K1653">
            <v>6.25</v>
          </cell>
          <cell r="L1653">
            <v>244.38</v>
          </cell>
          <cell r="O1653" t="str">
            <v>Y</v>
          </cell>
          <cell r="P1653" t="str">
            <v>N</v>
          </cell>
          <cell r="Q1653" t="str">
            <v>Vacancy</v>
          </cell>
          <cell r="S1653">
            <v>0.17</v>
          </cell>
        </row>
        <row r="1654">
          <cell r="D1654">
            <v>1008004429</v>
          </cell>
          <cell r="E1654" t="str">
            <v>FIONA DURKIN-GREER</v>
          </cell>
          <cell r="F1654" t="str">
            <v>D (MD)</v>
          </cell>
          <cell r="G1654">
            <v>337402</v>
          </cell>
          <cell r="H1654" t="str">
            <v>Mayday</v>
          </cell>
          <cell r="I1654">
            <v>0.3125</v>
          </cell>
          <cell r="J1654">
            <v>0.54166666666666663</v>
          </cell>
          <cell r="K1654">
            <v>5.5</v>
          </cell>
          <cell r="L1654">
            <v>177.59</v>
          </cell>
          <cell r="O1654" t="str">
            <v>Y</v>
          </cell>
          <cell r="P1654" t="str">
            <v>N</v>
          </cell>
          <cell r="Q1654" t="str">
            <v>Extra Capacity</v>
          </cell>
          <cell r="S1654">
            <v>0.15</v>
          </cell>
        </row>
        <row r="1655">
          <cell r="D1655">
            <v>1008004853</v>
          </cell>
          <cell r="E1655" t="str">
            <v>HILDA SHANGE</v>
          </cell>
          <cell r="F1655" t="str">
            <v>D (Ch)</v>
          </cell>
          <cell r="G1655">
            <v>17102</v>
          </cell>
          <cell r="H1655" t="str">
            <v>Choice</v>
          </cell>
          <cell r="I1655">
            <v>0.83333333333333337</v>
          </cell>
          <cell r="J1655">
            <v>0.33333333333333331</v>
          </cell>
          <cell r="K1655">
            <v>11.3333333333333</v>
          </cell>
          <cell r="L1655">
            <v>359.05</v>
          </cell>
          <cell r="O1655" t="str">
            <v>Y</v>
          </cell>
          <cell r="P1655" t="str">
            <v>N</v>
          </cell>
          <cell r="Q1655" t="str">
            <v>Extra Capacity</v>
          </cell>
          <cell r="S1655">
            <v>0.3</v>
          </cell>
        </row>
        <row r="1656">
          <cell r="D1656">
            <v>908003825</v>
          </cell>
          <cell r="E1656" t="str">
            <v>JAKE BROOKES</v>
          </cell>
          <cell r="F1656" t="str">
            <v>D General (Orio</v>
          </cell>
          <cell r="G1656">
            <v>17522</v>
          </cell>
          <cell r="H1656" t="str">
            <v>Orion</v>
          </cell>
          <cell r="I1656">
            <v>0.33333333333333331</v>
          </cell>
          <cell r="J1656">
            <v>0.75</v>
          </cell>
          <cell r="K1656">
            <v>9.5</v>
          </cell>
          <cell r="L1656">
            <v>172.14</v>
          </cell>
          <cell r="O1656" t="str">
            <v>Y</v>
          </cell>
          <cell r="P1656" t="str">
            <v>N</v>
          </cell>
          <cell r="Q1656" t="str">
            <v>Vacancy</v>
          </cell>
          <cell r="S1656">
            <v>0.25</v>
          </cell>
        </row>
        <row r="1657">
          <cell r="D1657">
            <v>1008003166</v>
          </cell>
          <cell r="E1657" t="str">
            <v>JASON WENT</v>
          </cell>
          <cell r="F1657" t="str">
            <v>D / 5 General (</v>
          </cell>
          <cell r="G1657" t="str">
            <v>604-153666</v>
          </cell>
          <cell r="H1657" t="str">
            <v>Blue Arrow</v>
          </cell>
          <cell r="I1657">
            <v>0.83333333333333337</v>
          </cell>
          <cell r="J1657">
            <v>0.33333333333333331</v>
          </cell>
          <cell r="K1657">
            <v>11.3333333333333</v>
          </cell>
          <cell r="L1657">
            <v>248.7</v>
          </cell>
          <cell r="O1657" t="str">
            <v>Y</v>
          </cell>
          <cell r="P1657" t="str">
            <v>N</v>
          </cell>
          <cell r="Q1657" t="str">
            <v>Extra Capacity</v>
          </cell>
          <cell r="S1657">
            <v>0.3</v>
          </cell>
        </row>
        <row r="1658">
          <cell r="D1658">
            <v>1008001096</v>
          </cell>
          <cell r="E1658" t="str">
            <v>JEAN NGONA</v>
          </cell>
          <cell r="F1658" t="str">
            <v>D (MD)</v>
          </cell>
          <cell r="G1658">
            <v>341535</v>
          </cell>
          <cell r="H1658" t="str">
            <v>Mayday</v>
          </cell>
          <cell r="I1658">
            <v>0.3125</v>
          </cell>
          <cell r="J1658">
            <v>0.5625</v>
          </cell>
          <cell r="K1658">
            <v>5.6666666666666696</v>
          </cell>
          <cell r="L1658">
            <v>182.98</v>
          </cell>
          <cell r="O1658" t="str">
            <v>Y</v>
          </cell>
          <cell r="P1658" t="str">
            <v>N</v>
          </cell>
          <cell r="Q1658" t="str">
            <v>Under Established</v>
          </cell>
          <cell r="S1658">
            <v>0.15</v>
          </cell>
        </row>
        <row r="1659">
          <cell r="D1659">
            <v>1008001099</v>
          </cell>
          <cell r="E1659" t="str">
            <v>JEAN NGONA</v>
          </cell>
          <cell r="F1659" t="str">
            <v>D (MD)</v>
          </cell>
          <cell r="G1659">
            <v>341535</v>
          </cell>
          <cell r="H1659" t="str">
            <v>Mayday</v>
          </cell>
          <cell r="I1659">
            <v>0.5625</v>
          </cell>
          <cell r="J1659">
            <v>0.89583333333333337</v>
          </cell>
          <cell r="K1659">
            <v>7.6666666666666696</v>
          </cell>
          <cell r="L1659">
            <v>247.56</v>
          </cell>
          <cell r="O1659" t="str">
            <v>Y</v>
          </cell>
          <cell r="P1659" t="str">
            <v>N</v>
          </cell>
          <cell r="Q1659" t="str">
            <v>Under Established</v>
          </cell>
          <cell r="S1659">
            <v>0.2</v>
          </cell>
        </row>
        <row r="1660">
          <cell r="D1660">
            <v>1008001925</v>
          </cell>
          <cell r="E1660" t="str">
            <v>JOANNE BUSS</v>
          </cell>
          <cell r="F1660" t="str">
            <v>D (MD)</v>
          </cell>
          <cell r="G1660">
            <v>337395</v>
          </cell>
          <cell r="H1660" t="str">
            <v>Mayday</v>
          </cell>
          <cell r="I1660">
            <v>0.3125</v>
          </cell>
          <cell r="J1660">
            <v>0.54166666666666663</v>
          </cell>
          <cell r="K1660">
            <v>5.5</v>
          </cell>
          <cell r="L1660">
            <v>177.59</v>
          </cell>
          <cell r="O1660" t="str">
            <v>Y</v>
          </cell>
          <cell r="P1660" t="str">
            <v>N</v>
          </cell>
          <cell r="Q1660" t="str">
            <v>Vacancy</v>
          </cell>
          <cell r="S1660">
            <v>0.15</v>
          </cell>
        </row>
        <row r="1661">
          <cell r="D1661">
            <v>1008001926</v>
          </cell>
          <cell r="E1661" t="str">
            <v>JOANNE BUSS</v>
          </cell>
          <cell r="F1661" t="str">
            <v>D (MD)</v>
          </cell>
          <cell r="G1661">
            <v>337395</v>
          </cell>
          <cell r="H1661" t="str">
            <v>Mayday</v>
          </cell>
          <cell r="I1661">
            <v>0.625</v>
          </cell>
          <cell r="J1661">
            <v>0.85416666666666663</v>
          </cell>
          <cell r="K1661">
            <v>5.5</v>
          </cell>
          <cell r="L1661">
            <v>177.59</v>
          </cell>
          <cell r="O1661" t="str">
            <v>Y</v>
          </cell>
          <cell r="P1661" t="str">
            <v>N</v>
          </cell>
          <cell r="Q1661" t="str">
            <v>Vacancy</v>
          </cell>
          <cell r="S1661">
            <v>0.15</v>
          </cell>
        </row>
        <row r="1662">
          <cell r="D1662">
            <v>1008003021</v>
          </cell>
          <cell r="E1662" t="str">
            <v>KAREN STRUDWICK</v>
          </cell>
          <cell r="F1662" t="str">
            <v>D (Ch)</v>
          </cell>
          <cell r="H1662" t="str">
            <v>Choice</v>
          </cell>
          <cell r="I1662">
            <v>0.84375</v>
          </cell>
          <cell r="J1662">
            <v>0.32291666666666669</v>
          </cell>
          <cell r="K1662">
            <v>11.1666666666667</v>
          </cell>
          <cell r="L1662">
            <v>353.77</v>
          </cell>
          <cell r="O1662" t="str">
            <v>Y</v>
          </cell>
          <cell r="P1662" t="str">
            <v>N</v>
          </cell>
          <cell r="Q1662" t="str">
            <v>Under Established</v>
          </cell>
          <cell r="S1662">
            <v>0.3</v>
          </cell>
        </row>
        <row r="1663">
          <cell r="D1663">
            <v>908006793</v>
          </cell>
          <cell r="E1663" t="str">
            <v>KATIE KEAVENEY</v>
          </cell>
          <cell r="F1663" t="str">
            <v>D (MD)</v>
          </cell>
          <cell r="G1663">
            <v>337714</v>
          </cell>
          <cell r="H1663" t="str">
            <v>Mayday</v>
          </cell>
          <cell r="I1663">
            <v>0.625</v>
          </cell>
          <cell r="J1663">
            <v>0.875</v>
          </cell>
          <cell r="K1663">
            <v>5.75</v>
          </cell>
          <cell r="L1663">
            <v>185.67</v>
          </cell>
          <cell r="O1663" t="str">
            <v>Y</v>
          </cell>
          <cell r="P1663" t="str">
            <v>N</v>
          </cell>
          <cell r="Q1663" t="str">
            <v>Vacancy</v>
          </cell>
          <cell r="S1663">
            <v>0.15</v>
          </cell>
        </row>
        <row r="1664">
          <cell r="D1664">
            <v>1008004807</v>
          </cell>
          <cell r="E1664" t="str">
            <v>KEITH GARRISON</v>
          </cell>
          <cell r="F1664" t="str">
            <v>D Spec (Amb)</v>
          </cell>
          <cell r="G1664">
            <v>751703</v>
          </cell>
          <cell r="H1664" t="str">
            <v>Ambition</v>
          </cell>
          <cell r="I1664">
            <v>0.625</v>
          </cell>
          <cell r="J1664">
            <v>0.875</v>
          </cell>
          <cell r="K1664">
            <v>5.75</v>
          </cell>
          <cell r="L1664">
            <v>267.38</v>
          </cell>
          <cell r="O1664" t="str">
            <v>Y</v>
          </cell>
          <cell r="P1664" t="str">
            <v>N</v>
          </cell>
          <cell r="Q1664" t="str">
            <v>Specials</v>
          </cell>
          <cell r="S1664">
            <v>0.15</v>
          </cell>
        </row>
        <row r="1665">
          <cell r="D1665">
            <v>1008003165</v>
          </cell>
          <cell r="E1665" t="str">
            <v>LEONA CONTRERAS</v>
          </cell>
          <cell r="F1665" t="str">
            <v>D (MD)</v>
          </cell>
          <cell r="G1665">
            <v>337676</v>
          </cell>
          <cell r="H1665" t="str">
            <v>Mayday</v>
          </cell>
          <cell r="I1665">
            <v>0.3125</v>
          </cell>
          <cell r="J1665">
            <v>0.625</v>
          </cell>
          <cell r="K1665">
            <v>7.1666666666666696</v>
          </cell>
          <cell r="L1665">
            <v>231.41</v>
          </cell>
          <cell r="O1665" t="str">
            <v>Y</v>
          </cell>
          <cell r="P1665" t="str">
            <v>N</v>
          </cell>
          <cell r="Q1665" t="str">
            <v>Extra Capacity</v>
          </cell>
          <cell r="S1665">
            <v>0.19</v>
          </cell>
        </row>
        <row r="1666">
          <cell r="D1666">
            <v>1008004830</v>
          </cell>
          <cell r="E1666" t="str">
            <v>MABEL MNISI</v>
          </cell>
          <cell r="F1666" t="str">
            <v>D (MD)</v>
          </cell>
          <cell r="G1666">
            <v>338561</v>
          </cell>
          <cell r="H1666" t="str">
            <v>Mayday</v>
          </cell>
          <cell r="I1666">
            <v>0.3125</v>
          </cell>
          <cell r="J1666">
            <v>0.5625</v>
          </cell>
          <cell r="K1666">
            <v>5.6666666666666696</v>
          </cell>
          <cell r="L1666">
            <v>182.98</v>
          </cell>
          <cell r="O1666" t="str">
            <v>Y</v>
          </cell>
          <cell r="P1666" t="str">
            <v>N</v>
          </cell>
          <cell r="Q1666" t="str">
            <v>Under Established</v>
          </cell>
          <cell r="S1666">
            <v>0.15</v>
          </cell>
        </row>
        <row r="1667">
          <cell r="D1667">
            <v>1008004833</v>
          </cell>
          <cell r="E1667" t="str">
            <v>MABEL MNISI</v>
          </cell>
          <cell r="F1667" t="str">
            <v>D (MD)</v>
          </cell>
          <cell r="H1667" t="str">
            <v>Mayday</v>
          </cell>
          <cell r="I1667">
            <v>0.5625</v>
          </cell>
          <cell r="J1667">
            <v>0.85416666666666663</v>
          </cell>
          <cell r="K1667">
            <v>6.6666666666666696</v>
          </cell>
          <cell r="L1667">
            <v>215.27</v>
          </cell>
          <cell r="O1667" t="str">
            <v>Y</v>
          </cell>
          <cell r="P1667" t="str">
            <v>N</v>
          </cell>
          <cell r="Q1667" t="str">
            <v>Under Established</v>
          </cell>
          <cell r="S1667">
            <v>0.18</v>
          </cell>
        </row>
        <row r="1668">
          <cell r="D1668">
            <v>908005833</v>
          </cell>
          <cell r="E1668" t="str">
            <v>MAGDALINE NGOMANE</v>
          </cell>
          <cell r="F1668" t="str">
            <v>D (MD)</v>
          </cell>
          <cell r="H1668" t="str">
            <v>Mayday</v>
          </cell>
          <cell r="I1668">
            <v>0.32291666666666669</v>
          </cell>
          <cell r="J1668">
            <v>0.54166666666666663</v>
          </cell>
          <cell r="K1668">
            <v>5.25</v>
          </cell>
          <cell r="L1668">
            <v>169.52</v>
          </cell>
          <cell r="O1668" t="str">
            <v>Y</v>
          </cell>
          <cell r="P1668" t="str">
            <v>N</v>
          </cell>
          <cell r="Q1668" t="str">
            <v>Vacancy</v>
          </cell>
          <cell r="S1668">
            <v>0.14000000000000001</v>
          </cell>
        </row>
        <row r="1669">
          <cell r="D1669">
            <v>1008004839</v>
          </cell>
          <cell r="E1669" t="str">
            <v>NOLIZWI MGANDELA</v>
          </cell>
          <cell r="F1669" t="str">
            <v>D (MD)</v>
          </cell>
          <cell r="G1669">
            <v>338513</v>
          </cell>
          <cell r="H1669" t="str">
            <v>Mayday</v>
          </cell>
          <cell r="I1669">
            <v>0.83333333333333337</v>
          </cell>
          <cell r="J1669">
            <v>0.33333333333333331</v>
          </cell>
          <cell r="K1669">
            <v>11.3333333333333</v>
          </cell>
          <cell r="L1669">
            <v>475.74</v>
          </cell>
          <cell r="O1669" t="str">
            <v>Y</v>
          </cell>
          <cell r="P1669" t="str">
            <v>N</v>
          </cell>
          <cell r="Q1669" t="str">
            <v>Vacancy</v>
          </cell>
          <cell r="S1669">
            <v>0.3</v>
          </cell>
        </row>
        <row r="1670">
          <cell r="D1670">
            <v>1008004637</v>
          </cell>
          <cell r="E1670" t="str">
            <v>OMAR SENGHORE</v>
          </cell>
          <cell r="F1670" t="str">
            <v>D (MD)</v>
          </cell>
          <cell r="G1670">
            <v>339840</v>
          </cell>
          <cell r="H1670" t="str">
            <v>Mayday</v>
          </cell>
          <cell r="I1670">
            <v>0.83333333333333337</v>
          </cell>
          <cell r="J1670">
            <v>0.33333333333333331</v>
          </cell>
          <cell r="K1670">
            <v>11.3333333333333</v>
          </cell>
          <cell r="L1670">
            <v>475.74</v>
          </cell>
          <cell r="O1670" t="str">
            <v>Y</v>
          </cell>
          <cell r="P1670" t="str">
            <v>N</v>
          </cell>
          <cell r="Q1670" t="str">
            <v>Extra Capacity</v>
          </cell>
          <cell r="S1670">
            <v>0.3</v>
          </cell>
        </row>
        <row r="1671">
          <cell r="D1671">
            <v>1008003455</v>
          </cell>
          <cell r="E1671" t="str">
            <v>PAT DUBE</v>
          </cell>
          <cell r="F1671" t="str">
            <v>D (MD)</v>
          </cell>
          <cell r="G1671">
            <v>340120</v>
          </cell>
          <cell r="H1671" t="str">
            <v>Mayday</v>
          </cell>
          <cell r="I1671">
            <v>0.3125</v>
          </cell>
          <cell r="J1671">
            <v>0.60416666666666663</v>
          </cell>
          <cell r="K1671">
            <v>6.6666666666666696</v>
          </cell>
          <cell r="L1671">
            <v>215.27</v>
          </cell>
          <cell r="O1671" t="str">
            <v>Y</v>
          </cell>
          <cell r="P1671" t="str">
            <v>N</v>
          </cell>
          <cell r="Q1671" t="str">
            <v>Long Term Sick</v>
          </cell>
          <cell r="S1671">
            <v>0.18</v>
          </cell>
        </row>
        <row r="1672">
          <cell r="D1672">
            <v>1008005535</v>
          </cell>
          <cell r="E1672" t="str">
            <v>RAMANI THOMAS</v>
          </cell>
          <cell r="F1672" t="str">
            <v>D (MD)</v>
          </cell>
          <cell r="G1672">
            <v>337164</v>
          </cell>
          <cell r="H1672" t="str">
            <v>Mayday</v>
          </cell>
          <cell r="I1672">
            <v>0.83333333333333337</v>
          </cell>
          <cell r="J1672">
            <v>0.33333333333333331</v>
          </cell>
          <cell r="K1672">
            <v>11</v>
          </cell>
          <cell r="L1672">
            <v>461.75</v>
          </cell>
          <cell r="O1672" t="str">
            <v>Y</v>
          </cell>
          <cell r="P1672" t="str">
            <v>N</v>
          </cell>
          <cell r="Q1672" t="str">
            <v>Acuity</v>
          </cell>
          <cell r="S1672">
            <v>0.28999999999999998</v>
          </cell>
        </row>
        <row r="1673">
          <cell r="D1673">
            <v>808004377</v>
          </cell>
          <cell r="E1673" t="str">
            <v>TEMBE NGIDI</v>
          </cell>
          <cell r="F1673" t="str">
            <v>D (MD)</v>
          </cell>
          <cell r="G1673">
            <v>337690</v>
          </cell>
          <cell r="H1673" t="str">
            <v>Mayday</v>
          </cell>
          <cell r="I1673">
            <v>0.83333333333333337</v>
          </cell>
          <cell r="J1673">
            <v>0.33333333333333331</v>
          </cell>
          <cell r="K1673">
            <v>11.3333333333333</v>
          </cell>
          <cell r="L1673">
            <v>475.74</v>
          </cell>
          <cell r="O1673" t="str">
            <v>Y</v>
          </cell>
          <cell r="P1673" t="str">
            <v>N</v>
          </cell>
          <cell r="Q1673" t="str">
            <v>Extra Capacity</v>
          </cell>
          <cell r="S1673">
            <v>0.3</v>
          </cell>
        </row>
        <row r="1674">
          <cell r="D1674">
            <v>1008004801</v>
          </cell>
          <cell r="E1674" t="str">
            <v>TERESA RADEJKO</v>
          </cell>
          <cell r="F1674" t="str">
            <v>D (Amb)</v>
          </cell>
          <cell r="G1674">
            <v>751702</v>
          </cell>
          <cell r="H1674" t="str">
            <v>Ambition</v>
          </cell>
          <cell r="I1674">
            <v>0.52083333333333337</v>
          </cell>
          <cell r="J1674">
            <v>0.85416666666666663</v>
          </cell>
          <cell r="K1674">
            <v>7.6666666666666696</v>
          </cell>
          <cell r="L1674">
            <v>299.77</v>
          </cell>
          <cell r="O1674" t="str">
            <v>Y</v>
          </cell>
          <cell r="P1674" t="str">
            <v>N</v>
          </cell>
          <cell r="Q1674" t="str">
            <v>Short Term Sick</v>
          </cell>
          <cell r="S1674">
            <v>0.2</v>
          </cell>
        </row>
        <row r="1675">
          <cell r="D1675">
            <v>1008004799</v>
          </cell>
          <cell r="E1675" t="str">
            <v>VICTORIA MAESTRANI</v>
          </cell>
          <cell r="F1675" t="str">
            <v>D (MD)</v>
          </cell>
          <cell r="G1675">
            <v>337702</v>
          </cell>
          <cell r="H1675" t="str">
            <v>Mayday</v>
          </cell>
          <cell r="I1675">
            <v>0.52083333333333337</v>
          </cell>
          <cell r="J1675">
            <v>0.85416666666666663</v>
          </cell>
          <cell r="K1675">
            <v>7.6666666666666696</v>
          </cell>
          <cell r="L1675">
            <v>247.56</v>
          </cell>
          <cell r="O1675" t="str">
            <v>Y</v>
          </cell>
          <cell r="P1675" t="str">
            <v>N</v>
          </cell>
          <cell r="Q1675" t="str">
            <v>Short Term Sick</v>
          </cell>
          <cell r="S1675">
            <v>0.2</v>
          </cell>
        </row>
        <row r="1676">
          <cell r="D1676">
            <v>1008002657</v>
          </cell>
          <cell r="E1676" t="str">
            <v>ADEOLA SOGBESAN</v>
          </cell>
          <cell r="F1676" t="str">
            <v>D (MD)</v>
          </cell>
          <cell r="G1676">
            <v>337659</v>
          </cell>
          <cell r="H1676" t="str">
            <v>Mayday</v>
          </cell>
          <cell r="I1676">
            <v>0.625</v>
          </cell>
          <cell r="J1676">
            <v>0.89583333333333337</v>
          </cell>
          <cell r="K1676">
            <v>6.1666666666666696</v>
          </cell>
          <cell r="L1676">
            <v>199.12</v>
          </cell>
          <cell r="O1676" t="str">
            <v>Y</v>
          </cell>
          <cell r="P1676" t="str">
            <v>N</v>
          </cell>
          <cell r="Q1676" t="str">
            <v>Extra Capacity</v>
          </cell>
          <cell r="S1676">
            <v>0.16</v>
          </cell>
        </row>
        <row r="1677">
          <cell r="D1677">
            <v>1008001932</v>
          </cell>
          <cell r="E1677" t="str">
            <v>ANNA BONNERUP</v>
          </cell>
          <cell r="F1677" t="str">
            <v>D / 5 General (</v>
          </cell>
          <cell r="G1677" t="str">
            <v>604-153910</v>
          </cell>
          <cell r="H1677" t="str">
            <v>Blue Arrow</v>
          </cell>
          <cell r="I1677">
            <v>0.3125</v>
          </cell>
          <cell r="J1677">
            <v>0.54166666666666663</v>
          </cell>
          <cell r="K1677">
            <v>5.5</v>
          </cell>
          <cell r="L1677">
            <v>92.84</v>
          </cell>
          <cell r="O1677" t="str">
            <v>Y</v>
          </cell>
          <cell r="P1677" t="str">
            <v>N</v>
          </cell>
          <cell r="Q1677" t="str">
            <v>Vacancy</v>
          </cell>
          <cell r="S1677">
            <v>0.15</v>
          </cell>
        </row>
        <row r="1678">
          <cell r="D1678">
            <v>1008001936</v>
          </cell>
          <cell r="E1678" t="str">
            <v>ANNA BONNERUP</v>
          </cell>
          <cell r="F1678" t="str">
            <v>D / 5 General (</v>
          </cell>
          <cell r="G1678" t="str">
            <v>604-153910</v>
          </cell>
          <cell r="H1678" t="str">
            <v>Blue Arrow</v>
          </cell>
          <cell r="I1678">
            <v>0.625</v>
          </cell>
          <cell r="J1678">
            <v>0.85416666666666663</v>
          </cell>
          <cell r="K1678">
            <v>5.5</v>
          </cell>
          <cell r="L1678">
            <v>92.84</v>
          </cell>
          <cell r="O1678" t="str">
            <v>Y</v>
          </cell>
          <cell r="P1678" t="str">
            <v>N</v>
          </cell>
          <cell r="Q1678" t="str">
            <v>Vacancy</v>
          </cell>
          <cell r="S1678">
            <v>0.15</v>
          </cell>
        </row>
        <row r="1679">
          <cell r="D1679">
            <v>808004385</v>
          </cell>
          <cell r="E1679" t="str">
            <v>ATINUKE OKE-OLATUNDE</v>
          </cell>
          <cell r="F1679" t="str">
            <v>D (MD)</v>
          </cell>
          <cell r="G1679">
            <v>340126</v>
          </cell>
          <cell r="H1679" t="str">
            <v>Mayday</v>
          </cell>
          <cell r="I1679">
            <v>0.83333333333333337</v>
          </cell>
          <cell r="J1679">
            <v>0.33333333333333331</v>
          </cell>
          <cell r="K1679">
            <v>11.3333333333333</v>
          </cell>
          <cell r="L1679">
            <v>475.74</v>
          </cell>
          <cell r="O1679" t="str">
            <v>Y</v>
          </cell>
          <cell r="P1679" t="str">
            <v>N</v>
          </cell>
          <cell r="Q1679" t="str">
            <v>Extra Capacity</v>
          </cell>
          <cell r="S1679">
            <v>0.3</v>
          </cell>
        </row>
        <row r="1680">
          <cell r="D1680">
            <v>808004378</v>
          </cell>
          <cell r="E1680" t="str">
            <v>BEAUTY NGIDI</v>
          </cell>
          <cell r="F1680" t="str">
            <v>D (MD)</v>
          </cell>
          <cell r="G1680">
            <v>337688</v>
          </cell>
          <cell r="H1680" t="str">
            <v>Mayday</v>
          </cell>
          <cell r="I1680">
            <v>0.83333333333333337</v>
          </cell>
          <cell r="J1680">
            <v>0.33333333333333331</v>
          </cell>
          <cell r="K1680">
            <v>11.3333333333333</v>
          </cell>
          <cell r="L1680">
            <v>475.74</v>
          </cell>
          <cell r="O1680" t="str">
            <v>Y</v>
          </cell>
          <cell r="P1680" t="str">
            <v>N</v>
          </cell>
          <cell r="Q1680" t="str">
            <v>Extra Capacity</v>
          </cell>
          <cell r="S1680">
            <v>0.3</v>
          </cell>
        </row>
        <row r="1681">
          <cell r="D1681">
            <v>808004484</v>
          </cell>
          <cell r="E1681" t="str">
            <v>BERNADETTE SHINYA-NDUNUWANI</v>
          </cell>
          <cell r="F1681" t="str">
            <v>D (MD)</v>
          </cell>
          <cell r="G1681">
            <v>337670</v>
          </cell>
          <cell r="H1681" t="str">
            <v>Mayday</v>
          </cell>
          <cell r="I1681">
            <v>0.3125</v>
          </cell>
          <cell r="J1681">
            <v>0.58333333333333337</v>
          </cell>
          <cell r="K1681">
            <v>6.1666666666666696</v>
          </cell>
          <cell r="L1681">
            <v>199.12</v>
          </cell>
          <cell r="O1681" t="str">
            <v>Y</v>
          </cell>
          <cell r="P1681" t="str">
            <v>N</v>
          </cell>
          <cell r="Q1681" t="str">
            <v>Extra Capacity</v>
          </cell>
          <cell r="S1681">
            <v>0.16</v>
          </cell>
        </row>
        <row r="1682">
          <cell r="D1682">
            <v>808004330</v>
          </cell>
          <cell r="E1682" t="str">
            <v>BRIGHTNESS NDEBELE</v>
          </cell>
          <cell r="F1682" t="str">
            <v>D (MD)</v>
          </cell>
          <cell r="G1682">
            <v>337707</v>
          </cell>
          <cell r="H1682" t="str">
            <v>Mayday</v>
          </cell>
          <cell r="I1682">
            <v>0.3125</v>
          </cell>
          <cell r="J1682">
            <v>0.58333333333333337</v>
          </cell>
          <cell r="K1682">
            <v>6.1666666666666696</v>
          </cell>
          <cell r="L1682">
            <v>199.12</v>
          </cell>
          <cell r="O1682" t="str">
            <v>Y</v>
          </cell>
          <cell r="P1682" t="str">
            <v>N</v>
          </cell>
          <cell r="Q1682" t="str">
            <v>Extra Capacity</v>
          </cell>
          <cell r="S1682">
            <v>0.16</v>
          </cell>
        </row>
        <row r="1683">
          <cell r="D1683">
            <v>808004357</v>
          </cell>
          <cell r="E1683" t="str">
            <v>BRIGHTNESS NDEBELE</v>
          </cell>
          <cell r="F1683" t="str">
            <v>D (MD)</v>
          </cell>
          <cell r="G1683">
            <v>337707</v>
          </cell>
          <cell r="H1683" t="str">
            <v>Mayday</v>
          </cell>
          <cell r="I1683">
            <v>0.625</v>
          </cell>
          <cell r="J1683">
            <v>0.85416666666666663</v>
          </cell>
          <cell r="K1683">
            <v>5.5</v>
          </cell>
          <cell r="L1683">
            <v>177.59</v>
          </cell>
          <cell r="O1683" t="str">
            <v>Y</v>
          </cell>
          <cell r="P1683" t="str">
            <v>N</v>
          </cell>
          <cell r="Q1683" t="str">
            <v>Extra Capacity</v>
          </cell>
          <cell r="S1683">
            <v>0.15</v>
          </cell>
        </row>
        <row r="1684">
          <cell r="D1684">
            <v>1008005086</v>
          </cell>
          <cell r="E1684" t="str">
            <v>CARL HIBBERT</v>
          </cell>
          <cell r="F1684" t="str">
            <v>D (Ch)</v>
          </cell>
          <cell r="G1684">
            <v>17094</v>
          </cell>
          <cell r="H1684" t="str">
            <v>Choice</v>
          </cell>
          <cell r="I1684">
            <v>0.83333333333333337</v>
          </cell>
          <cell r="J1684">
            <v>0.33333333333333331</v>
          </cell>
          <cell r="K1684">
            <v>11.3333333333333</v>
          </cell>
          <cell r="L1684">
            <v>359.05</v>
          </cell>
          <cell r="O1684" t="str">
            <v>Y</v>
          </cell>
          <cell r="P1684" t="str">
            <v>N</v>
          </cell>
          <cell r="Q1684" t="str">
            <v>Extra Capacity</v>
          </cell>
          <cell r="S1684">
            <v>0.3</v>
          </cell>
        </row>
        <row r="1685">
          <cell r="D1685">
            <v>1008003215</v>
          </cell>
          <cell r="E1685" t="str">
            <v>CHARLOTTE TAYLOR</v>
          </cell>
          <cell r="F1685" t="str">
            <v>D/5 (PS)</v>
          </cell>
          <cell r="H1685" t="str">
            <v>Pinnacle Staffing</v>
          </cell>
          <cell r="I1685">
            <v>0.83333333333333337</v>
          </cell>
          <cell r="J1685">
            <v>0.33333333333333331</v>
          </cell>
          <cell r="K1685">
            <v>11.3333333333333</v>
          </cell>
          <cell r="L1685">
            <v>250.32</v>
          </cell>
          <cell r="O1685" t="str">
            <v>Y</v>
          </cell>
          <cell r="P1685" t="str">
            <v>N</v>
          </cell>
          <cell r="Q1685" t="str">
            <v>Under Established</v>
          </cell>
          <cell r="S1685">
            <v>0.3</v>
          </cell>
        </row>
        <row r="1686">
          <cell r="D1686">
            <v>908003764</v>
          </cell>
          <cell r="E1686" t="str">
            <v>CHRIS STULAR</v>
          </cell>
          <cell r="F1686" t="str">
            <v>D General (Orio</v>
          </cell>
          <cell r="G1686">
            <v>17381</v>
          </cell>
          <cell r="H1686" t="str">
            <v>Orion</v>
          </cell>
          <cell r="I1686">
            <v>0.33333333333333331</v>
          </cell>
          <cell r="J1686">
            <v>0.89583333333333337</v>
          </cell>
          <cell r="K1686">
            <v>12.5</v>
          </cell>
          <cell r="L1686">
            <v>226.5</v>
          </cell>
          <cell r="O1686" t="str">
            <v>Y</v>
          </cell>
          <cell r="P1686" t="str">
            <v>N</v>
          </cell>
          <cell r="Q1686" t="str">
            <v>Vacancy</v>
          </cell>
          <cell r="S1686">
            <v>0.33</v>
          </cell>
        </row>
        <row r="1687">
          <cell r="D1687">
            <v>1008001213</v>
          </cell>
          <cell r="E1687" t="str">
            <v>DAMILOLA AIKI</v>
          </cell>
          <cell r="F1687" t="str">
            <v>A (Ch)</v>
          </cell>
          <cell r="G1687">
            <v>17009</v>
          </cell>
          <cell r="H1687" t="str">
            <v>Choice</v>
          </cell>
          <cell r="I1687">
            <v>0.3125</v>
          </cell>
          <cell r="J1687">
            <v>0.5625</v>
          </cell>
          <cell r="K1687">
            <v>5.6666666666666696</v>
          </cell>
          <cell r="L1687">
            <v>62.84</v>
          </cell>
          <cell r="O1687" t="str">
            <v>Y</v>
          </cell>
          <cell r="P1687" t="str">
            <v>N</v>
          </cell>
          <cell r="Q1687" t="str">
            <v>Under Established</v>
          </cell>
          <cell r="S1687">
            <v>0.15</v>
          </cell>
        </row>
        <row r="1688">
          <cell r="D1688">
            <v>1008001198</v>
          </cell>
          <cell r="E1688" t="str">
            <v>DIGRACIA  NAPE</v>
          </cell>
          <cell r="F1688" t="str">
            <v>D (MD)</v>
          </cell>
          <cell r="G1688">
            <v>338554</v>
          </cell>
          <cell r="H1688" t="str">
            <v>Mayday</v>
          </cell>
          <cell r="I1688">
            <v>0.5625</v>
          </cell>
          <cell r="J1688">
            <v>0.89583333333333337</v>
          </cell>
          <cell r="K1688">
            <v>7.6666666666666696</v>
          </cell>
          <cell r="L1688">
            <v>247.56</v>
          </cell>
          <cell r="O1688" t="str">
            <v>Y</v>
          </cell>
          <cell r="P1688" t="str">
            <v>N</v>
          </cell>
          <cell r="Q1688" t="str">
            <v>Annual Leave</v>
          </cell>
          <cell r="S1688">
            <v>0.2</v>
          </cell>
        </row>
        <row r="1689">
          <cell r="D1689">
            <v>1008003171</v>
          </cell>
          <cell r="E1689" t="str">
            <v>EDMA ITALIA</v>
          </cell>
          <cell r="F1689" t="str">
            <v>D (Ch)</v>
          </cell>
          <cell r="G1689">
            <v>17027</v>
          </cell>
          <cell r="H1689" t="str">
            <v>Choice</v>
          </cell>
          <cell r="I1689">
            <v>0.83333333333333337</v>
          </cell>
          <cell r="J1689">
            <v>0.33333333333333331</v>
          </cell>
          <cell r="K1689">
            <v>11.3333333333333</v>
          </cell>
          <cell r="L1689">
            <v>359.05</v>
          </cell>
          <cell r="O1689" t="str">
            <v>Y</v>
          </cell>
          <cell r="P1689" t="str">
            <v>N</v>
          </cell>
          <cell r="Q1689" t="str">
            <v>Extra Capacity</v>
          </cell>
          <cell r="S1689">
            <v>0.3</v>
          </cell>
        </row>
        <row r="1690">
          <cell r="D1690">
            <v>1008001788</v>
          </cell>
          <cell r="E1690" t="str">
            <v>EVELYN PANESA</v>
          </cell>
          <cell r="F1690" t="str">
            <v>D (Ch)</v>
          </cell>
          <cell r="G1690">
            <v>17007</v>
          </cell>
          <cell r="H1690" t="str">
            <v>Choice</v>
          </cell>
          <cell r="I1690">
            <v>0.3125</v>
          </cell>
          <cell r="J1690">
            <v>0.54166666666666663</v>
          </cell>
          <cell r="K1690">
            <v>5.5</v>
          </cell>
          <cell r="L1690">
            <v>134.03</v>
          </cell>
          <cell r="O1690" t="str">
            <v>Y</v>
          </cell>
          <cell r="P1690" t="str">
            <v>N</v>
          </cell>
          <cell r="Q1690" t="str">
            <v>Extra Capacity</v>
          </cell>
          <cell r="S1690">
            <v>0.15</v>
          </cell>
        </row>
        <row r="1691">
          <cell r="D1691">
            <v>1008001789</v>
          </cell>
          <cell r="E1691" t="str">
            <v>EVELYN PANESA</v>
          </cell>
          <cell r="F1691" t="str">
            <v>D (Ch)</v>
          </cell>
          <cell r="G1691">
            <v>17007</v>
          </cell>
          <cell r="H1691" t="str">
            <v>Choice</v>
          </cell>
          <cell r="I1691">
            <v>0.625</v>
          </cell>
          <cell r="J1691">
            <v>0.85416666666666663</v>
          </cell>
          <cell r="K1691">
            <v>5.5</v>
          </cell>
          <cell r="L1691">
            <v>134.03</v>
          </cell>
          <cell r="O1691" t="str">
            <v>Y</v>
          </cell>
          <cell r="P1691" t="str">
            <v>N</v>
          </cell>
          <cell r="Q1691" t="str">
            <v>Extra Capacity</v>
          </cell>
          <cell r="S1691">
            <v>0.15</v>
          </cell>
        </row>
        <row r="1692">
          <cell r="D1692">
            <v>1008004276</v>
          </cell>
          <cell r="E1692" t="str">
            <v>JAKE BROOKES</v>
          </cell>
          <cell r="F1692" t="str">
            <v>D General (Orio</v>
          </cell>
          <cell r="G1692">
            <v>17523</v>
          </cell>
          <cell r="H1692" t="str">
            <v>Orion</v>
          </cell>
          <cell r="I1692">
            <v>0.33333333333333331</v>
          </cell>
          <cell r="J1692">
            <v>0.75</v>
          </cell>
          <cell r="K1692">
            <v>9.6666666666666696</v>
          </cell>
          <cell r="L1692">
            <v>175.16</v>
          </cell>
          <cell r="O1692" t="str">
            <v>Y</v>
          </cell>
          <cell r="P1692" t="str">
            <v>N</v>
          </cell>
          <cell r="Q1692" t="str">
            <v>Vacancy</v>
          </cell>
          <cell r="S1692">
            <v>0.26</v>
          </cell>
        </row>
        <row r="1693">
          <cell r="D1693">
            <v>1008004836</v>
          </cell>
          <cell r="E1693" t="str">
            <v>JAMES MCCLEMENTS</v>
          </cell>
          <cell r="F1693" t="str">
            <v>D (MD)</v>
          </cell>
          <cell r="G1693">
            <v>337399</v>
          </cell>
          <cell r="H1693" t="str">
            <v>Mayday</v>
          </cell>
          <cell r="I1693">
            <v>0.3125</v>
          </cell>
          <cell r="J1693">
            <v>0.625</v>
          </cell>
          <cell r="K1693">
            <v>7.1666666666666696</v>
          </cell>
          <cell r="L1693">
            <v>231.41</v>
          </cell>
          <cell r="O1693" t="str">
            <v>Y</v>
          </cell>
          <cell r="P1693" t="str">
            <v>N</v>
          </cell>
          <cell r="Q1693" t="str">
            <v>Short Term Sick</v>
          </cell>
          <cell r="S1693">
            <v>0.19</v>
          </cell>
        </row>
        <row r="1694">
          <cell r="D1694">
            <v>1008004914</v>
          </cell>
          <cell r="E1694" t="str">
            <v>JAMES MCCLEMENTS</v>
          </cell>
          <cell r="F1694" t="str">
            <v>D (MD)</v>
          </cell>
          <cell r="G1694">
            <v>337401</v>
          </cell>
          <cell r="H1694" t="str">
            <v>Mayday</v>
          </cell>
          <cell r="I1694">
            <v>0.625</v>
          </cell>
          <cell r="J1694">
            <v>0.85416666666666663</v>
          </cell>
          <cell r="K1694">
            <v>5.5</v>
          </cell>
          <cell r="L1694">
            <v>177.59</v>
          </cell>
          <cell r="O1694" t="str">
            <v>Y</v>
          </cell>
          <cell r="P1694" t="str">
            <v>N</v>
          </cell>
          <cell r="Q1694" t="str">
            <v>Extra Capacity</v>
          </cell>
          <cell r="S1694">
            <v>0.15</v>
          </cell>
        </row>
        <row r="1695">
          <cell r="D1695">
            <v>1008004965</v>
          </cell>
          <cell r="E1695" t="str">
            <v>JANE DUNSMURE</v>
          </cell>
          <cell r="F1695" t="str">
            <v>D/5 (PS)</v>
          </cell>
          <cell r="H1695" t="str">
            <v>Pinnacle Staffing</v>
          </cell>
          <cell r="I1695">
            <v>0.84375</v>
          </cell>
          <cell r="J1695">
            <v>0.33333333333333331</v>
          </cell>
          <cell r="K1695">
            <v>10.75</v>
          </cell>
          <cell r="L1695">
            <v>237.44</v>
          </cell>
          <cell r="O1695" t="str">
            <v>Y</v>
          </cell>
          <cell r="P1695" t="str">
            <v>N</v>
          </cell>
          <cell r="Q1695" t="str">
            <v>Short Term Sick</v>
          </cell>
          <cell r="S1695">
            <v>0.28999999999999998</v>
          </cell>
        </row>
        <row r="1696">
          <cell r="D1696">
            <v>1008003170</v>
          </cell>
          <cell r="E1696" t="str">
            <v>JASON WENT</v>
          </cell>
          <cell r="F1696" t="str">
            <v>D / 5 General (</v>
          </cell>
          <cell r="H1696" t="str">
            <v>Blue Arrow</v>
          </cell>
          <cell r="I1696">
            <v>0.83333333333333337</v>
          </cell>
          <cell r="J1696">
            <v>0.33333333333333331</v>
          </cell>
          <cell r="K1696">
            <v>11.3333333333333</v>
          </cell>
          <cell r="L1696">
            <v>248.7</v>
          </cell>
          <cell r="O1696" t="str">
            <v>Y</v>
          </cell>
          <cell r="P1696" t="str">
            <v>N</v>
          </cell>
          <cell r="Q1696" t="str">
            <v>Extra Capacity</v>
          </cell>
          <cell r="S1696">
            <v>0.3</v>
          </cell>
        </row>
        <row r="1697">
          <cell r="D1697">
            <v>1008004917</v>
          </cell>
          <cell r="E1697" t="str">
            <v>JESSICA BELLAMY</v>
          </cell>
          <cell r="F1697" t="str">
            <v>D (MD)</v>
          </cell>
          <cell r="G1697">
            <v>340112</v>
          </cell>
          <cell r="H1697" t="str">
            <v>Mayday</v>
          </cell>
          <cell r="I1697">
            <v>0.625</v>
          </cell>
          <cell r="J1697">
            <v>0.875</v>
          </cell>
          <cell r="K1697">
            <v>5.75</v>
          </cell>
          <cell r="L1697">
            <v>185.67</v>
          </cell>
          <cell r="O1697" t="str">
            <v>Y</v>
          </cell>
          <cell r="P1697" t="str">
            <v>N</v>
          </cell>
          <cell r="Q1697" t="str">
            <v>Short Term Sick</v>
          </cell>
          <cell r="S1697">
            <v>0.15</v>
          </cell>
        </row>
        <row r="1698">
          <cell r="D1698">
            <v>1008001107</v>
          </cell>
          <cell r="E1698" t="str">
            <v>JOHANNA HATUIKULIPI</v>
          </cell>
          <cell r="F1698" t="str">
            <v>D (MD)</v>
          </cell>
          <cell r="G1698">
            <v>338558</v>
          </cell>
          <cell r="H1698" t="str">
            <v>Mayday</v>
          </cell>
          <cell r="I1698">
            <v>0.5625</v>
          </cell>
          <cell r="J1698">
            <v>0.89583333333333337</v>
          </cell>
          <cell r="K1698">
            <v>7.6666666666666696</v>
          </cell>
          <cell r="L1698">
            <v>247.56</v>
          </cell>
          <cell r="O1698" t="str">
            <v>Y</v>
          </cell>
          <cell r="P1698" t="str">
            <v>N</v>
          </cell>
          <cell r="Q1698" t="str">
            <v>Annual Leave</v>
          </cell>
          <cell r="S1698">
            <v>0.2</v>
          </cell>
        </row>
        <row r="1699">
          <cell r="D1699">
            <v>1008003023</v>
          </cell>
          <cell r="E1699" t="str">
            <v>KAREN SHADWICK</v>
          </cell>
          <cell r="F1699" t="str">
            <v>D (Ch)</v>
          </cell>
          <cell r="G1699">
            <v>17012</v>
          </cell>
          <cell r="H1699" t="str">
            <v>Choice</v>
          </cell>
          <cell r="I1699">
            <v>0.84375</v>
          </cell>
          <cell r="J1699">
            <v>0.32291666666666669</v>
          </cell>
          <cell r="K1699">
            <v>11.1666666666667</v>
          </cell>
          <cell r="L1699">
            <v>353.77</v>
          </cell>
          <cell r="O1699" t="str">
            <v>Y</v>
          </cell>
          <cell r="P1699" t="str">
            <v>N</v>
          </cell>
          <cell r="Q1699" t="str">
            <v>Under Established</v>
          </cell>
          <cell r="S1699">
            <v>0.3</v>
          </cell>
        </row>
        <row r="1700">
          <cell r="D1700">
            <v>1008002745</v>
          </cell>
          <cell r="E1700" t="str">
            <v>KATIE KEAVENEY</v>
          </cell>
          <cell r="F1700" t="str">
            <v>D (MD)</v>
          </cell>
          <cell r="G1700">
            <v>337717</v>
          </cell>
          <cell r="H1700" t="str">
            <v>Mayday</v>
          </cell>
          <cell r="I1700">
            <v>0.32291666666666669</v>
          </cell>
          <cell r="J1700">
            <v>0.58333333333333337</v>
          </cell>
          <cell r="K1700">
            <v>5.9166666666666696</v>
          </cell>
          <cell r="L1700">
            <v>191.05</v>
          </cell>
          <cell r="O1700" t="str">
            <v>Y</v>
          </cell>
          <cell r="P1700" t="str">
            <v>N</v>
          </cell>
          <cell r="Q1700" t="str">
            <v>Vacancy</v>
          </cell>
          <cell r="S1700">
            <v>0.16</v>
          </cell>
        </row>
        <row r="1701">
          <cell r="D1701">
            <v>1008004641</v>
          </cell>
          <cell r="E1701" t="str">
            <v>MABEL MNISI</v>
          </cell>
          <cell r="F1701" t="str">
            <v>D (MD)</v>
          </cell>
          <cell r="G1701">
            <v>338560</v>
          </cell>
          <cell r="H1701" t="str">
            <v>Mayday</v>
          </cell>
          <cell r="I1701">
            <v>0.3125</v>
          </cell>
          <cell r="J1701">
            <v>0.85416666666666663</v>
          </cell>
          <cell r="K1701">
            <v>12.3333333333333</v>
          </cell>
          <cell r="L1701">
            <v>398.24</v>
          </cell>
          <cell r="O1701" t="str">
            <v>Y</v>
          </cell>
          <cell r="P1701" t="str">
            <v>N</v>
          </cell>
          <cell r="Q1701" t="str">
            <v>Extra Capacity</v>
          </cell>
          <cell r="S1701">
            <v>0.33</v>
          </cell>
        </row>
        <row r="1702">
          <cell r="D1702">
            <v>1008002641</v>
          </cell>
          <cell r="E1702" t="str">
            <v>MZUKISI SPEELMAN</v>
          </cell>
          <cell r="F1702" t="str">
            <v>A (Ch)</v>
          </cell>
          <cell r="G1702">
            <v>17009</v>
          </cell>
          <cell r="H1702" t="str">
            <v>Choice</v>
          </cell>
          <cell r="I1702">
            <v>0.3125</v>
          </cell>
          <cell r="J1702">
            <v>0.5625</v>
          </cell>
          <cell r="K1702">
            <v>5.6666666666666696</v>
          </cell>
          <cell r="L1702">
            <v>62.84</v>
          </cell>
          <cell r="O1702" t="str">
            <v>Y</v>
          </cell>
          <cell r="P1702" t="str">
            <v>N</v>
          </cell>
          <cell r="Q1702" t="str">
            <v>Under Established</v>
          </cell>
          <cell r="S1702">
            <v>0.15</v>
          </cell>
        </row>
        <row r="1703">
          <cell r="D1703">
            <v>908006650</v>
          </cell>
          <cell r="E1703" t="str">
            <v>PEGGY CHIRIKURE</v>
          </cell>
          <cell r="F1703" t="str">
            <v>D (Ch)</v>
          </cell>
          <cell r="G1703">
            <v>17007</v>
          </cell>
          <cell r="H1703" t="str">
            <v>Choice</v>
          </cell>
          <cell r="I1703">
            <v>0.3125</v>
          </cell>
          <cell r="J1703">
            <v>0.54166666666666663</v>
          </cell>
          <cell r="K1703">
            <v>5.5</v>
          </cell>
          <cell r="L1703">
            <v>134.03</v>
          </cell>
          <cell r="O1703" t="str">
            <v>Y</v>
          </cell>
          <cell r="P1703" t="str">
            <v>N</v>
          </cell>
          <cell r="Q1703" t="str">
            <v>Vacancy</v>
          </cell>
          <cell r="S1703">
            <v>0.15</v>
          </cell>
        </row>
        <row r="1704">
          <cell r="D1704">
            <v>908006659</v>
          </cell>
          <cell r="E1704" t="str">
            <v>PEGGY CHIRIKURE</v>
          </cell>
          <cell r="F1704" t="str">
            <v>D (Ch)</v>
          </cell>
          <cell r="G1704">
            <v>17007</v>
          </cell>
          <cell r="H1704" t="str">
            <v>Choice</v>
          </cell>
          <cell r="I1704">
            <v>0.625</v>
          </cell>
          <cell r="J1704">
            <v>0.85416666666666663</v>
          </cell>
          <cell r="K1704">
            <v>5.5</v>
          </cell>
          <cell r="L1704">
            <v>134.03</v>
          </cell>
          <cell r="O1704" t="str">
            <v>Y</v>
          </cell>
          <cell r="P1704" t="str">
            <v>N</v>
          </cell>
          <cell r="Q1704" t="str">
            <v>Extra Capacity</v>
          </cell>
          <cell r="S1704">
            <v>0.15</v>
          </cell>
        </row>
        <row r="1705">
          <cell r="D1705">
            <v>1008004840</v>
          </cell>
          <cell r="E1705" t="str">
            <v>PRICILLA SONO</v>
          </cell>
          <cell r="F1705" t="str">
            <v>D (MD)</v>
          </cell>
          <cell r="G1705">
            <v>337679</v>
          </cell>
          <cell r="H1705" t="str">
            <v>Mayday</v>
          </cell>
          <cell r="I1705">
            <v>0.3125</v>
          </cell>
          <cell r="J1705">
            <v>0.625</v>
          </cell>
          <cell r="K1705">
            <v>7.1666666666666696</v>
          </cell>
          <cell r="L1705">
            <v>231.41</v>
          </cell>
          <cell r="O1705" t="str">
            <v>Y</v>
          </cell>
          <cell r="P1705" t="str">
            <v>N</v>
          </cell>
          <cell r="Q1705" t="str">
            <v>Short Term Sick</v>
          </cell>
          <cell r="S1705">
            <v>0.19</v>
          </cell>
        </row>
        <row r="1706">
          <cell r="D1706">
            <v>1008004841</v>
          </cell>
          <cell r="E1706" t="str">
            <v>PRICILLA SONO</v>
          </cell>
          <cell r="F1706" t="str">
            <v>D (MD)</v>
          </cell>
          <cell r="G1706">
            <v>337679</v>
          </cell>
          <cell r="H1706" t="str">
            <v>Mayday</v>
          </cell>
          <cell r="I1706">
            <v>0.625</v>
          </cell>
          <cell r="J1706">
            <v>0.85416666666666663</v>
          </cell>
          <cell r="K1706">
            <v>5.5</v>
          </cell>
          <cell r="L1706">
            <v>177.59</v>
          </cell>
          <cell r="O1706" t="str">
            <v>Y</v>
          </cell>
          <cell r="P1706" t="str">
            <v>N</v>
          </cell>
          <cell r="Q1706" t="str">
            <v>Short Term Sick</v>
          </cell>
          <cell r="S1706">
            <v>0.15</v>
          </cell>
        </row>
        <row r="1707">
          <cell r="D1707">
            <v>1008003168</v>
          </cell>
          <cell r="E1707" t="str">
            <v>PRUDENCE MAJOZI</v>
          </cell>
          <cell r="F1707" t="str">
            <v>D (MD)</v>
          </cell>
          <cell r="G1707">
            <v>337662</v>
          </cell>
          <cell r="H1707" t="str">
            <v>Mayday</v>
          </cell>
          <cell r="I1707">
            <v>0.3125</v>
          </cell>
          <cell r="J1707">
            <v>0.625</v>
          </cell>
          <cell r="K1707">
            <v>7.1666666666666696</v>
          </cell>
          <cell r="L1707">
            <v>231.41</v>
          </cell>
          <cell r="O1707" t="str">
            <v>Y</v>
          </cell>
          <cell r="P1707" t="str">
            <v>N</v>
          </cell>
          <cell r="Q1707" t="str">
            <v>Extra Capacity</v>
          </cell>
          <cell r="S1707">
            <v>0.19</v>
          </cell>
        </row>
        <row r="1708">
          <cell r="D1708">
            <v>808004498</v>
          </cell>
          <cell r="E1708" t="str">
            <v>PURITY EHREUREICH</v>
          </cell>
          <cell r="F1708" t="str">
            <v>D (MD)</v>
          </cell>
          <cell r="G1708">
            <v>337708</v>
          </cell>
          <cell r="H1708" t="str">
            <v>Mayday</v>
          </cell>
          <cell r="I1708">
            <v>0.625</v>
          </cell>
          <cell r="J1708">
            <v>0.85416666666666663</v>
          </cell>
          <cell r="K1708">
            <v>5.5</v>
          </cell>
          <cell r="L1708">
            <v>177.59</v>
          </cell>
          <cell r="O1708" t="str">
            <v>Y</v>
          </cell>
          <cell r="P1708" t="str">
            <v>N</v>
          </cell>
          <cell r="Q1708" t="str">
            <v>Extra Capacity</v>
          </cell>
          <cell r="S1708">
            <v>0.15</v>
          </cell>
        </row>
        <row r="1709">
          <cell r="D1709">
            <v>1008005087</v>
          </cell>
          <cell r="E1709" t="str">
            <v>SAM KELEM</v>
          </cell>
          <cell r="F1709" t="str">
            <v>D (Ch)</v>
          </cell>
          <cell r="G1709">
            <v>17017</v>
          </cell>
          <cell r="H1709" t="str">
            <v>Choice</v>
          </cell>
          <cell r="I1709">
            <v>0.83333333333333337</v>
          </cell>
          <cell r="J1709">
            <v>0.33333333333333331</v>
          </cell>
          <cell r="K1709">
            <v>11.3333333333333</v>
          </cell>
          <cell r="L1709">
            <v>359.05</v>
          </cell>
          <cell r="O1709" t="str">
            <v>Y</v>
          </cell>
          <cell r="P1709" t="str">
            <v>N</v>
          </cell>
          <cell r="Q1709" t="str">
            <v>Extra Capacity</v>
          </cell>
          <cell r="S1709">
            <v>0.3</v>
          </cell>
        </row>
        <row r="1710">
          <cell r="D1710">
            <v>1008005025</v>
          </cell>
          <cell r="E1710" t="str">
            <v>SIPHIOISIWE NYONI</v>
          </cell>
          <cell r="F1710" t="str">
            <v>D (Amb)</v>
          </cell>
          <cell r="H1710" t="str">
            <v>Ambition</v>
          </cell>
          <cell r="I1710">
            <v>0.58333333333333337</v>
          </cell>
          <cell r="J1710">
            <v>0.89583333333333337</v>
          </cell>
          <cell r="K1710">
            <v>7.1666666666666696</v>
          </cell>
          <cell r="L1710">
            <v>280.22000000000003</v>
          </cell>
          <cell r="O1710" t="str">
            <v>Y</v>
          </cell>
          <cell r="P1710" t="str">
            <v>N</v>
          </cell>
          <cell r="Q1710" t="str">
            <v>Short Term Sick</v>
          </cell>
          <cell r="S1710">
            <v>0.19</v>
          </cell>
        </row>
        <row r="1711">
          <cell r="D1711">
            <v>1008001211</v>
          </cell>
          <cell r="E1711" t="str">
            <v>TARA MASSIE</v>
          </cell>
          <cell r="F1711" t="str">
            <v>D (MD)</v>
          </cell>
          <cell r="G1711">
            <v>338559</v>
          </cell>
          <cell r="H1711" t="str">
            <v>Mayday</v>
          </cell>
          <cell r="I1711">
            <v>0.3125</v>
          </cell>
          <cell r="J1711">
            <v>0.5625</v>
          </cell>
          <cell r="K1711">
            <v>5.6666666666666696</v>
          </cell>
          <cell r="L1711">
            <v>182.98</v>
          </cell>
          <cell r="O1711" t="str">
            <v>Y</v>
          </cell>
          <cell r="P1711" t="str">
            <v>N</v>
          </cell>
          <cell r="Q1711" t="str">
            <v>Under Established</v>
          </cell>
          <cell r="S1711">
            <v>0.15</v>
          </cell>
        </row>
        <row r="1712">
          <cell r="D1712">
            <v>1008003671</v>
          </cell>
          <cell r="E1712" t="str">
            <v>ALEX TYLER</v>
          </cell>
          <cell r="F1712" t="str">
            <v>A/2 (PS)</v>
          </cell>
          <cell r="H1712" t="str">
            <v>Pinnacle Staffing</v>
          </cell>
          <cell r="I1712">
            <v>0.3125</v>
          </cell>
          <cell r="J1712">
            <v>0.5625</v>
          </cell>
          <cell r="K1712">
            <v>5.6666666666666696</v>
          </cell>
          <cell r="L1712">
            <v>53.15</v>
          </cell>
          <cell r="O1712" t="str">
            <v>Y</v>
          </cell>
          <cell r="P1712" t="str">
            <v>N</v>
          </cell>
          <cell r="Q1712" t="str">
            <v>Under Established</v>
          </cell>
          <cell r="S1712">
            <v>0.15</v>
          </cell>
        </row>
        <row r="1713">
          <cell r="D1713">
            <v>1008003672</v>
          </cell>
          <cell r="E1713" t="str">
            <v>ALEX TYLER</v>
          </cell>
          <cell r="F1713" t="str">
            <v>A/2 (PS)</v>
          </cell>
          <cell r="H1713" t="str">
            <v>Pinnacle Staffing</v>
          </cell>
          <cell r="I1713">
            <v>0.5625</v>
          </cell>
          <cell r="J1713">
            <v>0.875</v>
          </cell>
          <cell r="K1713">
            <v>7.1666666666666696</v>
          </cell>
          <cell r="L1713">
            <v>67.22</v>
          </cell>
          <cell r="O1713" t="str">
            <v>Y</v>
          </cell>
          <cell r="P1713" t="str">
            <v>N</v>
          </cell>
          <cell r="Q1713" t="str">
            <v>Under Established</v>
          </cell>
          <cell r="S1713">
            <v>0.19</v>
          </cell>
        </row>
        <row r="1714">
          <cell r="D1714">
            <v>1008001941</v>
          </cell>
          <cell r="E1714" t="str">
            <v>ANNA BONNERUP</v>
          </cell>
          <cell r="F1714" t="str">
            <v>D / 5 General (</v>
          </cell>
          <cell r="G1714" t="str">
            <v>604-153910</v>
          </cell>
          <cell r="H1714" t="str">
            <v>Blue Arrow</v>
          </cell>
          <cell r="I1714">
            <v>0.625</v>
          </cell>
          <cell r="J1714">
            <v>0.85416666666666663</v>
          </cell>
          <cell r="K1714">
            <v>5.5</v>
          </cell>
          <cell r="L1714">
            <v>92.84</v>
          </cell>
          <cell r="O1714" t="str">
            <v>Y</v>
          </cell>
          <cell r="P1714" t="str">
            <v>N</v>
          </cell>
          <cell r="Q1714" t="str">
            <v>Vacancy</v>
          </cell>
          <cell r="S1714">
            <v>0.15</v>
          </cell>
        </row>
        <row r="1715">
          <cell r="D1715">
            <v>808004386</v>
          </cell>
          <cell r="E1715" t="str">
            <v>ATINUKE OKE-OLATUNDE</v>
          </cell>
          <cell r="F1715" t="str">
            <v>D (MD)</v>
          </cell>
          <cell r="G1715">
            <v>341985</v>
          </cell>
          <cell r="H1715" t="str">
            <v>Mayday</v>
          </cell>
          <cell r="I1715">
            <v>0.83333333333333337</v>
          </cell>
          <cell r="J1715">
            <v>0.33333333333333331</v>
          </cell>
          <cell r="K1715">
            <v>11.3333333333333</v>
          </cell>
          <cell r="L1715">
            <v>475.74</v>
          </cell>
          <cell r="O1715" t="str">
            <v>Y</v>
          </cell>
          <cell r="P1715" t="str">
            <v>N</v>
          </cell>
          <cell r="Q1715" t="str">
            <v>Extra Capacity</v>
          </cell>
          <cell r="S1715">
            <v>0.3</v>
          </cell>
        </row>
        <row r="1716">
          <cell r="D1716">
            <v>808004379</v>
          </cell>
          <cell r="E1716" t="str">
            <v>BEAUTY NGIDI</v>
          </cell>
          <cell r="F1716" t="str">
            <v>D (MD)</v>
          </cell>
          <cell r="G1716">
            <v>337688</v>
          </cell>
          <cell r="H1716" t="str">
            <v>Mayday</v>
          </cell>
          <cell r="I1716">
            <v>0.83333333333333337</v>
          </cell>
          <cell r="J1716">
            <v>0.33333333333333331</v>
          </cell>
          <cell r="K1716">
            <v>11.3333333333333</v>
          </cell>
          <cell r="L1716">
            <v>475.74</v>
          </cell>
          <cell r="O1716" t="str">
            <v>Y</v>
          </cell>
          <cell r="P1716" t="str">
            <v>N</v>
          </cell>
          <cell r="Q1716" t="str">
            <v>Extra Capacity</v>
          </cell>
          <cell r="S1716">
            <v>0.3</v>
          </cell>
        </row>
        <row r="1717">
          <cell r="D1717">
            <v>808004331</v>
          </cell>
          <cell r="E1717" t="str">
            <v>BRIGHTNESS NDEBELE</v>
          </cell>
          <cell r="F1717" t="str">
            <v>D (MD)</v>
          </cell>
          <cell r="G1717">
            <v>337707</v>
          </cell>
          <cell r="H1717" t="str">
            <v>Mayday</v>
          </cell>
          <cell r="I1717">
            <v>0.3125</v>
          </cell>
          <cell r="J1717">
            <v>0.58333333333333337</v>
          </cell>
          <cell r="K1717">
            <v>6.1666666666666696</v>
          </cell>
          <cell r="L1717">
            <v>199.12</v>
          </cell>
          <cell r="O1717" t="str">
            <v>Y</v>
          </cell>
          <cell r="P1717" t="str">
            <v>N</v>
          </cell>
          <cell r="Q1717" t="str">
            <v>Extra Capacity</v>
          </cell>
          <cell r="S1717">
            <v>0.16</v>
          </cell>
        </row>
        <row r="1718">
          <cell r="D1718">
            <v>808004365</v>
          </cell>
          <cell r="E1718" t="str">
            <v>BRIGHTNESS NDEBELE</v>
          </cell>
          <cell r="F1718" t="str">
            <v>D (MD)</v>
          </cell>
          <cell r="G1718">
            <v>337707</v>
          </cell>
          <cell r="H1718" t="str">
            <v>Mayday</v>
          </cell>
          <cell r="I1718">
            <v>0.625</v>
          </cell>
          <cell r="J1718">
            <v>0.85416666666666663</v>
          </cell>
          <cell r="K1718">
            <v>5.5</v>
          </cell>
          <cell r="L1718">
            <v>177.59</v>
          </cell>
          <cell r="O1718" t="str">
            <v>Y</v>
          </cell>
          <cell r="P1718" t="str">
            <v>N</v>
          </cell>
          <cell r="Q1718" t="str">
            <v>Extra Capacity</v>
          </cell>
          <cell r="S1718">
            <v>0.15</v>
          </cell>
        </row>
        <row r="1719">
          <cell r="D1719">
            <v>908003765</v>
          </cell>
          <cell r="E1719" t="str">
            <v>CHRIS STULAR</v>
          </cell>
          <cell r="F1719" t="str">
            <v>D General (Orio</v>
          </cell>
          <cell r="G1719">
            <v>17381</v>
          </cell>
          <cell r="H1719" t="str">
            <v>Orion</v>
          </cell>
          <cell r="I1719">
            <v>0.33333333333333331</v>
          </cell>
          <cell r="J1719">
            <v>0.75</v>
          </cell>
          <cell r="K1719">
            <v>9.5</v>
          </cell>
          <cell r="L1719">
            <v>172.14</v>
          </cell>
          <cell r="O1719" t="str">
            <v>Y</v>
          </cell>
          <cell r="P1719" t="str">
            <v>N</v>
          </cell>
          <cell r="Q1719" t="str">
            <v>Vacancy</v>
          </cell>
          <cell r="S1719">
            <v>0.25</v>
          </cell>
        </row>
        <row r="1720">
          <cell r="D1720">
            <v>1008005355</v>
          </cell>
          <cell r="E1720" t="str">
            <v>CYNTHIA DELMO</v>
          </cell>
          <cell r="F1720" t="str">
            <v>D (Ch)</v>
          </cell>
          <cell r="G1720">
            <v>17030</v>
          </cell>
          <cell r="H1720" t="str">
            <v>Choice</v>
          </cell>
          <cell r="I1720">
            <v>0.8125</v>
          </cell>
          <cell r="J1720">
            <v>0.33333333333333331</v>
          </cell>
          <cell r="K1720">
            <v>11.8333333333333</v>
          </cell>
          <cell r="L1720">
            <v>374.89</v>
          </cell>
          <cell r="O1720" t="str">
            <v>Y</v>
          </cell>
          <cell r="P1720" t="str">
            <v>N</v>
          </cell>
          <cell r="Q1720" t="str">
            <v>Short Term Sick</v>
          </cell>
          <cell r="S1720">
            <v>0.32</v>
          </cell>
        </row>
        <row r="1721">
          <cell r="D1721">
            <v>1008004844</v>
          </cell>
          <cell r="E1721" t="str">
            <v>DEBBIE HARRIS</v>
          </cell>
          <cell r="F1721" t="str">
            <v>D (MD)</v>
          </cell>
          <cell r="G1721">
            <v>337726</v>
          </cell>
          <cell r="H1721" t="str">
            <v>Mayday</v>
          </cell>
          <cell r="I1721">
            <v>0.3125</v>
          </cell>
          <cell r="J1721">
            <v>0.83333333333333337</v>
          </cell>
          <cell r="K1721">
            <v>11.8333333333333</v>
          </cell>
          <cell r="L1721">
            <v>382.1</v>
          </cell>
          <cell r="O1721" t="str">
            <v>Y</v>
          </cell>
          <cell r="P1721" t="str">
            <v>N</v>
          </cell>
          <cell r="Q1721" t="str">
            <v>Short Term Sick</v>
          </cell>
          <cell r="S1721">
            <v>0.32</v>
          </cell>
        </row>
        <row r="1722">
          <cell r="D1722">
            <v>1008001110</v>
          </cell>
          <cell r="E1722" t="str">
            <v>DIGRACIA  NAPE</v>
          </cell>
          <cell r="F1722" t="str">
            <v>D (MD)</v>
          </cell>
          <cell r="G1722">
            <v>338554</v>
          </cell>
          <cell r="H1722" t="str">
            <v>Mayday</v>
          </cell>
          <cell r="I1722">
            <v>0.3125</v>
          </cell>
          <cell r="J1722">
            <v>0.5625</v>
          </cell>
          <cell r="K1722">
            <v>5.6666666666666696</v>
          </cell>
          <cell r="L1722">
            <v>182.98</v>
          </cell>
          <cell r="O1722" t="str">
            <v>Y</v>
          </cell>
          <cell r="P1722" t="str">
            <v>N</v>
          </cell>
          <cell r="Q1722" t="str">
            <v>Annual Leave</v>
          </cell>
          <cell r="S1722">
            <v>0.15</v>
          </cell>
        </row>
        <row r="1723">
          <cell r="D1723">
            <v>1008001113</v>
          </cell>
          <cell r="E1723" t="str">
            <v>DIGRACIA  NAPE</v>
          </cell>
          <cell r="F1723" t="str">
            <v>D (MD)</v>
          </cell>
          <cell r="G1723">
            <v>338554</v>
          </cell>
          <cell r="H1723" t="str">
            <v>Mayday</v>
          </cell>
          <cell r="I1723">
            <v>0.5625</v>
          </cell>
          <cell r="J1723">
            <v>0.89583333333333337</v>
          </cell>
          <cell r="K1723">
            <v>7.6666666666666696</v>
          </cell>
          <cell r="L1723">
            <v>247.56</v>
          </cell>
          <cell r="O1723" t="str">
            <v>Y</v>
          </cell>
          <cell r="P1723" t="str">
            <v>N</v>
          </cell>
          <cell r="Q1723" t="str">
            <v>Annual Leave</v>
          </cell>
          <cell r="S1723">
            <v>0.2</v>
          </cell>
        </row>
        <row r="1724">
          <cell r="D1724">
            <v>908003827</v>
          </cell>
          <cell r="E1724" t="str">
            <v>JAKE BROOKES</v>
          </cell>
          <cell r="F1724" t="str">
            <v>D General (Orio</v>
          </cell>
          <cell r="G1724">
            <v>17522</v>
          </cell>
          <cell r="H1724" t="str">
            <v>Orion</v>
          </cell>
          <cell r="I1724">
            <v>0.33333333333333331</v>
          </cell>
          <cell r="J1724">
            <v>0.75</v>
          </cell>
          <cell r="K1724">
            <v>9.5</v>
          </cell>
          <cell r="L1724">
            <v>172.14</v>
          </cell>
          <cell r="O1724" t="str">
            <v>Y</v>
          </cell>
          <cell r="P1724" t="str">
            <v>N</v>
          </cell>
          <cell r="Q1724" t="str">
            <v>Vacancy</v>
          </cell>
          <cell r="S1724">
            <v>0.25</v>
          </cell>
        </row>
        <row r="1725">
          <cell r="D1725">
            <v>1008005083</v>
          </cell>
          <cell r="E1725" t="str">
            <v>JAMES MCCLEMENTS</v>
          </cell>
          <cell r="F1725" t="str">
            <v>D (MD)</v>
          </cell>
          <cell r="G1725">
            <v>337399</v>
          </cell>
          <cell r="H1725" t="str">
            <v>Mayday</v>
          </cell>
          <cell r="I1725">
            <v>0.3125</v>
          </cell>
          <cell r="J1725">
            <v>0.64583333333333337</v>
          </cell>
          <cell r="K1725">
            <v>11.75</v>
          </cell>
          <cell r="L1725">
            <v>379.41</v>
          </cell>
          <cell r="O1725" t="str">
            <v>Y</v>
          </cell>
          <cell r="P1725" t="str">
            <v>N</v>
          </cell>
          <cell r="Q1725" t="str">
            <v>Under Established</v>
          </cell>
          <cell r="S1725">
            <v>0.31</v>
          </cell>
        </row>
        <row r="1726">
          <cell r="D1726">
            <v>1008005354</v>
          </cell>
          <cell r="E1726" t="str">
            <v>JASMINE ESGUERRA</v>
          </cell>
          <cell r="F1726" t="str">
            <v>D (Ch)</v>
          </cell>
          <cell r="G1726">
            <v>17023</v>
          </cell>
          <cell r="H1726" t="str">
            <v>Choice</v>
          </cell>
          <cell r="I1726">
            <v>0.8125</v>
          </cell>
          <cell r="J1726">
            <v>0.33333333333333331</v>
          </cell>
          <cell r="K1726">
            <v>11.8333333333333</v>
          </cell>
          <cell r="L1726">
            <v>374.89</v>
          </cell>
          <cell r="O1726" t="str">
            <v>Y</v>
          </cell>
          <cell r="P1726" t="str">
            <v>N</v>
          </cell>
          <cell r="Q1726" t="str">
            <v>Short Term Sick</v>
          </cell>
          <cell r="S1726">
            <v>0.32</v>
          </cell>
        </row>
        <row r="1727">
          <cell r="D1727">
            <v>1008003173</v>
          </cell>
          <cell r="E1727" t="str">
            <v>JASON WENT</v>
          </cell>
          <cell r="F1727" t="str">
            <v>D / 5 General (</v>
          </cell>
          <cell r="G1727" t="str">
            <v>604-153911</v>
          </cell>
          <cell r="H1727" t="str">
            <v>Blue Arrow</v>
          </cell>
          <cell r="I1727">
            <v>0.83333333333333337</v>
          </cell>
          <cell r="J1727">
            <v>0.33333333333333331</v>
          </cell>
          <cell r="K1727">
            <v>11.3333333333333</v>
          </cell>
          <cell r="L1727">
            <v>248.7</v>
          </cell>
          <cell r="O1727" t="str">
            <v>Y</v>
          </cell>
          <cell r="P1727" t="str">
            <v>N</v>
          </cell>
          <cell r="Q1727" t="str">
            <v>Extra Capacity</v>
          </cell>
          <cell r="S1727">
            <v>0.3</v>
          </cell>
        </row>
        <row r="1728">
          <cell r="D1728">
            <v>1008002658</v>
          </cell>
          <cell r="E1728" t="str">
            <v>JEAN NGONA</v>
          </cell>
          <cell r="F1728" t="str">
            <v>D (MD)</v>
          </cell>
          <cell r="G1728">
            <v>342003</v>
          </cell>
          <cell r="H1728" t="str">
            <v>Mayday</v>
          </cell>
          <cell r="I1728">
            <v>0.29166666666666669</v>
          </cell>
          <cell r="J1728">
            <v>0.625</v>
          </cell>
          <cell r="K1728">
            <v>7.5</v>
          </cell>
          <cell r="L1728">
            <v>242.17</v>
          </cell>
          <cell r="O1728" t="str">
            <v>Y</v>
          </cell>
          <cell r="P1728" t="str">
            <v>N</v>
          </cell>
          <cell r="Q1728" t="str">
            <v>Extra Capacity</v>
          </cell>
          <cell r="S1728">
            <v>0.2</v>
          </cell>
        </row>
        <row r="1729">
          <cell r="D1729">
            <v>1008001939</v>
          </cell>
          <cell r="E1729" t="str">
            <v>JOANNE BUSS</v>
          </cell>
          <cell r="F1729" t="str">
            <v>D (MD)</v>
          </cell>
          <cell r="G1729">
            <v>337395</v>
          </cell>
          <cell r="H1729" t="str">
            <v>Mayday</v>
          </cell>
          <cell r="I1729">
            <v>0.3125</v>
          </cell>
          <cell r="J1729">
            <v>0.54166666666666663</v>
          </cell>
          <cell r="K1729">
            <v>5.5</v>
          </cell>
          <cell r="L1729">
            <v>177.59</v>
          </cell>
          <cell r="O1729" t="str">
            <v>Y</v>
          </cell>
          <cell r="P1729" t="str">
            <v>N</v>
          </cell>
          <cell r="Q1729" t="str">
            <v>Vacancy</v>
          </cell>
          <cell r="S1729">
            <v>0.15</v>
          </cell>
        </row>
        <row r="1730">
          <cell r="D1730">
            <v>1008001940</v>
          </cell>
          <cell r="E1730" t="str">
            <v>JOANNE BUSS</v>
          </cell>
          <cell r="F1730" t="str">
            <v>D (MD)</v>
          </cell>
          <cell r="G1730">
            <v>337395</v>
          </cell>
          <cell r="H1730" t="str">
            <v>Mayday</v>
          </cell>
          <cell r="I1730">
            <v>0.625</v>
          </cell>
          <cell r="J1730">
            <v>0.85416666666666663</v>
          </cell>
          <cell r="K1730">
            <v>5.5</v>
          </cell>
          <cell r="L1730">
            <v>177.59</v>
          </cell>
          <cell r="O1730" t="str">
            <v>Y</v>
          </cell>
          <cell r="P1730" t="str">
            <v>N</v>
          </cell>
          <cell r="Q1730" t="str">
            <v>Vacancy</v>
          </cell>
          <cell r="S1730">
            <v>0.15</v>
          </cell>
        </row>
        <row r="1731">
          <cell r="D1731">
            <v>1008005088</v>
          </cell>
          <cell r="E1731" t="str">
            <v>JOHANNA HATUIKULIPI</v>
          </cell>
          <cell r="F1731" t="str">
            <v>D (MD)</v>
          </cell>
          <cell r="G1731">
            <v>338557</v>
          </cell>
          <cell r="H1731" t="str">
            <v>Mayday</v>
          </cell>
          <cell r="I1731">
            <v>0.3125</v>
          </cell>
          <cell r="J1731">
            <v>0.625</v>
          </cell>
          <cell r="K1731">
            <v>7.1666666666666696</v>
          </cell>
          <cell r="L1731">
            <v>231.41</v>
          </cell>
          <cell r="O1731" t="str">
            <v>Y</v>
          </cell>
          <cell r="P1731" t="str">
            <v>N</v>
          </cell>
          <cell r="Q1731" t="str">
            <v>Extra Capacity</v>
          </cell>
          <cell r="S1731">
            <v>0.19</v>
          </cell>
        </row>
        <row r="1732">
          <cell r="D1732">
            <v>1008005090</v>
          </cell>
          <cell r="E1732" t="str">
            <v>JOHANNA HATUIKULIPI</v>
          </cell>
          <cell r="F1732" t="str">
            <v>D (MD)</v>
          </cell>
          <cell r="G1732">
            <v>338557</v>
          </cell>
          <cell r="H1732" t="str">
            <v>Mayday</v>
          </cell>
          <cell r="I1732">
            <v>0.625</v>
          </cell>
          <cell r="J1732">
            <v>0.85416666666666663</v>
          </cell>
          <cell r="K1732">
            <v>5.5</v>
          </cell>
          <cell r="L1732">
            <v>177.59</v>
          </cell>
          <cell r="O1732" t="str">
            <v>Y</v>
          </cell>
          <cell r="P1732" t="str">
            <v>N</v>
          </cell>
          <cell r="Q1732" t="str">
            <v>Extra Capacity</v>
          </cell>
          <cell r="S1732">
            <v>0.15</v>
          </cell>
        </row>
        <row r="1733">
          <cell r="D1733">
            <v>1008003150</v>
          </cell>
          <cell r="E1733" t="str">
            <v>KERRI GALLOWAY</v>
          </cell>
          <cell r="F1733" t="str">
            <v>D (MD)</v>
          </cell>
          <cell r="G1733">
            <v>337719</v>
          </cell>
          <cell r="H1733" t="str">
            <v>Mayday</v>
          </cell>
          <cell r="I1733">
            <v>0.58333333333333337</v>
          </cell>
          <cell r="J1733">
            <v>0.875</v>
          </cell>
          <cell r="K1733">
            <v>7</v>
          </cell>
          <cell r="L1733">
            <v>226.03</v>
          </cell>
          <cell r="O1733" t="str">
            <v>Y</v>
          </cell>
          <cell r="P1733" t="str">
            <v>N</v>
          </cell>
          <cell r="Q1733" t="str">
            <v>Short Term Sick</v>
          </cell>
          <cell r="S1733">
            <v>0.19</v>
          </cell>
        </row>
        <row r="1734">
          <cell r="D1734">
            <v>1008004861</v>
          </cell>
          <cell r="E1734" t="str">
            <v>MIHAELA CHIRIBAU</v>
          </cell>
          <cell r="F1734" t="str">
            <v>D (Amb)</v>
          </cell>
          <cell r="G1734">
            <v>753698</v>
          </cell>
          <cell r="H1734" t="str">
            <v>Ambition</v>
          </cell>
          <cell r="I1734">
            <v>0.58333333333333337</v>
          </cell>
          <cell r="J1734">
            <v>0.83333333333333337</v>
          </cell>
          <cell r="K1734">
            <v>5.6666666666666696</v>
          </cell>
          <cell r="L1734">
            <v>221.57</v>
          </cell>
          <cell r="O1734" t="str">
            <v>Y</v>
          </cell>
          <cell r="P1734" t="str">
            <v>N</v>
          </cell>
          <cell r="Q1734" t="str">
            <v>Short Term Sick</v>
          </cell>
          <cell r="S1734">
            <v>0.15</v>
          </cell>
        </row>
        <row r="1735">
          <cell r="D1735">
            <v>1008005089</v>
          </cell>
          <cell r="E1735" t="str">
            <v>MZUKISI SPEELMAN</v>
          </cell>
          <cell r="F1735" t="str">
            <v>A (Ch)</v>
          </cell>
          <cell r="G1735">
            <v>17017</v>
          </cell>
          <cell r="H1735" t="str">
            <v>Choice</v>
          </cell>
          <cell r="I1735">
            <v>0.3125</v>
          </cell>
          <cell r="J1735">
            <v>0.625</v>
          </cell>
          <cell r="K1735">
            <v>7.1666666666666696</v>
          </cell>
          <cell r="L1735">
            <v>79.48</v>
          </cell>
          <cell r="O1735" t="str">
            <v>Y</v>
          </cell>
          <cell r="P1735" t="str">
            <v>N</v>
          </cell>
          <cell r="Q1735" t="str">
            <v>Extra Capacity</v>
          </cell>
          <cell r="S1735">
            <v>0.19</v>
          </cell>
        </row>
        <row r="1736">
          <cell r="D1736">
            <v>1008005091</v>
          </cell>
          <cell r="E1736" t="str">
            <v>MZUKISI SPEELMAN</v>
          </cell>
          <cell r="F1736" t="str">
            <v>A (Ch)</v>
          </cell>
          <cell r="G1736">
            <v>17017</v>
          </cell>
          <cell r="H1736" t="str">
            <v>Choice</v>
          </cell>
          <cell r="I1736">
            <v>0.625</v>
          </cell>
          <cell r="J1736">
            <v>0.85416666666666663</v>
          </cell>
          <cell r="K1736">
            <v>5.5</v>
          </cell>
          <cell r="L1736">
            <v>60.99</v>
          </cell>
          <cell r="O1736" t="str">
            <v>Y</v>
          </cell>
          <cell r="P1736" t="str">
            <v>N</v>
          </cell>
          <cell r="Q1736" t="str">
            <v>Extra Capacity</v>
          </cell>
          <cell r="S1736">
            <v>0.15</v>
          </cell>
        </row>
        <row r="1737">
          <cell r="D1737">
            <v>1008004925</v>
          </cell>
          <cell r="E1737" t="str">
            <v>NILO DANUGO</v>
          </cell>
          <cell r="F1737" t="str">
            <v>D (Ch)</v>
          </cell>
          <cell r="H1737" t="str">
            <v>Choice</v>
          </cell>
          <cell r="I1737">
            <v>0.84375</v>
          </cell>
          <cell r="J1737">
            <v>0.33333333333333331</v>
          </cell>
          <cell r="K1737">
            <v>10.75</v>
          </cell>
          <cell r="L1737">
            <v>340.57</v>
          </cell>
          <cell r="O1737" t="str">
            <v>Y</v>
          </cell>
          <cell r="P1737" t="str">
            <v>N</v>
          </cell>
          <cell r="Q1737" t="str">
            <v>Short Term Sick</v>
          </cell>
          <cell r="S1737">
            <v>0.28999999999999998</v>
          </cell>
        </row>
        <row r="1738">
          <cell r="D1738">
            <v>1008006152</v>
          </cell>
          <cell r="E1738" t="str">
            <v>OMAR SENGHORE</v>
          </cell>
          <cell r="F1738" t="str">
            <v>D (MD)</v>
          </cell>
          <cell r="G1738">
            <v>339843</v>
          </cell>
          <cell r="H1738" t="str">
            <v>Mayday</v>
          </cell>
          <cell r="I1738">
            <v>0.875</v>
          </cell>
          <cell r="J1738">
            <v>0.32291666666666669</v>
          </cell>
          <cell r="K1738">
            <v>10</v>
          </cell>
          <cell r="L1738">
            <v>419.77</v>
          </cell>
          <cell r="O1738" t="str">
            <v>Y</v>
          </cell>
          <cell r="P1738" t="str">
            <v>N</v>
          </cell>
          <cell r="Q1738" t="str">
            <v>Specials</v>
          </cell>
          <cell r="S1738">
            <v>0.27</v>
          </cell>
        </row>
        <row r="1739">
          <cell r="D1739">
            <v>1008001108</v>
          </cell>
          <cell r="E1739" t="str">
            <v>PEGGY CHIRIKURE</v>
          </cell>
          <cell r="F1739" t="str">
            <v>D (Ch)</v>
          </cell>
          <cell r="H1739" t="str">
            <v>Choice</v>
          </cell>
          <cell r="I1739">
            <v>0.3125</v>
          </cell>
          <cell r="J1739">
            <v>0.5625</v>
          </cell>
          <cell r="K1739">
            <v>5.6666666666666696</v>
          </cell>
          <cell r="L1739">
            <v>138.1</v>
          </cell>
          <cell r="O1739" t="str">
            <v>Y</v>
          </cell>
          <cell r="P1739" t="str">
            <v>N</v>
          </cell>
          <cell r="Q1739" t="str">
            <v>Annual Leave</v>
          </cell>
          <cell r="S1739">
            <v>0.15</v>
          </cell>
        </row>
        <row r="1740">
          <cell r="D1740">
            <v>1008001111</v>
          </cell>
          <cell r="E1740" t="str">
            <v>PEGGY CHIRIKURE</v>
          </cell>
          <cell r="F1740" t="str">
            <v>D (Ch)</v>
          </cell>
          <cell r="H1740" t="str">
            <v>Choice</v>
          </cell>
          <cell r="I1740">
            <v>0.5625</v>
          </cell>
          <cell r="J1740">
            <v>0.89583333333333337</v>
          </cell>
          <cell r="K1740">
            <v>7.6666666666666696</v>
          </cell>
          <cell r="L1740">
            <v>186.84</v>
          </cell>
          <cell r="O1740" t="str">
            <v>Y</v>
          </cell>
          <cell r="P1740" t="str">
            <v>N</v>
          </cell>
          <cell r="Q1740" t="str">
            <v>Under Established</v>
          </cell>
          <cell r="S1740">
            <v>0.2</v>
          </cell>
        </row>
        <row r="1741">
          <cell r="D1741">
            <v>1008001109</v>
          </cell>
          <cell r="E1741" t="str">
            <v>PRUDENCE MAJOZI</v>
          </cell>
          <cell r="F1741" t="str">
            <v>D (MD)</v>
          </cell>
          <cell r="G1741">
            <v>337410</v>
          </cell>
          <cell r="H1741" t="str">
            <v>Mayday</v>
          </cell>
          <cell r="I1741">
            <v>0.3125</v>
          </cell>
          <cell r="J1741">
            <v>0.5625</v>
          </cell>
          <cell r="K1741">
            <v>5.6666666666666696</v>
          </cell>
          <cell r="L1741">
            <v>182.98</v>
          </cell>
          <cell r="O1741" t="str">
            <v>Y</v>
          </cell>
          <cell r="P1741" t="str">
            <v>N</v>
          </cell>
          <cell r="Q1741" t="str">
            <v>Annual Leave</v>
          </cell>
          <cell r="S1741">
            <v>0.15</v>
          </cell>
        </row>
        <row r="1742">
          <cell r="D1742">
            <v>1008001112</v>
          </cell>
          <cell r="E1742" t="str">
            <v>PRUDENCE MAJOZI</v>
          </cell>
          <cell r="F1742" t="str">
            <v>D (MD)</v>
          </cell>
          <cell r="G1742">
            <v>337410</v>
          </cell>
          <cell r="H1742" t="str">
            <v>Mayday</v>
          </cell>
          <cell r="I1742">
            <v>0.5625</v>
          </cell>
          <cell r="J1742">
            <v>0.89583333333333337</v>
          </cell>
          <cell r="K1742">
            <v>7.6666666666666696</v>
          </cell>
          <cell r="L1742">
            <v>247.56</v>
          </cell>
          <cell r="O1742" t="str">
            <v>Y</v>
          </cell>
          <cell r="P1742" t="str">
            <v>N</v>
          </cell>
          <cell r="Q1742" t="str">
            <v>Under Established</v>
          </cell>
          <cell r="S1742">
            <v>0.2</v>
          </cell>
        </row>
        <row r="1743">
          <cell r="D1743">
            <v>1008000519</v>
          </cell>
          <cell r="E1743" t="str">
            <v>RACHEL OBERDOFF</v>
          </cell>
          <cell r="F1743" t="str">
            <v>D (MD)</v>
          </cell>
          <cell r="G1743">
            <v>339011</v>
          </cell>
          <cell r="H1743" t="str">
            <v>Mayday</v>
          </cell>
          <cell r="I1743">
            <v>0.54166666666666663</v>
          </cell>
          <cell r="J1743">
            <v>0.85416666666666663</v>
          </cell>
          <cell r="K1743">
            <v>7.1666666666666696</v>
          </cell>
          <cell r="L1743">
            <v>231.41</v>
          </cell>
          <cell r="O1743" t="str">
            <v>Y</v>
          </cell>
          <cell r="P1743" t="str">
            <v>N</v>
          </cell>
          <cell r="Q1743" t="str">
            <v>Vacancy</v>
          </cell>
          <cell r="S1743">
            <v>0.19</v>
          </cell>
        </row>
        <row r="1744">
          <cell r="D1744">
            <v>1008003174</v>
          </cell>
          <cell r="E1744" t="str">
            <v>RODA RAMERIZ</v>
          </cell>
          <cell r="F1744" t="str">
            <v>D (Ch)</v>
          </cell>
          <cell r="G1744">
            <v>17027</v>
          </cell>
          <cell r="H1744" t="str">
            <v>Choice</v>
          </cell>
          <cell r="I1744">
            <v>0.83333333333333337</v>
          </cell>
          <cell r="J1744">
            <v>0.33333333333333331</v>
          </cell>
          <cell r="K1744">
            <v>11.3333333333333</v>
          </cell>
          <cell r="L1744">
            <v>359.05</v>
          </cell>
          <cell r="O1744" t="str">
            <v>Y</v>
          </cell>
          <cell r="P1744" t="str">
            <v>N</v>
          </cell>
          <cell r="Q1744" t="str">
            <v>Extra Capacity</v>
          </cell>
          <cell r="S1744">
            <v>0.3</v>
          </cell>
        </row>
        <row r="1745">
          <cell r="D1745">
            <v>1008005548</v>
          </cell>
          <cell r="E1745" t="str">
            <v>SAM KELEM</v>
          </cell>
          <cell r="F1745" t="str">
            <v>D (Ch)</v>
          </cell>
          <cell r="G1745">
            <v>17020</v>
          </cell>
          <cell r="H1745" t="str">
            <v>Choice</v>
          </cell>
          <cell r="I1745">
            <v>0.83333333333333337</v>
          </cell>
          <cell r="J1745">
            <v>0.33333333333333331</v>
          </cell>
          <cell r="K1745">
            <v>11.3333333333333</v>
          </cell>
          <cell r="L1745">
            <v>359.05</v>
          </cell>
          <cell r="O1745" t="str">
            <v>Y</v>
          </cell>
          <cell r="P1745" t="str">
            <v>N</v>
          </cell>
          <cell r="Q1745" t="str">
            <v>Extra Capacity</v>
          </cell>
          <cell r="S1745">
            <v>0.3</v>
          </cell>
        </row>
        <row r="1746">
          <cell r="D1746">
            <v>1008004223</v>
          </cell>
          <cell r="E1746" t="str">
            <v>TAMBU JENA</v>
          </cell>
          <cell r="F1746" t="str">
            <v>D (Ch)</v>
          </cell>
          <cell r="G1746">
            <v>17005</v>
          </cell>
          <cell r="H1746" t="str">
            <v>Choice</v>
          </cell>
          <cell r="I1746">
            <v>0.5625</v>
          </cell>
          <cell r="J1746">
            <v>0.89583333333333337</v>
          </cell>
          <cell r="K1746">
            <v>7.5</v>
          </cell>
          <cell r="L1746">
            <v>182.78</v>
          </cell>
          <cell r="O1746" t="str">
            <v>Y</v>
          </cell>
          <cell r="P1746" t="str">
            <v>N</v>
          </cell>
          <cell r="Q1746" t="str">
            <v>Under Established</v>
          </cell>
          <cell r="S1746">
            <v>0.2</v>
          </cell>
        </row>
        <row r="1747">
          <cell r="D1747">
            <v>1008004860</v>
          </cell>
          <cell r="E1747" t="str">
            <v>TAMBU JENA</v>
          </cell>
          <cell r="F1747" t="str">
            <v>D (Ch)</v>
          </cell>
          <cell r="G1747">
            <v>17021</v>
          </cell>
          <cell r="H1747" t="str">
            <v>Choice</v>
          </cell>
          <cell r="I1747">
            <v>0.32291666666666669</v>
          </cell>
          <cell r="J1747">
            <v>0.5625</v>
          </cell>
          <cell r="K1747">
            <v>5.75</v>
          </cell>
          <cell r="L1747">
            <v>140.13</v>
          </cell>
          <cell r="O1747" t="str">
            <v>Y</v>
          </cell>
          <cell r="P1747" t="str">
            <v>N</v>
          </cell>
          <cell r="Q1747" t="str">
            <v>Short Term Sick</v>
          </cell>
          <cell r="S1747">
            <v>0.15</v>
          </cell>
        </row>
        <row r="1748">
          <cell r="D1748">
            <v>808004499</v>
          </cell>
          <cell r="E1748" t="str">
            <v>TARA MASSIE</v>
          </cell>
          <cell r="F1748" t="str">
            <v>D (MD)</v>
          </cell>
          <cell r="G1748">
            <v>337725</v>
          </cell>
          <cell r="H1748" t="str">
            <v>Mayday</v>
          </cell>
          <cell r="I1748">
            <v>0.625</v>
          </cell>
          <cell r="J1748">
            <v>0.85416666666666663</v>
          </cell>
          <cell r="K1748">
            <v>5.5</v>
          </cell>
          <cell r="L1748">
            <v>177.59</v>
          </cell>
          <cell r="O1748" t="str">
            <v>Y</v>
          </cell>
          <cell r="P1748" t="str">
            <v>N</v>
          </cell>
          <cell r="Q1748" t="str">
            <v>Extra Capacity</v>
          </cell>
          <cell r="S1748">
            <v>0.15</v>
          </cell>
        </row>
        <row r="1749">
          <cell r="D1749">
            <v>1008004794</v>
          </cell>
          <cell r="E1749" t="str">
            <v>TARA MASSIE</v>
          </cell>
          <cell r="F1749" t="str">
            <v>D (MD)</v>
          </cell>
          <cell r="G1749">
            <v>337725</v>
          </cell>
          <cell r="H1749" t="str">
            <v>Mayday</v>
          </cell>
          <cell r="I1749">
            <v>0.3125</v>
          </cell>
          <cell r="J1749">
            <v>0.54166666666666663</v>
          </cell>
          <cell r="K1749">
            <v>5.5</v>
          </cell>
          <cell r="L1749">
            <v>177.59</v>
          </cell>
          <cell r="O1749" t="str">
            <v>Y</v>
          </cell>
          <cell r="P1749" t="str">
            <v>N</v>
          </cell>
          <cell r="Q1749" t="str">
            <v>Vacancy</v>
          </cell>
          <cell r="S1749">
            <v>0.15</v>
          </cell>
        </row>
        <row r="1750">
          <cell r="D1750">
            <v>808004527</v>
          </cell>
          <cell r="E1750" t="str">
            <v>TEMBE NGIDI</v>
          </cell>
          <cell r="F1750" t="str">
            <v>D (MD)</v>
          </cell>
          <cell r="G1750">
            <v>337692</v>
          </cell>
          <cell r="H1750" t="str">
            <v>Mayday</v>
          </cell>
          <cell r="I1750">
            <v>0.83333333333333337</v>
          </cell>
          <cell r="J1750">
            <v>0.33333333333333331</v>
          </cell>
          <cell r="K1750">
            <v>11.3333333333333</v>
          </cell>
          <cell r="L1750">
            <v>475.74</v>
          </cell>
          <cell r="O1750" t="str">
            <v>Y</v>
          </cell>
          <cell r="P1750" t="str">
            <v>N</v>
          </cell>
          <cell r="Q1750" t="str">
            <v>Extra Capacity</v>
          </cell>
          <cell r="S1750">
            <v>0.3</v>
          </cell>
        </row>
        <row r="1751">
          <cell r="D1751">
            <v>908006652</v>
          </cell>
          <cell r="E1751" t="str">
            <v>VAL ZUNGA</v>
          </cell>
          <cell r="F1751" t="str">
            <v>D (Ch)</v>
          </cell>
          <cell r="H1751" t="str">
            <v>Choice</v>
          </cell>
          <cell r="I1751">
            <v>0.3125</v>
          </cell>
          <cell r="J1751">
            <v>0.54166666666666663</v>
          </cell>
          <cell r="K1751">
            <v>5.5</v>
          </cell>
          <cell r="L1751">
            <v>134.03</v>
          </cell>
          <cell r="O1751" t="str">
            <v>Y</v>
          </cell>
          <cell r="P1751" t="str">
            <v>N</v>
          </cell>
          <cell r="Q1751" t="str">
            <v>Vacancy</v>
          </cell>
          <cell r="S1751">
            <v>0.15</v>
          </cell>
        </row>
        <row r="1752">
          <cell r="D1752">
            <v>1008006040</v>
          </cell>
          <cell r="E1752" t="str">
            <v>VAL ZUNGA</v>
          </cell>
          <cell r="F1752" t="str">
            <v>D (Ch)</v>
          </cell>
          <cell r="G1752">
            <v>17104</v>
          </cell>
          <cell r="H1752" t="str">
            <v>Choice</v>
          </cell>
          <cell r="I1752">
            <v>0.625</v>
          </cell>
          <cell r="J1752">
            <v>0.85416666666666663</v>
          </cell>
          <cell r="K1752">
            <v>5.5</v>
          </cell>
          <cell r="L1752">
            <v>134.03</v>
          </cell>
          <cell r="O1752" t="str">
            <v>Y</v>
          </cell>
          <cell r="P1752" t="str">
            <v>N</v>
          </cell>
          <cell r="Q1752" t="str">
            <v>Vacancy</v>
          </cell>
          <cell r="S1752">
            <v>0.15</v>
          </cell>
        </row>
        <row r="1753">
          <cell r="D1753">
            <v>1008001141</v>
          </cell>
          <cell r="E1753" t="str">
            <v>ALMA DEPENA</v>
          </cell>
          <cell r="F1753" t="str">
            <v>D (Ch)</v>
          </cell>
          <cell r="G1753">
            <v>17014</v>
          </cell>
          <cell r="H1753" t="str">
            <v>Choice</v>
          </cell>
          <cell r="I1753">
            <v>0.82291666666666663</v>
          </cell>
          <cell r="J1753">
            <v>0.34375</v>
          </cell>
          <cell r="K1753">
            <v>11.5</v>
          </cell>
          <cell r="L1753">
            <v>364.33</v>
          </cell>
          <cell r="O1753" t="str">
            <v>Y</v>
          </cell>
          <cell r="P1753" t="str">
            <v>N</v>
          </cell>
          <cell r="Q1753" t="str">
            <v>Vacancy</v>
          </cell>
          <cell r="S1753">
            <v>0.31</v>
          </cell>
        </row>
        <row r="1754">
          <cell r="D1754">
            <v>1008001544</v>
          </cell>
          <cell r="E1754" t="str">
            <v>ANNA BONNERUP</v>
          </cell>
          <cell r="F1754" t="str">
            <v>D / 5 General (</v>
          </cell>
          <cell r="G1754" t="str">
            <v>604-153910</v>
          </cell>
          <cell r="H1754" t="str">
            <v>Blue Arrow</v>
          </cell>
          <cell r="I1754">
            <v>0.625</v>
          </cell>
          <cell r="J1754">
            <v>0.85416666666666663</v>
          </cell>
          <cell r="K1754">
            <v>5.5</v>
          </cell>
          <cell r="L1754">
            <v>120.69</v>
          </cell>
          <cell r="O1754" t="str">
            <v>Y</v>
          </cell>
          <cell r="P1754" t="str">
            <v>N</v>
          </cell>
          <cell r="Q1754" t="str">
            <v>Vacancy</v>
          </cell>
          <cell r="S1754">
            <v>0.15</v>
          </cell>
        </row>
        <row r="1755">
          <cell r="D1755">
            <v>808004521</v>
          </cell>
          <cell r="E1755" t="str">
            <v>ATINUKE OKE-OLATUNDE</v>
          </cell>
          <cell r="F1755" t="str">
            <v>D (MD)</v>
          </cell>
          <cell r="G1755">
            <v>340125</v>
          </cell>
          <cell r="H1755" t="str">
            <v>Mayday</v>
          </cell>
          <cell r="I1755">
            <v>0.83333333333333337</v>
          </cell>
          <cell r="J1755">
            <v>0.33333333333333331</v>
          </cell>
          <cell r="K1755">
            <v>11.3333333333333</v>
          </cell>
          <cell r="L1755">
            <v>475.74</v>
          </cell>
          <cell r="O1755" t="str">
            <v>Y</v>
          </cell>
          <cell r="P1755" t="str">
            <v>N</v>
          </cell>
          <cell r="Q1755" t="str">
            <v>Extra Capacity</v>
          </cell>
          <cell r="S1755">
            <v>0.3</v>
          </cell>
        </row>
        <row r="1756">
          <cell r="D1756">
            <v>808004380</v>
          </cell>
          <cell r="E1756" t="str">
            <v>BEAUTY NGIDI</v>
          </cell>
          <cell r="F1756" t="str">
            <v>D (MD)</v>
          </cell>
          <cell r="G1756">
            <v>337687</v>
          </cell>
          <cell r="H1756" t="str">
            <v>Mayday</v>
          </cell>
          <cell r="I1756">
            <v>0.83333333333333337</v>
          </cell>
          <cell r="J1756">
            <v>0.33333333333333331</v>
          </cell>
          <cell r="K1756">
            <v>11.3333333333333</v>
          </cell>
          <cell r="L1756">
            <v>475.74</v>
          </cell>
          <cell r="O1756" t="str">
            <v>Y</v>
          </cell>
          <cell r="P1756" t="str">
            <v>N</v>
          </cell>
          <cell r="Q1756" t="str">
            <v>Extra Capacity</v>
          </cell>
          <cell r="S1756">
            <v>0.3</v>
          </cell>
        </row>
        <row r="1757">
          <cell r="D1757">
            <v>808004332</v>
          </cell>
          <cell r="E1757" t="str">
            <v>BERNADETTE SHINYA-NDUNUWANI</v>
          </cell>
          <cell r="F1757" t="str">
            <v>D (MD)</v>
          </cell>
          <cell r="G1757">
            <v>337671</v>
          </cell>
          <cell r="H1757" t="str">
            <v>Mayday</v>
          </cell>
          <cell r="I1757">
            <v>0.3125</v>
          </cell>
          <cell r="J1757">
            <v>0.58333333333333337</v>
          </cell>
          <cell r="K1757">
            <v>6.1666666666666696</v>
          </cell>
          <cell r="L1757">
            <v>258.86</v>
          </cell>
          <cell r="O1757" t="str">
            <v>Y</v>
          </cell>
          <cell r="P1757" t="str">
            <v>N</v>
          </cell>
          <cell r="Q1757" t="str">
            <v>Extra Capacity</v>
          </cell>
          <cell r="S1757">
            <v>0.16</v>
          </cell>
        </row>
        <row r="1758">
          <cell r="D1758">
            <v>808004339</v>
          </cell>
          <cell r="E1758" t="str">
            <v>BRIGHTNESS NDEBELE</v>
          </cell>
          <cell r="F1758" t="str">
            <v>D (MD)</v>
          </cell>
          <cell r="G1758">
            <v>337707</v>
          </cell>
          <cell r="H1758" t="str">
            <v>Mayday</v>
          </cell>
          <cell r="I1758">
            <v>0.3125</v>
          </cell>
          <cell r="J1758">
            <v>0.58333333333333337</v>
          </cell>
          <cell r="K1758">
            <v>6.1666666666666696</v>
          </cell>
          <cell r="L1758">
            <v>258.86</v>
          </cell>
          <cell r="O1758" t="str">
            <v>Y</v>
          </cell>
          <cell r="P1758" t="str">
            <v>N</v>
          </cell>
          <cell r="Q1758" t="str">
            <v>Extra Capacity</v>
          </cell>
          <cell r="S1758">
            <v>0.16</v>
          </cell>
        </row>
        <row r="1759">
          <cell r="D1759">
            <v>1008001140</v>
          </cell>
          <cell r="E1759" t="str">
            <v>CYNTHIA DELMO</v>
          </cell>
          <cell r="F1759" t="str">
            <v>D (Ch)</v>
          </cell>
          <cell r="G1759">
            <v>17019</v>
          </cell>
          <cell r="H1759" t="str">
            <v>Choice</v>
          </cell>
          <cell r="I1759">
            <v>0.82291666666666663</v>
          </cell>
          <cell r="J1759">
            <v>0.34375</v>
          </cell>
          <cell r="K1759">
            <v>11.5</v>
          </cell>
          <cell r="L1759">
            <v>364.33</v>
          </cell>
          <cell r="O1759" t="str">
            <v>Y</v>
          </cell>
          <cell r="P1759" t="str">
            <v>N</v>
          </cell>
          <cell r="Q1759" t="str">
            <v>Vacancy</v>
          </cell>
          <cell r="S1759">
            <v>0.31</v>
          </cell>
        </row>
        <row r="1760">
          <cell r="D1760">
            <v>1008005730</v>
          </cell>
          <cell r="E1760" t="str">
            <v>DAMILOLA AIKI</v>
          </cell>
          <cell r="F1760" t="str">
            <v>A (Ch)</v>
          </cell>
          <cell r="H1760" t="str">
            <v>Choice</v>
          </cell>
          <cell r="I1760">
            <v>0.625</v>
          </cell>
          <cell r="J1760">
            <v>0.85416666666666663</v>
          </cell>
          <cell r="K1760">
            <v>5.5</v>
          </cell>
          <cell r="L1760">
            <v>81.33</v>
          </cell>
          <cell r="O1760" t="str">
            <v>Y</v>
          </cell>
          <cell r="P1760" t="str">
            <v>N</v>
          </cell>
          <cell r="Q1760" t="str">
            <v>Short Term Sick</v>
          </cell>
          <cell r="S1760">
            <v>0.15</v>
          </cell>
        </row>
        <row r="1761">
          <cell r="D1761">
            <v>1008004845</v>
          </cell>
          <cell r="E1761" t="str">
            <v>DEBBIE HARRIS</v>
          </cell>
          <cell r="F1761" t="str">
            <v>D (MD)</v>
          </cell>
          <cell r="G1761">
            <v>339089</v>
          </cell>
          <cell r="H1761" t="str">
            <v>Mayday</v>
          </cell>
          <cell r="I1761">
            <v>0.3125</v>
          </cell>
          <cell r="J1761">
            <v>0.83333333333333337</v>
          </cell>
          <cell r="K1761">
            <v>11.8333333333333</v>
          </cell>
          <cell r="L1761">
            <v>496.73</v>
          </cell>
          <cell r="O1761" t="str">
            <v>Y</v>
          </cell>
          <cell r="P1761" t="str">
            <v>N</v>
          </cell>
          <cell r="Q1761" t="str">
            <v>Short Term Sick</v>
          </cell>
          <cell r="S1761">
            <v>0.32</v>
          </cell>
        </row>
        <row r="1762">
          <cell r="D1762">
            <v>1008001192</v>
          </cell>
          <cell r="E1762" t="str">
            <v>DIGRACIA  NAPE</v>
          </cell>
          <cell r="F1762" t="str">
            <v>D (MD)</v>
          </cell>
          <cell r="G1762">
            <v>338555</v>
          </cell>
          <cell r="H1762" t="str">
            <v>Mayday</v>
          </cell>
          <cell r="I1762">
            <v>0.5625</v>
          </cell>
          <cell r="J1762">
            <v>0.89583333333333337</v>
          </cell>
          <cell r="K1762">
            <v>7.6666666666666696</v>
          </cell>
          <cell r="L1762">
            <v>321.82</v>
          </cell>
          <cell r="O1762" t="str">
            <v>Y</v>
          </cell>
          <cell r="P1762" t="str">
            <v>N</v>
          </cell>
          <cell r="Q1762" t="str">
            <v>Under Established</v>
          </cell>
          <cell r="S1762">
            <v>0.2</v>
          </cell>
        </row>
        <row r="1763">
          <cell r="D1763">
            <v>1008003675</v>
          </cell>
          <cell r="E1763" t="str">
            <v>DOROTHY MUTHWA</v>
          </cell>
          <cell r="F1763" t="str">
            <v>A (Ch)</v>
          </cell>
          <cell r="H1763" t="str">
            <v>Choice</v>
          </cell>
          <cell r="I1763">
            <v>0.5625</v>
          </cell>
          <cell r="J1763">
            <v>0.89583333333333337</v>
          </cell>
          <cell r="K1763">
            <v>7.6666666666666696</v>
          </cell>
          <cell r="L1763">
            <v>113.36</v>
          </cell>
          <cell r="O1763" t="str">
            <v>Y</v>
          </cell>
          <cell r="P1763" t="str">
            <v>N</v>
          </cell>
          <cell r="Q1763" t="str">
            <v>Under Established</v>
          </cell>
          <cell r="S1763">
            <v>0.2</v>
          </cell>
        </row>
        <row r="1764">
          <cell r="D1764">
            <v>1008005183</v>
          </cell>
          <cell r="E1764" t="str">
            <v>EMMANUEL SALAKO</v>
          </cell>
          <cell r="F1764" t="str">
            <v>D (MD)</v>
          </cell>
          <cell r="G1764">
            <v>337721</v>
          </cell>
          <cell r="H1764" t="str">
            <v>Mayday</v>
          </cell>
          <cell r="I1764">
            <v>0.58333333333333337</v>
          </cell>
          <cell r="J1764">
            <v>0.83333333333333337</v>
          </cell>
          <cell r="K1764">
            <v>5.5</v>
          </cell>
          <cell r="L1764">
            <v>230.87</v>
          </cell>
          <cell r="O1764" t="str">
            <v>Y</v>
          </cell>
          <cell r="P1764" t="str">
            <v>N</v>
          </cell>
          <cell r="Q1764" t="str">
            <v>Vacancy</v>
          </cell>
          <cell r="S1764">
            <v>0.15</v>
          </cell>
        </row>
        <row r="1765">
          <cell r="D1765">
            <v>1008005459</v>
          </cell>
          <cell r="E1765" t="str">
            <v>EMMANUEL SALAKO</v>
          </cell>
          <cell r="F1765" t="str">
            <v>D (MD)</v>
          </cell>
          <cell r="G1765">
            <v>337723</v>
          </cell>
          <cell r="H1765" t="str">
            <v>Mayday</v>
          </cell>
          <cell r="I1765">
            <v>0.29166666666666669</v>
          </cell>
          <cell r="J1765">
            <v>0.58333333333333337</v>
          </cell>
          <cell r="K1765">
            <v>6.6666666666666696</v>
          </cell>
          <cell r="L1765">
            <v>279.85000000000002</v>
          </cell>
          <cell r="O1765" t="str">
            <v>Y</v>
          </cell>
          <cell r="P1765" t="str">
            <v>N</v>
          </cell>
          <cell r="Q1765" t="str">
            <v>Extra Capacity</v>
          </cell>
          <cell r="S1765">
            <v>0.18</v>
          </cell>
        </row>
        <row r="1766">
          <cell r="D1766">
            <v>1008005394</v>
          </cell>
          <cell r="E1766" t="str">
            <v>FIONA DURKIN-GREER</v>
          </cell>
          <cell r="F1766" t="str">
            <v>D (MD)</v>
          </cell>
          <cell r="G1766">
            <v>337398</v>
          </cell>
          <cell r="H1766" t="str">
            <v>Mayday</v>
          </cell>
          <cell r="I1766">
            <v>0.375</v>
          </cell>
          <cell r="J1766">
            <v>0.58333333333333337</v>
          </cell>
          <cell r="K1766">
            <v>5</v>
          </cell>
          <cell r="L1766">
            <v>209.89</v>
          </cell>
          <cell r="O1766" t="str">
            <v>Y</v>
          </cell>
          <cell r="P1766" t="str">
            <v>N</v>
          </cell>
          <cell r="Q1766" t="str">
            <v>Short Term Sick</v>
          </cell>
          <cell r="S1766">
            <v>0.13</v>
          </cell>
        </row>
        <row r="1767">
          <cell r="D1767">
            <v>908005839</v>
          </cell>
          <cell r="E1767" t="str">
            <v>JANE DUNSMURE</v>
          </cell>
          <cell r="F1767" t="str">
            <v>D/5 (PS)</v>
          </cell>
          <cell r="H1767" t="str">
            <v>Pinnacle Staffing</v>
          </cell>
          <cell r="I1767">
            <v>0.82291666666666663</v>
          </cell>
          <cell r="J1767">
            <v>0.34375</v>
          </cell>
          <cell r="K1767">
            <v>11.5</v>
          </cell>
          <cell r="L1767">
            <v>254</v>
          </cell>
          <cell r="O1767" t="str">
            <v>Y</v>
          </cell>
          <cell r="P1767" t="str">
            <v>N</v>
          </cell>
          <cell r="Q1767" t="str">
            <v>Maternity Leave</v>
          </cell>
          <cell r="S1767">
            <v>0.31</v>
          </cell>
        </row>
        <row r="1768">
          <cell r="D1768">
            <v>1008003176</v>
          </cell>
          <cell r="E1768" t="str">
            <v>JASON WENT</v>
          </cell>
          <cell r="F1768" t="str">
            <v>D / 5 General (</v>
          </cell>
          <cell r="G1768" t="str">
            <v>604-153911</v>
          </cell>
          <cell r="H1768" t="str">
            <v>Blue Arrow</v>
          </cell>
          <cell r="I1768">
            <v>0.83333333333333337</v>
          </cell>
          <cell r="J1768">
            <v>0.33333333333333331</v>
          </cell>
          <cell r="K1768">
            <v>11.3333333333333</v>
          </cell>
          <cell r="L1768">
            <v>248.7</v>
          </cell>
          <cell r="O1768" t="str">
            <v>Y</v>
          </cell>
          <cell r="P1768" t="str">
            <v>N</v>
          </cell>
          <cell r="Q1768" t="str">
            <v>Extra Capacity</v>
          </cell>
          <cell r="S1768">
            <v>0.3</v>
          </cell>
        </row>
        <row r="1769">
          <cell r="D1769">
            <v>1008003175</v>
          </cell>
          <cell r="E1769" t="str">
            <v>JEAN NGONA</v>
          </cell>
          <cell r="F1769" t="str">
            <v>D (MD)</v>
          </cell>
          <cell r="G1769">
            <v>342006</v>
          </cell>
          <cell r="H1769" t="str">
            <v>Mayday</v>
          </cell>
          <cell r="I1769">
            <v>0.3125</v>
          </cell>
          <cell r="J1769">
            <v>0.625</v>
          </cell>
          <cell r="K1769">
            <v>7.1666666666666696</v>
          </cell>
          <cell r="L1769">
            <v>300.83999999999997</v>
          </cell>
          <cell r="O1769" t="str">
            <v>Y</v>
          </cell>
          <cell r="P1769" t="str">
            <v>N</v>
          </cell>
          <cell r="Q1769" t="str">
            <v>Extra Capacity</v>
          </cell>
          <cell r="S1769">
            <v>0.19</v>
          </cell>
        </row>
        <row r="1770">
          <cell r="D1770">
            <v>1008005727</v>
          </cell>
          <cell r="E1770" t="str">
            <v>JEAN NGONA</v>
          </cell>
          <cell r="F1770" t="str">
            <v>D (MD)</v>
          </cell>
          <cell r="G1770">
            <v>342008</v>
          </cell>
          <cell r="H1770" t="str">
            <v>Mayday</v>
          </cell>
          <cell r="I1770">
            <v>0.64583333333333337</v>
          </cell>
          <cell r="J1770">
            <v>0.89583333333333337</v>
          </cell>
          <cell r="K1770">
            <v>6</v>
          </cell>
          <cell r="L1770">
            <v>251.86</v>
          </cell>
          <cell r="O1770" t="str">
            <v>Y</v>
          </cell>
          <cell r="P1770" t="str">
            <v>N</v>
          </cell>
          <cell r="Q1770" t="str">
            <v>Short Term Sick</v>
          </cell>
          <cell r="S1770">
            <v>0.16</v>
          </cell>
        </row>
        <row r="1771">
          <cell r="D1771">
            <v>1008005503</v>
          </cell>
          <cell r="E1771" t="str">
            <v>KATH BURTON</v>
          </cell>
          <cell r="F1771" t="str">
            <v>D (MD)</v>
          </cell>
          <cell r="G1771">
            <v>338058</v>
          </cell>
          <cell r="H1771" t="str">
            <v>Mayday</v>
          </cell>
          <cell r="I1771">
            <v>0.3125</v>
          </cell>
          <cell r="J1771">
            <v>0.85416666666666663</v>
          </cell>
          <cell r="K1771">
            <v>12.3333333333333</v>
          </cell>
          <cell r="L1771">
            <v>517.72</v>
          </cell>
          <cell r="O1771" t="str">
            <v>Y</v>
          </cell>
          <cell r="P1771" t="str">
            <v>N</v>
          </cell>
          <cell r="Q1771" t="str">
            <v>Acuity</v>
          </cell>
          <cell r="S1771">
            <v>0.33</v>
          </cell>
        </row>
        <row r="1772">
          <cell r="D1772">
            <v>1008005439</v>
          </cell>
          <cell r="E1772" t="str">
            <v>LIZ BAGGIO</v>
          </cell>
          <cell r="F1772" t="str">
            <v>A/2 (PS)</v>
          </cell>
          <cell r="H1772" t="str">
            <v>Pinnacle Staffing</v>
          </cell>
          <cell r="I1772">
            <v>0.875</v>
          </cell>
          <cell r="J1772">
            <v>0.34375</v>
          </cell>
          <cell r="K1772">
            <v>10.9166666666667</v>
          </cell>
          <cell r="L1772">
            <v>136.53</v>
          </cell>
          <cell r="O1772" t="str">
            <v>Y</v>
          </cell>
          <cell r="P1772" t="str">
            <v>N</v>
          </cell>
          <cell r="Q1772" t="str">
            <v>Specials</v>
          </cell>
          <cell r="S1772">
            <v>0.28999999999999998</v>
          </cell>
        </row>
        <row r="1773">
          <cell r="D1773">
            <v>1008005732</v>
          </cell>
          <cell r="E1773" t="str">
            <v>MERCY AFELE</v>
          </cell>
          <cell r="F1773" t="str">
            <v>D (MD)</v>
          </cell>
          <cell r="G1773">
            <v>337666</v>
          </cell>
          <cell r="H1773" t="str">
            <v>Mayday</v>
          </cell>
          <cell r="I1773">
            <v>0.5625</v>
          </cell>
          <cell r="J1773">
            <v>0.89583333333333337</v>
          </cell>
          <cell r="K1773">
            <v>7.6666666666666696</v>
          </cell>
          <cell r="L1773">
            <v>321.82</v>
          </cell>
          <cell r="O1773" t="str">
            <v>Y</v>
          </cell>
          <cell r="P1773" t="str">
            <v>N</v>
          </cell>
          <cell r="Q1773" t="str">
            <v>Short Term Sick</v>
          </cell>
          <cell r="S1773">
            <v>0.2</v>
          </cell>
        </row>
        <row r="1774">
          <cell r="D1774">
            <v>1008000217</v>
          </cell>
          <cell r="E1774" t="str">
            <v>MICHELLE BYLETT</v>
          </cell>
          <cell r="F1774" t="str">
            <v>D/5 (PS)</v>
          </cell>
          <cell r="H1774" t="str">
            <v>Pinnacle Staffing</v>
          </cell>
          <cell r="I1774">
            <v>0.8125</v>
          </cell>
          <cell r="J1774">
            <v>0.33333333333333331</v>
          </cell>
          <cell r="K1774">
            <v>11.5</v>
          </cell>
          <cell r="L1774">
            <v>254</v>
          </cell>
          <cell r="O1774" t="str">
            <v>Y</v>
          </cell>
          <cell r="P1774" t="str">
            <v>N</v>
          </cell>
          <cell r="Q1774" t="str">
            <v>Vacancy</v>
          </cell>
          <cell r="S1774">
            <v>0.31</v>
          </cell>
        </row>
        <row r="1775">
          <cell r="D1775">
            <v>1008005551</v>
          </cell>
          <cell r="E1775" t="str">
            <v>MZUKISI SPEELMAN</v>
          </cell>
          <cell r="F1775" t="str">
            <v>A (Ch)</v>
          </cell>
          <cell r="G1775">
            <v>17017</v>
          </cell>
          <cell r="H1775" t="str">
            <v>Choice</v>
          </cell>
          <cell r="I1775">
            <v>0.3125</v>
          </cell>
          <cell r="J1775">
            <v>0.60416666666666663</v>
          </cell>
          <cell r="K1775">
            <v>6.6666666666666696</v>
          </cell>
          <cell r="L1775">
            <v>98.58</v>
          </cell>
          <cell r="O1775" t="str">
            <v>Y</v>
          </cell>
          <cell r="P1775" t="str">
            <v>N</v>
          </cell>
          <cell r="Q1775" t="str">
            <v>Extra Capacity</v>
          </cell>
          <cell r="S1775">
            <v>0.18</v>
          </cell>
        </row>
        <row r="1776">
          <cell r="D1776">
            <v>908002149</v>
          </cell>
          <cell r="E1776" t="str">
            <v>PEGGY MAPOGO</v>
          </cell>
          <cell r="F1776" t="str">
            <v>D (Ch)</v>
          </cell>
          <cell r="G1776">
            <v>17102</v>
          </cell>
          <cell r="H1776" t="str">
            <v>Choice</v>
          </cell>
          <cell r="I1776">
            <v>0.29166666666666669</v>
          </cell>
          <cell r="J1776">
            <v>0.625</v>
          </cell>
          <cell r="K1776">
            <v>7.6666666666666696</v>
          </cell>
          <cell r="L1776">
            <v>242.89</v>
          </cell>
          <cell r="O1776" t="str">
            <v>Y</v>
          </cell>
          <cell r="P1776" t="str">
            <v>N</v>
          </cell>
          <cell r="Q1776" t="str">
            <v>Vacancy</v>
          </cell>
          <cell r="S1776">
            <v>0.2</v>
          </cell>
        </row>
        <row r="1777">
          <cell r="D1777">
            <v>1008001193</v>
          </cell>
          <cell r="E1777" t="str">
            <v>RICCA PARADA</v>
          </cell>
          <cell r="F1777" t="str">
            <v>D (Ch)</v>
          </cell>
          <cell r="H1777" t="str">
            <v>Choice</v>
          </cell>
          <cell r="I1777">
            <v>0.5625</v>
          </cell>
          <cell r="J1777">
            <v>0.89583333333333337</v>
          </cell>
          <cell r="K1777">
            <v>7.6666666666666696</v>
          </cell>
          <cell r="L1777">
            <v>242.89</v>
          </cell>
          <cell r="O1777" t="str">
            <v>Y</v>
          </cell>
          <cell r="P1777" t="str">
            <v>N</v>
          </cell>
          <cell r="Q1777" t="str">
            <v>Under Established</v>
          </cell>
          <cell r="S1777">
            <v>0.2</v>
          </cell>
        </row>
        <row r="1778">
          <cell r="D1778">
            <v>1008001195</v>
          </cell>
          <cell r="E1778" t="str">
            <v>RICCA PARADA</v>
          </cell>
          <cell r="F1778" t="str">
            <v>D (Ch)</v>
          </cell>
          <cell r="H1778" t="str">
            <v>Choice</v>
          </cell>
          <cell r="I1778">
            <v>0.3125</v>
          </cell>
          <cell r="J1778">
            <v>0.5625</v>
          </cell>
          <cell r="K1778">
            <v>5.6666666666666696</v>
          </cell>
          <cell r="L1778">
            <v>179.53</v>
          </cell>
          <cell r="O1778" t="str">
            <v>Y</v>
          </cell>
          <cell r="P1778" t="str">
            <v>N</v>
          </cell>
          <cell r="Q1778" t="str">
            <v>Under Established</v>
          </cell>
          <cell r="S1778">
            <v>0.15</v>
          </cell>
        </row>
        <row r="1779">
          <cell r="D1779">
            <v>1008003024</v>
          </cell>
          <cell r="E1779" t="str">
            <v>RODA RAMERIZ</v>
          </cell>
          <cell r="F1779" t="str">
            <v>D (Ch)</v>
          </cell>
          <cell r="H1779" t="str">
            <v>Choice</v>
          </cell>
          <cell r="I1779">
            <v>0.84375</v>
          </cell>
          <cell r="J1779">
            <v>0.32291666666666669</v>
          </cell>
          <cell r="K1779">
            <v>11.1666666666667</v>
          </cell>
          <cell r="L1779">
            <v>353.77</v>
          </cell>
          <cell r="O1779" t="str">
            <v>Y</v>
          </cell>
          <cell r="P1779" t="str">
            <v>N</v>
          </cell>
          <cell r="Q1779" t="str">
            <v>Under Established</v>
          </cell>
          <cell r="S1779">
            <v>0.3</v>
          </cell>
        </row>
        <row r="1780">
          <cell r="D1780">
            <v>1008005969</v>
          </cell>
          <cell r="E1780" t="str">
            <v>SAMSON BARACENA</v>
          </cell>
          <cell r="F1780" t="str">
            <v>D (MD)</v>
          </cell>
          <cell r="G1780">
            <v>339622</v>
          </cell>
          <cell r="H1780" t="str">
            <v>Mayday</v>
          </cell>
          <cell r="I1780">
            <v>0.83333333333333337</v>
          </cell>
          <cell r="J1780">
            <v>0.33333333333333331</v>
          </cell>
          <cell r="K1780">
            <v>11</v>
          </cell>
          <cell r="L1780">
            <v>461.75</v>
          </cell>
          <cell r="O1780" t="str">
            <v>Y</v>
          </cell>
          <cell r="P1780" t="str">
            <v>N</v>
          </cell>
          <cell r="Q1780" t="str">
            <v>Acuity</v>
          </cell>
          <cell r="S1780">
            <v>0.28999999999999998</v>
          </cell>
        </row>
        <row r="1781">
          <cell r="D1781">
            <v>808004472</v>
          </cell>
          <cell r="E1781" t="str">
            <v>TARA MASSIE</v>
          </cell>
          <cell r="F1781" t="str">
            <v>D (MD)</v>
          </cell>
          <cell r="G1781">
            <v>337725</v>
          </cell>
          <cell r="H1781" t="str">
            <v>Mayday</v>
          </cell>
          <cell r="I1781">
            <v>0.3125</v>
          </cell>
          <cell r="J1781">
            <v>0.58333333333333337</v>
          </cell>
          <cell r="K1781">
            <v>6.1666666666666696</v>
          </cell>
          <cell r="L1781">
            <v>258.86</v>
          </cell>
          <cell r="O1781" t="str">
            <v>Y</v>
          </cell>
          <cell r="P1781" t="str">
            <v>N</v>
          </cell>
          <cell r="Q1781" t="str">
            <v>Extra Capacity</v>
          </cell>
          <cell r="S1781">
            <v>0.16</v>
          </cell>
        </row>
        <row r="1782">
          <cell r="D1782">
            <v>808004507</v>
          </cell>
          <cell r="E1782" t="str">
            <v>TARA MASSIE</v>
          </cell>
          <cell r="F1782" t="str">
            <v>D (MD)</v>
          </cell>
          <cell r="G1782">
            <v>337725</v>
          </cell>
          <cell r="H1782" t="str">
            <v>Mayday</v>
          </cell>
          <cell r="I1782">
            <v>0.625</v>
          </cell>
          <cell r="J1782">
            <v>0.85416666666666663</v>
          </cell>
          <cell r="K1782">
            <v>5.5</v>
          </cell>
          <cell r="L1782">
            <v>230.87</v>
          </cell>
          <cell r="O1782" t="str">
            <v>Y</v>
          </cell>
          <cell r="P1782" t="str">
            <v>N</v>
          </cell>
          <cell r="Q1782" t="str">
            <v>Extra Capacity</v>
          </cell>
          <cell r="S1782">
            <v>0.15</v>
          </cell>
        </row>
        <row r="1783">
          <cell r="D1783">
            <v>808004528</v>
          </cell>
          <cell r="E1783" t="str">
            <v>TEMBE NGIDI</v>
          </cell>
          <cell r="F1783" t="str">
            <v>D (MD)</v>
          </cell>
          <cell r="G1783">
            <v>337692</v>
          </cell>
          <cell r="H1783" t="str">
            <v>Mayday</v>
          </cell>
          <cell r="I1783">
            <v>0.83333333333333337</v>
          </cell>
          <cell r="J1783">
            <v>0.33333333333333331</v>
          </cell>
          <cell r="K1783">
            <v>11.3333333333333</v>
          </cell>
          <cell r="L1783">
            <v>475.74</v>
          </cell>
          <cell r="O1783" t="str">
            <v>Y</v>
          </cell>
          <cell r="P1783" t="str">
            <v>N</v>
          </cell>
          <cell r="Q1783" t="str">
            <v>Extra Capacity</v>
          </cell>
          <cell r="S1783">
            <v>0.3</v>
          </cell>
        </row>
        <row r="1784">
          <cell r="D1784">
            <v>1008005729</v>
          </cell>
          <cell r="E1784" t="str">
            <v>TRUST CHIWUNDURA</v>
          </cell>
          <cell r="F1784" t="str">
            <v>A (Ch)</v>
          </cell>
          <cell r="H1784" t="str">
            <v>Choice</v>
          </cell>
          <cell r="I1784">
            <v>0.875</v>
          </cell>
          <cell r="J1784">
            <v>0.32291666666666669</v>
          </cell>
          <cell r="K1784">
            <v>10</v>
          </cell>
          <cell r="L1784">
            <v>147.87</v>
          </cell>
          <cell r="O1784" t="str">
            <v>Y</v>
          </cell>
          <cell r="P1784" t="str">
            <v>N</v>
          </cell>
          <cell r="Q1784" t="str">
            <v>Short Term Sick</v>
          </cell>
          <cell r="S1784">
            <v>0.27</v>
          </cell>
        </row>
        <row r="1785">
          <cell r="D1785">
            <v>1008001950</v>
          </cell>
          <cell r="E1785" t="str">
            <v>ANNA BONNERUP</v>
          </cell>
          <cell r="F1785" t="str">
            <v>D / 5 General (</v>
          </cell>
          <cell r="G1785" t="str">
            <v>604-153910</v>
          </cell>
          <cell r="H1785" t="str">
            <v>Blue Arrow</v>
          </cell>
          <cell r="I1785">
            <v>0.3125</v>
          </cell>
          <cell r="J1785">
            <v>0.54166666666666663</v>
          </cell>
          <cell r="K1785">
            <v>5.5</v>
          </cell>
          <cell r="L1785">
            <v>148.54</v>
          </cell>
          <cell r="O1785" t="str">
            <v>Y</v>
          </cell>
          <cell r="P1785" t="str">
            <v>N</v>
          </cell>
          <cell r="Q1785" t="str">
            <v>Vacancy</v>
          </cell>
          <cell r="S1785">
            <v>0.15</v>
          </cell>
        </row>
        <row r="1786">
          <cell r="D1786">
            <v>808004381</v>
          </cell>
          <cell r="E1786" t="str">
            <v>BEAUTY NGIDI</v>
          </cell>
          <cell r="F1786" t="str">
            <v>D (MD)</v>
          </cell>
          <cell r="G1786">
            <v>337687</v>
          </cell>
          <cell r="H1786" t="str">
            <v>Mayday</v>
          </cell>
          <cell r="I1786">
            <v>0.83333333333333337</v>
          </cell>
          <cell r="J1786">
            <v>0.33333333333333331</v>
          </cell>
          <cell r="K1786">
            <v>11.3333333333333</v>
          </cell>
          <cell r="L1786">
            <v>585.53</v>
          </cell>
          <cell r="O1786" t="str">
            <v>Y</v>
          </cell>
          <cell r="P1786" t="str">
            <v>N</v>
          </cell>
          <cell r="Q1786" t="str">
            <v>Extra Capacity</v>
          </cell>
          <cell r="S1786">
            <v>0.3</v>
          </cell>
        </row>
        <row r="1787">
          <cell r="D1787">
            <v>808004473</v>
          </cell>
          <cell r="E1787" t="str">
            <v>BERNADETTE SHINYA-NDUNUWANI</v>
          </cell>
          <cell r="F1787" t="str">
            <v>D (MD)</v>
          </cell>
          <cell r="G1787">
            <v>337700</v>
          </cell>
          <cell r="H1787" t="str">
            <v>Mayday</v>
          </cell>
          <cell r="I1787">
            <v>0.3125</v>
          </cell>
          <cell r="J1787">
            <v>0.58333333333333337</v>
          </cell>
          <cell r="K1787">
            <v>6.1666666666666696</v>
          </cell>
          <cell r="L1787">
            <v>318.58999999999997</v>
          </cell>
          <cell r="O1787" t="str">
            <v>Y</v>
          </cell>
          <cell r="P1787" t="str">
            <v>N</v>
          </cell>
          <cell r="Q1787" t="str">
            <v>Extra Capacity</v>
          </cell>
          <cell r="S1787">
            <v>0.16</v>
          </cell>
        </row>
        <row r="1788">
          <cell r="D1788">
            <v>808004508</v>
          </cell>
          <cell r="E1788" t="str">
            <v>BERNADETTE SHINYA-NDUNUWANI</v>
          </cell>
          <cell r="F1788" t="str">
            <v>D (MD)</v>
          </cell>
          <cell r="G1788">
            <v>337700</v>
          </cell>
          <cell r="H1788" t="str">
            <v>Mayday</v>
          </cell>
          <cell r="I1788">
            <v>0.625</v>
          </cell>
          <cell r="J1788">
            <v>0.85416666666666663</v>
          </cell>
          <cell r="K1788">
            <v>5.5</v>
          </cell>
          <cell r="L1788">
            <v>284.14999999999998</v>
          </cell>
          <cell r="O1788" t="str">
            <v>Y</v>
          </cell>
          <cell r="P1788" t="str">
            <v>N</v>
          </cell>
          <cell r="Q1788" t="str">
            <v>Extra Capacity</v>
          </cell>
          <cell r="S1788">
            <v>0.15</v>
          </cell>
        </row>
        <row r="1789">
          <cell r="D1789">
            <v>1008006052</v>
          </cell>
          <cell r="E1789" t="str">
            <v>ELIZABETH MHASHU</v>
          </cell>
          <cell r="F1789" t="str">
            <v>D (MD)</v>
          </cell>
          <cell r="G1789">
            <v>337724</v>
          </cell>
          <cell r="H1789" t="str">
            <v>Mayday</v>
          </cell>
          <cell r="I1789">
            <v>0.82291666666666663</v>
          </cell>
          <cell r="J1789">
            <v>0.34375</v>
          </cell>
          <cell r="K1789">
            <v>11.5</v>
          </cell>
          <cell r="L1789">
            <v>594.14</v>
          </cell>
          <cell r="O1789" t="str">
            <v>Y</v>
          </cell>
          <cell r="P1789" t="str">
            <v>N</v>
          </cell>
          <cell r="Q1789" t="str">
            <v>On-Call</v>
          </cell>
          <cell r="S1789">
            <v>0.31</v>
          </cell>
        </row>
        <row r="1790">
          <cell r="D1790">
            <v>1008006045</v>
          </cell>
          <cell r="E1790" t="str">
            <v>EMMANUEL SALAKO</v>
          </cell>
          <cell r="F1790" t="str">
            <v>D (MD)</v>
          </cell>
          <cell r="G1790">
            <v>337720</v>
          </cell>
          <cell r="H1790" t="str">
            <v>Mayday</v>
          </cell>
          <cell r="I1790">
            <v>0.625</v>
          </cell>
          <cell r="J1790">
            <v>0.83333333333333337</v>
          </cell>
          <cell r="K1790">
            <v>5.6666666666666696</v>
          </cell>
          <cell r="L1790">
            <v>292.76</v>
          </cell>
          <cell r="O1790" t="str">
            <v>Y</v>
          </cell>
          <cell r="P1790" t="str">
            <v>N</v>
          </cell>
          <cell r="Q1790" t="str">
            <v>On-Call</v>
          </cell>
          <cell r="S1790">
            <v>0.15</v>
          </cell>
        </row>
        <row r="1791">
          <cell r="D1791">
            <v>1008006055</v>
          </cell>
          <cell r="E1791" t="str">
            <v>FLORENCE DLAMINI</v>
          </cell>
          <cell r="F1791" t="str">
            <v>D (MD)</v>
          </cell>
          <cell r="G1791">
            <v>338166</v>
          </cell>
          <cell r="H1791" t="str">
            <v>Mayday</v>
          </cell>
          <cell r="I1791">
            <v>0.83333333333333337</v>
          </cell>
          <cell r="J1791">
            <v>0.33333333333333331</v>
          </cell>
          <cell r="K1791">
            <v>11.1666666666667</v>
          </cell>
          <cell r="L1791">
            <v>576.91</v>
          </cell>
          <cell r="O1791" t="str">
            <v>Y</v>
          </cell>
          <cell r="P1791" t="str">
            <v>N</v>
          </cell>
          <cell r="Q1791" t="str">
            <v>On-Call</v>
          </cell>
          <cell r="S1791">
            <v>0.3</v>
          </cell>
        </row>
        <row r="1792">
          <cell r="D1792">
            <v>1008006083</v>
          </cell>
          <cell r="E1792" t="str">
            <v>FLORENCE DLAMINI</v>
          </cell>
          <cell r="F1792" t="str">
            <v>D (MD)</v>
          </cell>
          <cell r="H1792" t="str">
            <v>Mayday</v>
          </cell>
          <cell r="I1792">
            <v>0.83333333333333337</v>
          </cell>
          <cell r="J1792">
            <v>0.33333333333333331</v>
          </cell>
          <cell r="K1792">
            <v>11.3333333333333</v>
          </cell>
          <cell r="L1792">
            <v>585.53</v>
          </cell>
          <cell r="O1792" t="str">
            <v>Y</v>
          </cell>
          <cell r="P1792" t="str">
            <v>N</v>
          </cell>
          <cell r="Q1792" t="str">
            <v>Vacancy</v>
          </cell>
          <cell r="S1792">
            <v>0.3</v>
          </cell>
        </row>
        <row r="1793">
          <cell r="D1793">
            <v>1008003238</v>
          </cell>
          <cell r="E1793" t="str">
            <v>GRACE PANDARAOAM</v>
          </cell>
          <cell r="F1793" t="str">
            <v>D (Ch)</v>
          </cell>
          <cell r="G1793">
            <v>17024</v>
          </cell>
          <cell r="H1793" t="str">
            <v>Choice</v>
          </cell>
          <cell r="I1793">
            <v>0.83333333333333337</v>
          </cell>
          <cell r="J1793">
            <v>0.33333333333333331</v>
          </cell>
          <cell r="K1793">
            <v>11.3333333333333</v>
          </cell>
          <cell r="L1793">
            <v>441.91</v>
          </cell>
          <cell r="O1793" t="str">
            <v>Y</v>
          </cell>
          <cell r="P1793" t="str">
            <v>N</v>
          </cell>
          <cell r="Q1793" t="str">
            <v>Under Established</v>
          </cell>
          <cell r="S1793">
            <v>0.3</v>
          </cell>
        </row>
        <row r="1794">
          <cell r="D1794">
            <v>1008006061</v>
          </cell>
          <cell r="E1794" t="str">
            <v>JANE CHAMBER</v>
          </cell>
          <cell r="F1794" t="str">
            <v>D (MD)</v>
          </cell>
          <cell r="H1794" t="str">
            <v>Mayday</v>
          </cell>
          <cell r="I1794">
            <v>0.83333333333333337</v>
          </cell>
          <cell r="J1794">
            <v>0.33333333333333331</v>
          </cell>
          <cell r="K1794">
            <v>11.3333333333333</v>
          </cell>
          <cell r="L1794">
            <v>585.53</v>
          </cell>
          <cell r="O1794" t="str">
            <v>Y</v>
          </cell>
          <cell r="P1794" t="str">
            <v>N</v>
          </cell>
          <cell r="Q1794" t="str">
            <v>On-Call</v>
          </cell>
          <cell r="S1794">
            <v>0.3</v>
          </cell>
        </row>
        <row r="1795">
          <cell r="D1795">
            <v>1008004878</v>
          </cell>
          <cell r="E1795" t="str">
            <v>JANE DUNSMURE</v>
          </cell>
          <cell r="F1795" t="str">
            <v>D/5 (PS)</v>
          </cell>
          <cell r="H1795" t="str">
            <v>Pinnacle Staffing</v>
          </cell>
          <cell r="I1795">
            <v>0.79166666666666663</v>
          </cell>
          <cell r="J1795">
            <v>0.3125</v>
          </cell>
          <cell r="K1795">
            <v>10.5</v>
          </cell>
          <cell r="L1795">
            <v>285.43</v>
          </cell>
          <cell r="O1795" t="str">
            <v>Y</v>
          </cell>
          <cell r="P1795" t="str">
            <v>N</v>
          </cell>
          <cell r="Q1795" t="str">
            <v>Annual Leave</v>
          </cell>
          <cell r="S1795">
            <v>0.28000000000000003</v>
          </cell>
        </row>
        <row r="1796">
          <cell r="D1796">
            <v>1008006090</v>
          </cell>
          <cell r="E1796" t="str">
            <v>JASON WENT</v>
          </cell>
          <cell r="F1796" t="str">
            <v>D / 5 General (</v>
          </cell>
          <cell r="H1796" t="str">
            <v>Blue Arrow</v>
          </cell>
          <cell r="I1796">
            <v>0.83333333333333337</v>
          </cell>
          <cell r="J1796">
            <v>0.33333333333333331</v>
          </cell>
          <cell r="K1796">
            <v>11.3333333333333</v>
          </cell>
          <cell r="L1796">
            <v>306.08999999999997</v>
          </cell>
          <cell r="O1796" t="str">
            <v>Y</v>
          </cell>
          <cell r="P1796" t="str">
            <v>N</v>
          </cell>
          <cell r="Q1796" t="str">
            <v>Vacancy</v>
          </cell>
          <cell r="S1796">
            <v>0.3</v>
          </cell>
        </row>
        <row r="1797">
          <cell r="D1797">
            <v>1008001951</v>
          </cell>
          <cell r="E1797" t="str">
            <v>JOANNE BUSS</v>
          </cell>
          <cell r="F1797" t="str">
            <v>D (MD)</v>
          </cell>
          <cell r="G1797">
            <v>337395</v>
          </cell>
          <cell r="H1797" t="str">
            <v>Mayday</v>
          </cell>
          <cell r="I1797">
            <v>0.3125</v>
          </cell>
          <cell r="J1797">
            <v>0.54166666666666663</v>
          </cell>
          <cell r="K1797">
            <v>5.5</v>
          </cell>
          <cell r="L1797">
            <v>284.14999999999998</v>
          </cell>
          <cell r="O1797" t="str">
            <v>Y</v>
          </cell>
          <cell r="P1797" t="str">
            <v>N</v>
          </cell>
          <cell r="Q1797" t="str">
            <v>Vacancy</v>
          </cell>
          <cell r="S1797">
            <v>0.15</v>
          </cell>
        </row>
        <row r="1798">
          <cell r="D1798">
            <v>1008005972</v>
          </cell>
          <cell r="E1798" t="str">
            <v>KATH BURTON</v>
          </cell>
          <cell r="F1798" t="str">
            <v>D (MD)</v>
          </cell>
          <cell r="G1798">
            <v>338058</v>
          </cell>
          <cell r="H1798" t="str">
            <v>Mayday</v>
          </cell>
          <cell r="I1798">
            <v>0.3125</v>
          </cell>
          <cell r="J1798">
            <v>0.5625</v>
          </cell>
          <cell r="K1798">
            <v>5.6666666666666696</v>
          </cell>
          <cell r="L1798">
            <v>292.76</v>
          </cell>
          <cell r="O1798" t="str">
            <v>Y</v>
          </cell>
          <cell r="P1798" t="str">
            <v>N</v>
          </cell>
          <cell r="Q1798" t="str">
            <v>Acuity</v>
          </cell>
          <cell r="S1798">
            <v>0.15</v>
          </cell>
        </row>
        <row r="1799">
          <cell r="D1799">
            <v>808004522</v>
          </cell>
          <cell r="E1799" t="str">
            <v>LETECIA MENIANO</v>
          </cell>
          <cell r="F1799" t="str">
            <v>D (MD)</v>
          </cell>
          <cell r="G1799">
            <v>337713</v>
          </cell>
          <cell r="H1799" t="str">
            <v>Mayday</v>
          </cell>
          <cell r="I1799">
            <v>0.83333333333333337</v>
          </cell>
          <cell r="J1799">
            <v>0.33333333333333331</v>
          </cell>
          <cell r="K1799">
            <v>11.3333333333333</v>
          </cell>
          <cell r="L1799">
            <v>585.53</v>
          </cell>
          <cell r="O1799" t="str">
            <v>Y</v>
          </cell>
          <cell r="P1799" t="str">
            <v>N</v>
          </cell>
          <cell r="Q1799" t="str">
            <v>Extra Capacity</v>
          </cell>
          <cell r="S1799">
            <v>0.3</v>
          </cell>
        </row>
        <row r="1800">
          <cell r="D1800">
            <v>1008006022</v>
          </cell>
          <cell r="E1800" t="str">
            <v>NILO DANUGO</v>
          </cell>
          <cell r="F1800" t="str">
            <v>D (Ch)</v>
          </cell>
          <cell r="H1800" t="str">
            <v>Choice</v>
          </cell>
          <cell r="I1800">
            <v>0.84375</v>
          </cell>
          <cell r="J1800">
            <v>0.33333333333333331</v>
          </cell>
          <cell r="K1800">
            <v>11.4166666666667</v>
          </cell>
          <cell r="L1800">
            <v>445.16</v>
          </cell>
          <cell r="O1800" t="str">
            <v>Y</v>
          </cell>
          <cell r="P1800" t="str">
            <v>N</v>
          </cell>
          <cell r="Q1800" t="str">
            <v>Short Term Sick</v>
          </cell>
          <cell r="S1800">
            <v>0.3</v>
          </cell>
        </row>
        <row r="1801">
          <cell r="D1801">
            <v>1008001147</v>
          </cell>
          <cell r="E1801" t="str">
            <v>PETER  PAYA</v>
          </cell>
          <cell r="F1801" t="str">
            <v>A (Ch)</v>
          </cell>
          <cell r="G1801">
            <v>17019</v>
          </cell>
          <cell r="H1801" t="str">
            <v>Choice</v>
          </cell>
          <cell r="I1801">
            <v>0.82291666666666663</v>
          </cell>
          <cell r="J1801">
            <v>0.34375</v>
          </cell>
          <cell r="K1801">
            <v>11.5</v>
          </cell>
          <cell r="L1801">
            <v>212.56</v>
          </cell>
          <cell r="O1801" t="str">
            <v>Y</v>
          </cell>
          <cell r="P1801" t="str">
            <v>N</v>
          </cell>
          <cell r="Q1801" t="str">
            <v>Vacancy</v>
          </cell>
          <cell r="S1801">
            <v>0.31</v>
          </cell>
        </row>
        <row r="1802">
          <cell r="D1802">
            <v>1008003178</v>
          </cell>
          <cell r="E1802" t="str">
            <v>RICCA PARADA</v>
          </cell>
          <cell r="F1802" t="str">
            <v>D (Ch)</v>
          </cell>
          <cell r="G1802">
            <v>17010</v>
          </cell>
          <cell r="H1802" t="str">
            <v>Choice</v>
          </cell>
          <cell r="I1802">
            <v>0.3125</v>
          </cell>
          <cell r="J1802">
            <v>0.625</v>
          </cell>
          <cell r="K1802">
            <v>7.1666666666666696</v>
          </cell>
          <cell r="L1802">
            <v>279.44</v>
          </cell>
          <cell r="O1802" t="str">
            <v>Y</v>
          </cell>
          <cell r="P1802" t="str">
            <v>N</v>
          </cell>
          <cell r="Q1802" t="str">
            <v>Extra Capacity</v>
          </cell>
          <cell r="S1802">
            <v>0.19</v>
          </cell>
        </row>
        <row r="1803">
          <cell r="D1803">
            <v>1008006077</v>
          </cell>
          <cell r="E1803" t="str">
            <v>RODA RAMERIZ</v>
          </cell>
          <cell r="F1803" t="str">
            <v>D (Ch)</v>
          </cell>
          <cell r="G1803">
            <v>17022</v>
          </cell>
          <cell r="H1803" t="str">
            <v>Choice</v>
          </cell>
          <cell r="I1803">
            <v>0.84375</v>
          </cell>
          <cell r="J1803">
            <v>0.32291666666666669</v>
          </cell>
          <cell r="K1803">
            <v>10.5</v>
          </cell>
          <cell r="L1803">
            <v>409.42</v>
          </cell>
          <cell r="O1803" t="str">
            <v>Y</v>
          </cell>
          <cell r="P1803" t="str">
            <v>N</v>
          </cell>
          <cell r="Q1803" t="str">
            <v>Vacancy</v>
          </cell>
          <cell r="S1803">
            <v>0.28000000000000003</v>
          </cell>
        </row>
        <row r="1804">
          <cell r="D1804">
            <v>908006666</v>
          </cell>
          <cell r="E1804" t="str">
            <v>ROHEYATOU NDOW-NJIE</v>
          </cell>
          <cell r="F1804" t="str">
            <v>D (Ch)</v>
          </cell>
          <cell r="H1804" t="str">
            <v>Choice</v>
          </cell>
          <cell r="I1804">
            <v>0.625</v>
          </cell>
          <cell r="J1804">
            <v>0.85416666666666663</v>
          </cell>
          <cell r="K1804">
            <v>5.5</v>
          </cell>
          <cell r="L1804">
            <v>214.46</v>
          </cell>
          <cell r="O1804" t="str">
            <v>Y</v>
          </cell>
          <cell r="P1804" t="str">
            <v>N</v>
          </cell>
          <cell r="Q1804" t="str">
            <v>Extra Capacity</v>
          </cell>
          <cell r="S1804">
            <v>0.15</v>
          </cell>
        </row>
        <row r="1805">
          <cell r="D1805">
            <v>1008006053</v>
          </cell>
          <cell r="E1805" t="str">
            <v>ROHEYATOU NDOW-NJIE</v>
          </cell>
          <cell r="F1805" t="str">
            <v>D (Ch)</v>
          </cell>
          <cell r="G1805">
            <v>17240</v>
          </cell>
          <cell r="H1805" t="str">
            <v>Choice</v>
          </cell>
          <cell r="I1805">
            <v>0.3125</v>
          </cell>
          <cell r="J1805">
            <v>0.5625</v>
          </cell>
          <cell r="K1805">
            <v>5.6666666666666696</v>
          </cell>
          <cell r="L1805">
            <v>220.95</v>
          </cell>
          <cell r="O1805" t="str">
            <v>Y</v>
          </cell>
          <cell r="P1805" t="str">
            <v>N</v>
          </cell>
          <cell r="Q1805" t="str">
            <v>Vacancy</v>
          </cell>
          <cell r="S1805">
            <v>0.15</v>
          </cell>
        </row>
        <row r="1806">
          <cell r="D1806">
            <v>1008006054</v>
          </cell>
          <cell r="E1806" t="str">
            <v>ROHEYATOU NDOW-NJIE</v>
          </cell>
          <cell r="F1806" t="str">
            <v>D (Ch)</v>
          </cell>
          <cell r="G1806">
            <v>17247</v>
          </cell>
          <cell r="H1806" t="str">
            <v>Choice</v>
          </cell>
          <cell r="I1806">
            <v>0.625</v>
          </cell>
          <cell r="J1806">
            <v>0.875</v>
          </cell>
          <cell r="K1806">
            <v>5.6666666666666696</v>
          </cell>
          <cell r="L1806">
            <v>220.95</v>
          </cell>
          <cell r="O1806" t="str">
            <v>Y</v>
          </cell>
          <cell r="P1806" t="str">
            <v>N</v>
          </cell>
          <cell r="Q1806" t="str">
            <v>Vacancy</v>
          </cell>
          <cell r="S1806">
            <v>0.15</v>
          </cell>
        </row>
        <row r="1807">
          <cell r="D1807">
            <v>1008006029</v>
          </cell>
          <cell r="E1807" t="str">
            <v>SAMSON BARACENA</v>
          </cell>
          <cell r="F1807" t="str">
            <v>D (Ch)</v>
          </cell>
          <cell r="G1807">
            <v>17026</v>
          </cell>
          <cell r="H1807" t="str">
            <v>Choice</v>
          </cell>
          <cell r="I1807">
            <v>0.875</v>
          </cell>
          <cell r="J1807">
            <v>0.30208333333333331</v>
          </cell>
          <cell r="K1807">
            <v>9.9166666666666696</v>
          </cell>
          <cell r="L1807">
            <v>386.67</v>
          </cell>
          <cell r="O1807" t="str">
            <v>Y</v>
          </cell>
          <cell r="P1807" t="str">
            <v>N</v>
          </cell>
          <cell r="Q1807" t="str">
            <v>Vacancy</v>
          </cell>
          <cell r="S1807">
            <v>0.26</v>
          </cell>
        </row>
        <row r="1808">
          <cell r="D1808">
            <v>1008006032</v>
          </cell>
          <cell r="E1808" t="str">
            <v>TAMBU JENA</v>
          </cell>
          <cell r="F1808" t="str">
            <v>D (MD)</v>
          </cell>
          <cell r="G1808">
            <v>17013</v>
          </cell>
          <cell r="H1808" t="str">
            <v>Mayday</v>
          </cell>
          <cell r="I1808">
            <v>0.29166666666666669</v>
          </cell>
          <cell r="J1808">
            <v>0.625</v>
          </cell>
          <cell r="K1808">
            <v>7.6666666666666696</v>
          </cell>
          <cell r="L1808">
            <v>396.09</v>
          </cell>
          <cell r="O1808" t="str">
            <v>Y</v>
          </cell>
          <cell r="P1808" t="str">
            <v>N</v>
          </cell>
          <cell r="Q1808" t="str">
            <v>Vacancy</v>
          </cell>
          <cell r="S1808">
            <v>0.2</v>
          </cell>
        </row>
        <row r="1809">
          <cell r="D1809">
            <v>808004360</v>
          </cell>
          <cell r="E1809" t="str">
            <v>TARA MASSIE</v>
          </cell>
          <cell r="F1809" t="str">
            <v>D (MD)</v>
          </cell>
          <cell r="G1809">
            <v>337722</v>
          </cell>
          <cell r="H1809" t="str">
            <v>Mayday</v>
          </cell>
          <cell r="I1809">
            <v>0.625</v>
          </cell>
          <cell r="J1809">
            <v>0.85416666666666663</v>
          </cell>
          <cell r="K1809">
            <v>5.5</v>
          </cell>
          <cell r="L1809">
            <v>284.14999999999998</v>
          </cell>
          <cell r="O1809" t="str">
            <v>Y</v>
          </cell>
          <cell r="P1809" t="str">
            <v>N</v>
          </cell>
          <cell r="Q1809" t="str">
            <v>Extra Capacity</v>
          </cell>
          <cell r="S1809">
            <v>0.15</v>
          </cell>
        </row>
        <row r="1810">
          <cell r="D1810">
            <v>808004388</v>
          </cell>
          <cell r="E1810" t="str">
            <v>TEMBE NGIDI</v>
          </cell>
          <cell r="F1810" t="str">
            <v>D (MD)</v>
          </cell>
          <cell r="G1810">
            <v>337694</v>
          </cell>
          <cell r="H1810" t="str">
            <v>Mayday</v>
          </cell>
          <cell r="I1810">
            <v>0.83333333333333337</v>
          </cell>
          <cell r="J1810">
            <v>0.33333333333333331</v>
          </cell>
          <cell r="K1810">
            <v>11.3333333333333</v>
          </cell>
          <cell r="L1810">
            <v>585.53</v>
          </cell>
          <cell r="O1810" t="str">
            <v>Y</v>
          </cell>
          <cell r="P1810" t="str">
            <v>N</v>
          </cell>
          <cell r="Q1810" t="str">
            <v>Extra Capacity</v>
          </cell>
          <cell r="S1810">
            <v>0.3</v>
          </cell>
        </row>
        <row r="1811">
          <cell r="D1811">
            <v>1008006159</v>
          </cell>
          <cell r="E1811" t="str">
            <v>ANTHONY OGOEGBUNAN</v>
          </cell>
          <cell r="F1811" t="str">
            <v>D (MD)</v>
          </cell>
          <cell r="G1811">
            <v>339133</v>
          </cell>
          <cell r="H1811" t="str">
            <v>Mayday</v>
          </cell>
          <cell r="I1811">
            <v>0.8125</v>
          </cell>
          <cell r="J1811">
            <v>0.33333333333333331</v>
          </cell>
          <cell r="K1811">
            <v>11.8333333333333</v>
          </cell>
          <cell r="L1811">
            <v>496.73</v>
          </cell>
          <cell r="O1811" t="str">
            <v>Y</v>
          </cell>
          <cell r="P1811" t="str">
            <v>N</v>
          </cell>
          <cell r="Q1811" t="str">
            <v>Short Term Sick</v>
          </cell>
          <cell r="S1811">
            <v>0.32</v>
          </cell>
        </row>
        <row r="1812">
          <cell r="D1812">
            <v>908006487</v>
          </cell>
          <cell r="E1812" t="str">
            <v>ATINUKE OKE-OLATUNDE</v>
          </cell>
          <cell r="F1812" t="str">
            <v>D (MD)</v>
          </cell>
          <cell r="G1812">
            <v>341979</v>
          </cell>
          <cell r="H1812" t="str">
            <v>Mayday</v>
          </cell>
          <cell r="I1812">
            <v>0.83333333333333337</v>
          </cell>
          <cell r="J1812">
            <v>0.33333333333333331</v>
          </cell>
          <cell r="K1812">
            <v>11.3333333333333</v>
          </cell>
          <cell r="L1812">
            <v>475.74</v>
          </cell>
          <cell r="O1812" t="str">
            <v>Y</v>
          </cell>
          <cell r="P1812" t="str">
            <v>N</v>
          </cell>
          <cell r="Q1812" t="str">
            <v>Vacancy</v>
          </cell>
          <cell r="S1812">
            <v>0.3</v>
          </cell>
        </row>
        <row r="1813">
          <cell r="D1813">
            <v>1008004195</v>
          </cell>
          <cell r="E1813" t="str">
            <v>BIDDY CHAFESUKA</v>
          </cell>
          <cell r="F1813" t="str">
            <v>D (Ch)</v>
          </cell>
          <cell r="G1813">
            <v>17103</v>
          </cell>
          <cell r="H1813" t="str">
            <v>Choice</v>
          </cell>
          <cell r="I1813">
            <v>0.29166666666666669</v>
          </cell>
          <cell r="J1813">
            <v>0.625</v>
          </cell>
          <cell r="K1813">
            <v>7.5</v>
          </cell>
          <cell r="L1813">
            <v>182.78</v>
          </cell>
          <cell r="O1813" t="str">
            <v>Y</v>
          </cell>
          <cell r="P1813" t="str">
            <v>N</v>
          </cell>
          <cell r="Q1813" t="str">
            <v>Extra Capacity</v>
          </cell>
          <cell r="S1813">
            <v>0.2</v>
          </cell>
        </row>
        <row r="1814">
          <cell r="D1814">
            <v>1008006154</v>
          </cell>
          <cell r="E1814" t="str">
            <v>BONNIE TWALA</v>
          </cell>
          <cell r="F1814" t="str">
            <v>D (MD)</v>
          </cell>
          <cell r="G1814">
            <v>339065</v>
          </cell>
          <cell r="H1814" t="str">
            <v>Mayday</v>
          </cell>
          <cell r="I1814">
            <v>0.8125</v>
          </cell>
          <cell r="J1814">
            <v>0.33333333333333331</v>
          </cell>
          <cell r="K1814">
            <v>11.8333333333333</v>
          </cell>
          <cell r="L1814">
            <v>496.73</v>
          </cell>
          <cell r="O1814" t="str">
            <v>Y</v>
          </cell>
          <cell r="P1814" t="str">
            <v>N</v>
          </cell>
          <cell r="Q1814" t="str">
            <v>Vacancy</v>
          </cell>
          <cell r="S1814">
            <v>0.32</v>
          </cell>
        </row>
        <row r="1815">
          <cell r="D1815">
            <v>1008001004</v>
          </cell>
          <cell r="E1815" t="str">
            <v>CHRIS STULAR</v>
          </cell>
          <cell r="F1815" t="str">
            <v>D General (Orio</v>
          </cell>
          <cell r="G1815">
            <v>17589</v>
          </cell>
          <cell r="H1815" t="str">
            <v>Orion</v>
          </cell>
          <cell r="I1815">
            <v>0.33333333333333331</v>
          </cell>
          <cell r="J1815">
            <v>0.75</v>
          </cell>
          <cell r="K1815">
            <v>9.5</v>
          </cell>
          <cell r="L1815">
            <v>172.14</v>
          </cell>
          <cell r="O1815" t="str">
            <v>Y</v>
          </cell>
          <cell r="P1815" t="str">
            <v>N</v>
          </cell>
          <cell r="Q1815" t="str">
            <v>Backfill</v>
          </cell>
          <cell r="S1815">
            <v>0.25</v>
          </cell>
        </row>
        <row r="1816">
          <cell r="D1816">
            <v>1008006199</v>
          </cell>
          <cell r="E1816" t="str">
            <v>DOROTHY MUTHWA</v>
          </cell>
          <cell r="F1816" t="str">
            <v>A (Ch)</v>
          </cell>
          <cell r="G1816">
            <v>17106</v>
          </cell>
          <cell r="H1816" t="str">
            <v>Choice</v>
          </cell>
          <cell r="I1816">
            <v>0.88541666666666663</v>
          </cell>
          <cell r="J1816">
            <v>0.3125</v>
          </cell>
          <cell r="K1816">
            <v>9.9166666666666696</v>
          </cell>
          <cell r="L1816">
            <v>146.63</v>
          </cell>
          <cell r="O1816" t="str">
            <v>Y</v>
          </cell>
          <cell r="P1816" t="str">
            <v>N</v>
          </cell>
          <cell r="Q1816" t="str">
            <v>Short Term Sick</v>
          </cell>
          <cell r="S1816">
            <v>0.26</v>
          </cell>
        </row>
        <row r="1817">
          <cell r="D1817">
            <v>1108000158</v>
          </cell>
          <cell r="E1817" t="str">
            <v>ELENOR PARAZO</v>
          </cell>
          <cell r="F1817" t="str">
            <v>D (MD)</v>
          </cell>
          <cell r="G1817">
            <v>338860</v>
          </cell>
          <cell r="H1817" t="str">
            <v>Mayday</v>
          </cell>
          <cell r="I1817">
            <v>0.83333333333333337</v>
          </cell>
          <cell r="J1817">
            <v>0.33333333333333331</v>
          </cell>
          <cell r="K1817">
            <v>11</v>
          </cell>
          <cell r="L1817">
            <v>461.75</v>
          </cell>
          <cell r="O1817" t="str">
            <v>Y</v>
          </cell>
          <cell r="P1817" t="str">
            <v>N</v>
          </cell>
          <cell r="Q1817" t="str">
            <v>Acuity</v>
          </cell>
          <cell r="S1817">
            <v>0.28999999999999998</v>
          </cell>
        </row>
        <row r="1818">
          <cell r="D1818">
            <v>1008005948</v>
          </cell>
          <cell r="E1818" t="str">
            <v>GLENDA RONA</v>
          </cell>
          <cell r="F1818" t="str">
            <v>D (Ch)</v>
          </cell>
          <cell r="G1818">
            <v>17100</v>
          </cell>
          <cell r="H1818" t="str">
            <v>Choice</v>
          </cell>
          <cell r="I1818">
            <v>0.83333333333333337</v>
          </cell>
          <cell r="J1818">
            <v>0.33333333333333331</v>
          </cell>
          <cell r="K1818">
            <v>11.3333333333333</v>
          </cell>
          <cell r="L1818">
            <v>359.05</v>
          </cell>
          <cell r="O1818" t="str">
            <v>Y</v>
          </cell>
          <cell r="P1818" t="str">
            <v>N</v>
          </cell>
          <cell r="Q1818" t="str">
            <v>Extra Capacity</v>
          </cell>
          <cell r="S1818">
            <v>0.3</v>
          </cell>
        </row>
        <row r="1819">
          <cell r="D1819">
            <v>1008001015</v>
          </cell>
          <cell r="E1819" t="str">
            <v>JAKE BROOKES</v>
          </cell>
          <cell r="F1819" t="str">
            <v>D General (Orio</v>
          </cell>
          <cell r="G1819">
            <v>17595</v>
          </cell>
          <cell r="H1819" t="str">
            <v>Orion</v>
          </cell>
          <cell r="I1819">
            <v>0.33333333333333331</v>
          </cell>
          <cell r="J1819">
            <v>0.75</v>
          </cell>
          <cell r="K1819">
            <v>9.5</v>
          </cell>
          <cell r="L1819">
            <v>172.14</v>
          </cell>
          <cell r="O1819" t="str">
            <v>Y</v>
          </cell>
          <cell r="P1819" t="str">
            <v>N</v>
          </cell>
          <cell r="Q1819" t="str">
            <v>Vacancy</v>
          </cell>
          <cell r="S1819">
            <v>0.25</v>
          </cell>
        </row>
        <row r="1820">
          <cell r="D1820">
            <v>1008003319</v>
          </cell>
          <cell r="E1820" t="str">
            <v>JEAN NGONA</v>
          </cell>
          <cell r="F1820" t="str">
            <v>D (MD)</v>
          </cell>
          <cell r="G1820">
            <v>341604</v>
          </cell>
          <cell r="H1820" t="str">
            <v>Mayday</v>
          </cell>
          <cell r="I1820">
            <v>0.3125</v>
          </cell>
          <cell r="J1820">
            <v>0.58333333333333337</v>
          </cell>
          <cell r="K1820">
            <v>6</v>
          </cell>
          <cell r="L1820">
            <v>193.74</v>
          </cell>
          <cell r="O1820" t="str">
            <v>Y</v>
          </cell>
          <cell r="P1820" t="str">
            <v>N</v>
          </cell>
          <cell r="Q1820" t="str">
            <v>Vacancy</v>
          </cell>
          <cell r="S1820">
            <v>0.16</v>
          </cell>
        </row>
        <row r="1821">
          <cell r="D1821">
            <v>1008006157</v>
          </cell>
          <cell r="E1821" t="str">
            <v>JESSICA BELLAMY</v>
          </cell>
          <cell r="F1821" t="str">
            <v>D (MD)</v>
          </cell>
          <cell r="G1821">
            <v>339990</v>
          </cell>
          <cell r="H1821" t="str">
            <v>Mayday</v>
          </cell>
          <cell r="I1821">
            <v>0.8125</v>
          </cell>
          <cell r="J1821">
            <v>0.33333333333333331</v>
          </cell>
          <cell r="K1821">
            <v>11.3333333333333</v>
          </cell>
          <cell r="L1821">
            <v>475.74</v>
          </cell>
          <cell r="O1821" t="str">
            <v>Y</v>
          </cell>
          <cell r="P1821" t="str">
            <v>N</v>
          </cell>
          <cell r="Q1821" t="str">
            <v>Vacancy</v>
          </cell>
          <cell r="S1821">
            <v>0.3</v>
          </cell>
        </row>
        <row r="1822">
          <cell r="D1822">
            <v>1008003181</v>
          </cell>
          <cell r="E1822" t="str">
            <v>KATH BURTON</v>
          </cell>
          <cell r="F1822" t="str">
            <v>D (MD)</v>
          </cell>
          <cell r="G1822">
            <v>340127</v>
          </cell>
          <cell r="H1822" t="str">
            <v>Mayday</v>
          </cell>
          <cell r="I1822">
            <v>0.3125</v>
          </cell>
          <cell r="J1822">
            <v>0.625</v>
          </cell>
          <cell r="K1822">
            <v>7.1666666666666696</v>
          </cell>
          <cell r="L1822">
            <v>231.41</v>
          </cell>
          <cell r="O1822" t="str">
            <v>Y</v>
          </cell>
          <cell r="P1822" t="str">
            <v>N</v>
          </cell>
          <cell r="Q1822" t="str">
            <v>Extra Capacity</v>
          </cell>
          <cell r="S1822">
            <v>0.19</v>
          </cell>
        </row>
        <row r="1823">
          <cell r="D1823">
            <v>908006508</v>
          </cell>
          <cell r="E1823" t="str">
            <v>KATIE KEAVENEY</v>
          </cell>
          <cell r="F1823" t="str">
            <v>D (MD)</v>
          </cell>
          <cell r="G1823">
            <v>340122</v>
          </cell>
          <cell r="H1823" t="str">
            <v>Mayday</v>
          </cell>
          <cell r="I1823">
            <v>0.3125</v>
          </cell>
          <cell r="J1823">
            <v>0.58333333333333337</v>
          </cell>
          <cell r="K1823">
            <v>6.1666666666666696</v>
          </cell>
          <cell r="L1823">
            <v>199.12</v>
          </cell>
          <cell r="O1823" t="str">
            <v>Y</v>
          </cell>
          <cell r="P1823" t="str">
            <v>N</v>
          </cell>
          <cell r="Q1823" t="str">
            <v>Vacancy</v>
          </cell>
          <cell r="S1823">
            <v>0.16</v>
          </cell>
        </row>
        <row r="1824">
          <cell r="D1824">
            <v>908006510</v>
          </cell>
          <cell r="E1824" t="str">
            <v>KATIE KEAVENEY</v>
          </cell>
          <cell r="F1824" t="str">
            <v>D (MD)</v>
          </cell>
          <cell r="G1824">
            <v>340122</v>
          </cell>
          <cell r="H1824" t="str">
            <v>Mayday</v>
          </cell>
          <cell r="I1824">
            <v>0.625</v>
          </cell>
          <cell r="J1824">
            <v>0.85416666666666663</v>
          </cell>
          <cell r="K1824">
            <v>5.5</v>
          </cell>
          <cell r="L1824">
            <v>177.59</v>
          </cell>
          <cell r="O1824" t="str">
            <v>Y</v>
          </cell>
          <cell r="P1824" t="str">
            <v>N</v>
          </cell>
          <cell r="Q1824" t="str">
            <v>Vacancy</v>
          </cell>
          <cell r="S1824">
            <v>0.15</v>
          </cell>
        </row>
        <row r="1825">
          <cell r="D1825">
            <v>1008005995</v>
          </cell>
          <cell r="E1825" t="str">
            <v>LEONA CONTRERAS</v>
          </cell>
          <cell r="F1825" t="str">
            <v>D (MD)</v>
          </cell>
          <cell r="G1825">
            <v>339092</v>
          </cell>
          <cell r="H1825" t="str">
            <v>Mayday</v>
          </cell>
          <cell r="I1825">
            <v>0.625</v>
          </cell>
          <cell r="J1825">
            <v>0.85416666666666663</v>
          </cell>
          <cell r="K1825">
            <v>5.5</v>
          </cell>
          <cell r="L1825">
            <v>177.59</v>
          </cell>
          <cell r="O1825" t="str">
            <v>Y</v>
          </cell>
          <cell r="P1825" t="str">
            <v>N</v>
          </cell>
          <cell r="Q1825" t="str">
            <v>Short Term Sick</v>
          </cell>
          <cell r="S1825">
            <v>0.15</v>
          </cell>
        </row>
        <row r="1826">
          <cell r="D1826">
            <v>1008001359</v>
          </cell>
          <cell r="E1826" t="str">
            <v>LETECIA MENIANO</v>
          </cell>
          <cell r="F1826" t="str">
            <v>D (MD)</v>
          </cell>
          <cell r="G1826">
            <v>339137</v>
          </cell>
          <cell r="H1826" t="str">
            <v>Mayday</v>
          </cell>
          <cell r="I1826">
            <v>0.83333333333333337</v>
          </cell>
          <cell r="J1826">
            <v>0.33333333333333331</v>
          </cell>
          <cell r="K1826">
            <v>11.3333333333333</v>
          </cell>
          <cell r="L1826">
            <v>475.74</v>
          </cell>
          <cell r="O1826" t="str">
            <v>Y</v>
          </cell>
          <cell r="P1826" t="str">
            <v>N</v>
          </cell>
          <cell r="Q1826" t="str">
            <v>Vacancy</v>
          </cell>
          <cell r="S1826">
            <v>0.3</v>
          </cell>
        </row>
        <row r="1827">
          <cell r="D1827">
            <v>1008005262</v>
          </cell>
          <cell r="E1827" t="str">
            <v>LUKE HONEY</v>
          </cell>
          <cell r="F1827" t="str">
            <v>D General (Orio</v>
          </cell>
          <cell r="G1827">
            <v>17828</v>
          </cell>
          <cell r="H1827" t="str">
            <v>Orion</v>
          </cell>
          <cell r="I1827">
            <v>0.33333333333333331</v>
          </cell>
          <cell r="J1827">
            <v>0.75</v>
          </cell>
          <cell r="K1827">
            <v>9.6666666666666696</v>
          </cell>
          <cell r="L1827">
            <v>175.16</v>
          </cell>
          <cell r="O1827" t="str">
            <v>Y</v>
          </cell>
          <cell r="P1827" t="str">
            <v>N</v>
          </cell>
          <cell r="Q1827" t="str">
            <v>Vacancy</v>
          </cell>
          <cell r="S1827">
            <v>0.26</v>
          </cell>
        </row>
        <row r="1828">
          <cell r="D1828">
            <v>1008001356</v>
          </cell>
          <cell r="E1828" t="str">
            <v>PAT DUBE</v>
          </cell>
          <cell r="F1828" t="str">
            <v>D (MD)</v>
          </cell>
          <cell r="G1828">
            <v>340119</v>
          </cell>
          <cell r="H1828" t="str">
            <v>Mayday</v>
          </cell>
          <cell r="I1828">
            <v>0.3125</v>
          </cell>
          <cell r="J1828">
            <v>0.58333333333333337</v>
          </cell>
          <cell r="K1828">
            <v>6.1666666666666696</v>
          </cell>
          <cell r="L1828">
            <v>199.12</v>
          </cell>
          <cell r="O1828" t="str">
            <v>Y</v>
          </cell>
          <cell r="P1828" t="str">
            <v>N</v>
          </cell>
          <cell r="Q1828" t="str">
            <v>Vacancy</v>
          </cell>
          <cell r="S1828">
            <v>0.16</v>
          </cell>
        </row>
        <row r="1829">
          <cell r="D1829">
            <v>908006687</v>
          </cell>
          <cell r="E1829" t="str">
            <v>PEGGY CHIRIKURE</v>
          </cell>
          <cell r="F1829" t="str">
            <v>D (Ch)</v>
          </cell>
          <cell r="G1829">
            <v>17162</v>
          </cell>
          <cell r="H1829" t="str">
            <v>Choice</v>
          </cell>
          <cell r="I1829">
            <v>0.3125</v>
          </cell>
          <cell r="J1829">
            <v>0.54166666666666663</v>
          </cell>
          <cell r="K1829">
            <v>5.5</v>
          </cell>
          <cell r="L1829">
            <v>134.03</v>
          </cell>
          <cell r="O1829" t="str">
            <v>Y</v>
          </cell>
          <cell r="P1829" t="str">
            <v>N</v>
          </cell>
          <cell r="Q1829" t="str">
            <v>Extra Capacity</v>
          </cell>
          <cell r="S1829">
            <v>0.15</v>
          </cell>
        </row>
        <row r="1830">
          <cell r="D1830">
            <v>1008005324</v>
          </cell>
          <cell r="E1830" t="str">
            <v>PEGGY CHIRIKURE</v>
          </cell>
          <cell r="F1830" t="str">
            <v>D (Ch)</v>
          </cell>
          <cell r="G1830">
            <v>17165</v>
          </cell>
          <cell r="H1830" t="str">
            <v>Choice</v>
          </cell>
          <cell r="I1830">
            <v>0.54166666666666663</v>
          </cell>
          <cell r="J1830">
            <v>0.83333333333333337</v>
          </cell>
          <cell r="K1830">
            <v>6.6666666666666696</v>
          </cell>
          <cell r="L1830">
            <v>162.47</v>
          </cell>
          <cell r="O1830" t="str">
            <v>Y</v>
          </cell>
          <cell r="P1830" t="str">
            <v>N</v>
          </cell>
          <cell r="Q1830" t="str">
            <v>Emergency Leave</v>
          </cell>
          <cell r="S1830">
            <v>0.18</v>
          </cell>
        </row>
        <row r="1831">
          <cell r="D1831">
            <v>1008001234</v>
          </cell>
          <cell r="E1831" t="str">
            <v>PRUDENCE MAJOZI</v>
          </cell>
          <cell r="F1831" t="str">
            <v>D (MD)</v>
          </cell>
          <cell r="G1831">
            <v>339886</v>
          </cell>
          <cell r="H1831" t="str">
            <v>Mayday</v>
          </cell>
          <cell r="I1831">
            <v>0.3125</v>
          </cell>
          <cell r="J1831">
            <v>0.5625</v>
          </cell>
          <cell r="K1831">
            <v>5.6666666666666696</v>
          </cell>
          <cell r="L1831">
            <v>182.98</v>
          </cell>
          <cell r="O1831" t="str">
            <v>Y</v>
          </cell>
          <cell r="P1831" t="str">
            <v>N</v>
          </cell>
          <cell r="Q1831" t="str">
            <v>Under Established</v>
          </cell>
          <cell r="S1831">
            <v>0.15</v>
          </cell>
        </row>
        <row r="1832">
          <cell r="D1832">
            <v>1008001236</v>
          </cell>
          <cell r="E1832" t="str">
            <v>PRUDENCE MAJOZI</v>
          </cell>
          <cell r="F1832" t="str">
            <v>D (MD)</v>
          </cell>
          <cell r="G1832">
            <v>339886</v>
          </cell>
          <cell r="H1832" t="str">
            <v>Mayday</v>
          </cell>
          <cell r="I1832">
            <v>0.5625</v>
          </cell>
          <cell r="J1832">
            <v>0.89583333333333337</v>
          </cell>
          <cell r="K1832">
            <v>7.6666666666666696</v>
          </cell>
          <cell r="L1832">
            <v>247.56</v>
          </cell>
          <cell r="O1832" t="str">
            <v>Y</v>
          </cell>
          <cell r="P1832" t="str">
            <v>N</v>
          </cell>
          <cell r="Q1832" t="str">
            <v>Under Established</v>
          </cell>
          <cell r="S1832">
            <v>0.2</v>
          </cell>
        </row>
        <row r="1833">
          <cell r="D1833">
            <v>1008003064</v>
          </cell>
          <cell r="E1833" t="str">
            <v>RODA RAMERIZ</v>
          </cell>
          <cell r="F1833" t="str">
            <v>D (Ch)</v>
          </cell>
          <cell r="G1833">
            <v>17091</v>
          </cell>
          <cell r="H1833" t="str">
            <v>Choice</v>
          </cell>
          <cell r="I1833">
            <v>0.84375</v>
          </cell>
          <cell r="J1833">
            <v>0.32291666666666669</v>
          </cell>
          <cell r="K1833">
            <v>11.1666666666667</v>
          </cell>
          <cell r="L1833">
            <v>353.77</v>
          </cell>
          <cell r="O1833" t="str">
            <v>Y</v>
          </cell>
          <cell r="P1833" t="str">
            <v>N</v>
          </cell>
          <cell r="Q1833" t="str">
            <v>Under Established</v>
          </cell>
          <cell r="S1833">
            <v>0.3</v>
          </cell>
        </row>
        <row r="1834">
          <cell r="D1834">
            <v>1008001233</v>
          </cell>
          <cell r="E1834" t="str">
            <v>ROHEYATOU NDOW-NJIE</v>
          </cell>
          <cell r="F1834" t="str">
            <v>D (Ch)</v>
          </cell>
          <cell r="H1834" t="str">
            <v>Choice</v>
          </cell>
          <cell r="I1834">
            <v>0.3125</v>
          </cell>
          <cell r="J1834">
            <v>0.5625</v>
          </cell>
          <cell r="K1834">
            <v>5.6666666666666696</v>
          </cell>
          <cell r="L1834">
            <v>138.1</v>
          </cell>
          <cell r="O1834" t="str">
            <v>Y</v>
          </cell>
          <cell r="P1834" t="str">
            <v>N</v>
          </cell>
          <cell r="Q1834" t="str">
            <v>Transfer</v>
          </cell>
          <cell r="S1834">
            <v>0.15</v>
          </cell>
        </row>
        <row r="1835">
          <cell r="D1835">
            <v>1008005947</v>
          </cell>
          <cell r="E1835" t="str">
            <v>SAM KELEM</v>
          </cell>
          <cell r="F1835" t="str">
            <v>D (Ch)</v>
          </cell>
          <cell r="G1835">
            <v>17107</v>
          </cell>
          <cell r="H1835" t="str">
            <v>Choice</v>
          </cell>
          <cell r="I1835">
            <v>0.83333333333333337</v>
          </cell>
          <cell r="J1835">
            <v>0.33333333333333331</v>
          </cell>
          <cell r="K1835">
            <v>11.3333333333333</v>
          </cell>
          <cell r="L1835">
            <v>359.05</v>
          </cell>
          <cell r="O1835" t="str">
            <v>Y</v>
          </cell>
          <cell r="P1835" t="str">
            <v>N</v>
          </cell>
          <cell r="Q1835" t="str">
            <v>Extra Capacity</v>
          </cell>
          <cell r="S1835">
            <v>0.3</v>
          </cell>
        </row>
        <row r="1836">
          <cell r="D1836">
            <v>1008001958</v>
          </cell>
          <cell r="E1836" t="str">
            <v>SUSAN MCENTIRE</v>
          </cell>
          <cell r="F1836" t="str">
            <v>D (MD)</v>
          </cell>
          <cell r="G1836">
            <v>339879</v>
          </cell>
          <cell r="H1836" t="str">
            <v>Mayday</v>
          </cell>
          <cell r="I1836">
            <v>0.625</v>
          </cell>
          <cell r="J1836">
            <v>0.85416666666666663</v>
          </cell>
          <cell r="K1836">
            <v>5.5</v>
          </cell>
          <cell r="L1836">
            <v>177.59</v>
          </cell>
          <cell r="O1836" t="str">
            <v>Y</v>
          </cell>
          <cell r="P1836" t="str">
            <v>N</v>
          </cell>
          <cell r="Q1836" t="str">
            <v>Vacancy</v>
          </cell>
          <cell r="S1836">
            <v>0.15</v>
          </cell>
        </row>
        <row r="1837">
          <cell r="D1837">
            <v>1008006069</v>
          </cell>
          <cell r="E1837" t="str">
            <v>TABBY MAEPE</v>
          </cell>
          <cell r="F1837" t="str">
            <v>D (MD)</v>
          </cell>
          <cell r="H1837" t="str">
            <v>Mayday</v>
          </cell>
          <cell r="I1837">
            <v>0.30208333333333331</v>
          </cell>
          <cell r="J1837">
            <v>0.5625</v>
          </cell>
          <cell r="K1837">
            <v>6.5</v>
          </cell>
          <cell r="L1837">
            <v>209.88</v>
          </cell>
          <cell r="O1837" t="str">
            <v>Y</v>
          </cell>
          <cell r="P1837" t="str">
            <v>N</v>
          </cell>
          <cell r="Q1837" t="str">
            <v>On-Call</v>
          </cell>
          <cell r="S1837">
            <v>0.17</v>
          </cell>
        </row>
        <row r="1838">
          <cell r="D1838">
            <v>1008005184</v>
          </cell>
          <cell r="E1838" t="str">
            <v>TAMBU JENA</v>
          </cell>
          <cell r="F1838" t="str">
            <v>D (Ch)</v>
          </cell>
          <cell r="G1838">
            <v>17097</v>
          </cell>
          <cell r="H1838" t="str">
            <v>Choice</v>
          </cell>
          <cell r="I1838">
            <v>0.3125</v>
          </cell>
          <cell r="J1838">
            <v>0.58333333333333337</v>
          </cell>
          <cell r="K1838">
            <v>6</v>
          </cell>
          <cell r="L1838">
            <v>146.22</v>
          </cell>
          <cell r="O1838" t="str">
            <v>Y</v>
          </cell>
          <cell r="P1838" t="str">
            <v>N</v>
          </cell>
          <cell r="Q1838" t="str">
            <v>Vacancy</v>
          </cell>
          <cell r="S1838">
            <v>0.16</v>
          </cell>
        </row>
        <row r="1839">
          <cell r="D1839">
            <v>1008006012</v>
          </cell>
          <cell r="E1839" t="str">
            <v>TAMBU JENA</v>
          </cell>
          <cell r="F1839" t="str">
            <v>D (Ch)</v>
          </cell>
          <cell r="G1839">
            <v>17105</v>
          </cell>
          <cell r="H1839" t="str">
            <v>Choice</v>
          </cell>
          <cell r="I1839">
            <v>0.60416666666666663</v>
          </cell>
          <cell r="J1839">
            <v>0.875</v>
          </cell>
          <cell r="K1839">
            <v>6.1666666666666696</v>
          </cell>
          <cell r="L1839">
            <v>150.28</v>
          </cell>
          <cell r="O1839" t="str">
            <v>Y</v>
          </cell>
          <cell r="P1839" t="str">
            <v>N</v>
          </cell>
          <cell r="Q1839" t="str">
            <v>Short Term Sick</v>
          </cell>
          <cell r="S1839">
            <v>0.16</v>
          </cell>
        </row>
        <row r="1840">
          <cell r="D1840">
            <v>1008001358</v>
          </cell>
          <cell r="E1840" t="str">
            <v>TEMBE NGIDI</v>
          </cell>
          <cell r="F1840" t="str">
            <v>D (MD)</v>
          </cell>
          <cell r="G1840">
            <v>339130</v>
          </cell>
          <cell r="H1840" t="str">
            <v>Mayday</v>
          </cell>
          <cell r="I1840">
            <v>0.83333333333333337</v>
          </cell>
          <cell r="J1840">
            <v>0.33333333333333331</v>
          </cell>
          <cell r="K1840">
            <v>11.3333333333333</v>
          </cell>
          <cell r="L1840">
            <v>475.74</v>
          </cell>
          <cell r="O1840" t="str">
            <v>Y</v>
          </cell>
          <cell r="P1840" t="str">
            <v>N</v>
          </cell>
          <cell r="Q1840" t="str">
            <v>Vacancy</v>
          </cell>
          <cell r="S1840">
            <v>0.3</v>
          </cell>
        </row>
        <row r="1841">
          <cell r="D1841">
            <v>1008001306</v>
          </cell>
          <cell r="E1841" t="str">
            <v>TONDERA MAKAZA</v>
          </cell>
          <cell r="F1841" t="str">
            <v>A (Ch)</v>
          </cell>
          <cell r="G1841">
            <v>17088</v>
          </cell>
          <cell r="H1841" t="str">
            <v>Choice</v>
          </cell>
          <cell r="I1841">
            <v>0.875</v>
          </cell>
          <cell r="J1841">
            <v>0.3125</v>
          </cell>
          <cell r="K1841">
            <v>10.1666666666667</v>
          </cell>
          <cell r="L1841">
            <v>150.33000000000001</v>
          </cell>
          <cell r="O1841" t="str">
            <v>Y</v>
          </cell>
          <cell r="P1841" t="str">
            <v>N</v>
          </cell>
          <cell r="Q1841" t="str">
            <v>Annual Leave</v>
          </cell>
          <cell r="S1841">
            <v>0.27</v>
          </cell>
        </row>
        <row r="1842">
          <cell r="D1842">
            <v>1008006155</v>
          </cell>
          <cell r="E1842" t="str">
            <v>ADEOLA SOGBESAN</v>
          </cell>
          <cell r="F1842" t="str">
            <v>D (MD)</v>
          </cell>
          <cell r="G1842">
            <v>340113</v>
          </cell>
          <cell r="H1842" t="str">
            <v>Mayday</v>
          </cell>
          <cell r="I1842">
            <v>0.3125</v>
          </cell>
          <cell r="J1842">
            <v>0.83333333333333337</v>
          </cell>
          <cell r="K1842">
            <v>11.8333333333333</v>
          </cell>
          <cell r="L1842">
            <v>382.1</v>
          </cell>
          <cell r="O1842" t="str">
            <v>Y</v>
          </cell>
          <cell r="P1842" t="str">
            <v>N</v>
          </cell>
          <cell r="Q1842" t="str">
            <v>Vacancy</v>
          </cell>
          <cell r="S1842">
            <v>0.32</v>
          </cell>
        </row>
        <row r="1843">
          <cell r="D1843">
            <v>908006490</v>
          </cell>
          <cell r="E1843" t="str">
            <v>ATINUKE OKE-OLATUNDE</v>
          </cell>
          <cell r="F1843" t="str">
            <v>D (MD)</v>
          </cell>
          <cell r="G1843">
            <v>341980</v>
          </cell>
          <cell r="H1843" t="str">
            <v>Mayday</v>
          </cell>
          <cell r="I1843">
            <v>0.83333333333333337</v>
          </cell>
          <cell r="J1843">
            <v>0.33333333333333331</v>
          </cell>
          <cell r="K1843">
            <v>11.3333333333333</v>
          </cell>
          <cell r="L1843">
            <v>475.74</v>
          </cell>
          <cell r="O1843" t="str">
            <v>Y</v>
          </cell>
          <cell r="P1843" t="str">
            <v>N</v>
          </cell>
          <cell r="Q1843" t="str">
            <v>Vacancy</v>
          </cell>
          <cell r="S1843">
            <v>0.3</v>
          </cell>
        </row>
        <row r="1844">
          <cell r="D1844">
            <v>908006496</v>
          </cell>
          <cell r="E1844" t="str">
            <v>BEAUTY NGIDI</v>
          </cell>
          <cell r="F1844" t="str">
            <v>D (MD)</v>
          </cell>
          <cell r="G1844">
            <v>339144</v>
          </cell>
          <cell r="H1844" t="str">
            <v>Mayday</v>
          </cell>
          <cell r="I1844">
            <v>0.83333333333333337</v>
          </cell>
          <cell r="J1844">
            <v>0.33333333333333331</v>
          </cell>
          <cell r="K1844">
            <v>11.3333333333333</v>
          </cell>
          <cell r="L1844">
            <v>475.74</v>
          </cell>
          <cell r="O1844" t="str">
            <v>Y</v>
          </cell>
          <cell r="P1844" t="str">
            <v>N</v>
          </cell>
          <cell r="Q1844" t="str">
            <v>Vacancy</v>
          </cell>
          <cell r="S1844">
            <v>0.3</v>
          </cell>
        </row>
        <row r="1845">
          <cell r="D1845">
            <v>1008001380</v>
          </cell>
          <cell r="E1845" t="str">
            <v>BERNADETTE SHINYA-NDUNUWANI</v>
          </cell>
          <cell r="F1845" t="str">
            <v>D (MD)</v>
          </cell>
          <cell r="G1845">
            <v>340123</v>
          </cell>
          <cell r="H1845" t="str">
            <v>Mayday</v>
          </cell>
          <cell r="I1845">
            <v>0.625</v>
          </cell>
          <cell r="J1845">
            <v>0.85416666666666663</v>
          </cell>
          <cell r="K1845">
            <v>5.5</v>
          </cell>
          <cell r="L1845">
            <v>177.59</v>
          </cell>
          <cell r="O1845" t="str">
            <v>Y</v>
          </cell>
          <cell r="P1845" t="str">
            <v>N</v>
          </cell>
          <cell r="Q1845" t="str">
            <v>Vacancy</v>
          </cell>
          <cell r="S1845">
            <v>0.15</v>
          </cell>
        </row>
        <row r="1846">
          <cell r="D1846">
            <v>1008005718</v>
          </cell>
          <cell r="E1846" t="str">
            <v>BERNADETTE SHINYA-NDUNUWANI</v>
          </cell>
          <cell r="F1846" t="str">
            <v>D (MD)</v>
          </cell>
          <cell r="G1846">
            <v>339884</v>
          </cell>
          <cell r="H1846" t="str">
            <v>Mayday</v>
          </cell>
          <cell r="I1846">
            <v>0.3125</v>
          </cell>
          <cell r="J1846">
            <v>0.5625</v>
          </cell>
          <cell r="K1846">
            <v>5.6666666666666696</v>
          </cell>
          <cell r="L1846">
            <v>182.98</v>
          </cell>
          <cell r="O1846" t="str">
            <v>Y</v>
          </cell>
          <cell r="P1846" t="str">
            <v>N</v>
          </cell>
          <cell r="Q1846" t="str">
            <v>Compassionate Leave</v>
          </cell>
          <cell r="S1846">
            <v>0.15</v>
          </cell>
        </row>
        <row r="1847">
          <cell r="D1847">
            <v>1008006291</v>
          </cell>
          <cell r="E1847" t="str">
            <v>BONNIE TWALA</v>
          </cell>
          <cell r="F1847" t="str">
            <v>D (MD)</v>
          </cell>
          <cell r="G1847">
            <v>339064</v>
          </cell>
          <cell r="H1847" t="str">
            <v>Mayday</v>
          </cell>
          <cell r="I1847">
            <v>0.8125</v>
          </cell>
          <cell r="J1847">
            <v>0.33333333333333331</v>
          </cell>
          <cell r="K1847">
            <v>11.8333333333333</v>
          </cell>
          <cell r="L1847">
            <v>496.73</v>
          </cell>
          <cell r="O1847" t="str">
            <v>Y</v>
          </cell>
          <cell r="P1847" t="str">
            <v>N</v>
          </cell>
          <cell r="Q1847" t="str">
            <v>Vacancy</v>
          </cell>
          <cell r="S1847">
            <v>0.32</v>
          </cell>
        </row>
        <row r="1848">
          <cell r="D1848">
            <v>1008004796</v>
          </cell>
          <cell r="E1848" t="str">
            <v>BRIGHTNESS NDEBELE</v>
          </cell>
          <cell r="F1848" t="str">
            <v>D (MD)</v>
          </cell>
          <cell r="G1848">
            <v>339142</v>
          </cell>
          <cell r="H1848" t="str">
            <v>Mayday</v>
          </cell>
          <cell r="I1848">
            <v>0.625</v>
          </cell>
          <cell r="J1848">
            <v>0.85416666666666663</v>
          </cell>
          <cell r="K1848">
            <v>5.5</v>
          </cell>
          <cell r="L1848">
            <v>177.59</v>
          </cell>
          <cell r="O1848" t="str">
            <v>Y</v>
          </cell>
          <cell r="P1848" t="str">
            <v>N</v>
          </cell>
          <cell r="Q1848" t="str">
            <v>Vacancy</v>
          </cell>
          <cell r="S1848">
            <v>0.15</v>
          </cell>
        </row>
        <row r="1849">
          <cell r="D1849">
            <v>1008005894</v>
          </cell>
          <cell r="E1849" t="str">
            <v>BRIGHTNESS NDEBELE</v>
          </cell>
          <cell r="F1849" t="str">
            <v>D (MD)</v>
          </cell>
          <cell r="G1849">
            <v>339142</v>
          </cell>
          <cell r="H1849" t="str">
            <v>Mayday</v>
          </cell>
          <cell r="I1849">
            <v>0.3125</v>
          </cell>
          <cell r="J1849">
            <v>0.625</v>
          </cell>
          <cell r="K1849">
            <v>7.1666666666666696</v>
          </cell>
          <cell r="L1849">
            <v>231.41</v>
          </cell>
          <cell r="O1849" t="str">
            <v>Y</v>
          </cell>
          <cell r="P1849" t="str">
            <v>N</v>
          </cell>
          <cell r="Q1849" t="str">
            <v>Short Term Sick</v>
          </cell>
          <cell r="S1849">
            <v>0.19</v>
          </cell>
        </row>
        <row r="1850">
          <cell r="D1850">
            <v>1008001966</v>
          </cell>
          <cell r="E1850" t="str">
            <v>CATH CHIDAVAYENZI</v>
          </cell>
          <cell r="F1850" t="str">
            <v>D (Ch)</v>
          </cell>
          <cell r="G1850">
            <v>17108</v>
          </cell>
          <cell r="H1850" t="str">
            <v>Choice</v>
          </cell>
          <cell r="I1850">
            <v>0.83333333333333337</v>
          </cell>
          <cell r="J1850">
            <v>0.33333333333333331</v>
          </cell>
          <cell r="K1850">
            <v>11.3333333333333</v>
          </cell>
          <cell r="L1850">
            <v>359.05</v>
          </cell>
          <cell r="O1850" t="str">
            <v>Y</v>
          </cell>
          <cell r="P1850" t="str">
            <v>N</v>
          </cell>
          <cell r="Q1850" t="str">
            <v>Vacancy</v>
          </cell>
          <cell r="S1850">
            <v>0.3</v>
          </cell>
        </row>
        <row r="1851">
          <cell r="D1851">
            <v>1008007400</v>
          </cell>
          <cell r="E1851" t="str">
            <v>DEBBIE HARRIS</v>
          </cell>
          <cell r="F1851" t="str">
            <v>D (MD)</v>
          </cell>
          <cell r="G1851">
            <v>339090</v>
          </cell>
          <cell r="H1851" t="str">
            <v>Mayday</v>
          </cell>
          <cell r="I1851">
            <v>0.8125</v>
          </cell>
          <cell r="J1851">
            <v>0.33333333333333331</v>
          </cell>
          <cell r="K1851">
            <v>11.8333333333333</v>
          </cell>
          <cell r="L1851">
            <v>496.73</v>
          </cell>
          <cell r="O1851" t="str">
            <v>Y</v>
          </cell>
          <cell r="P1851" t="str">
            <v>N</v>
          </cell>
          <cell r="Q1851" t="str">
            <v>Short Term Sick</v>
          </cell>
          <cell r="S1851">
            <v>0.32</v>
          </cell>
        </row>
        <row r="1852">
          <cell r="D1852">
            <v>1008001296</v>
          </cell>
          <cell r="E1852" t="str">
            <v>DIGRACIA  NAPE</v>
          </cell>
          <cell r="F1852" t="str">
            <v>D (MD)</v>
          </cell>
          <cell r="G1852">
            <v>339019</v>
          </cell>
          <cell r="H1852" t="str">
            <v>Mayday</v>
          </cell>
          <cell r="I1852">
            <v>0.5625</v>
          </cell>
          <cell r="J1852">
            <v>0.89583333333333337</v>
          </cell>
          <cell r="K1852">
            <v>7.6666666666666696</v>
          </cell>
          <cell r="L1852">
            <v>247.56</v>
          </cell>
          <cell r="O1852" t="str">
            <v>Y</v>
          </cell>
          <cell r="P1852" t="str">
            <v>N</v>
          </cell>
          <cell r="Q1852" t="str">
            <v>Under Established</v>
          </cell>
          <cell r="S1852">
            <v>0.2</v>
          </cell>
        </row>
        <row r="1853">
          <cell r="D1853">
            <v>1008006377</v>
          </cell>
          <cell r="E1853" t="str">
            <v>DONALD YANZA</v>
          </cell>
          <cell r="F1853" t="str">
            <v>D (Ch)</v>
          </cell>
          <cell r="G1853">
            <v>17094</v>
          </cell>
          <cell r="H1853" t="str">
            <v>Choice</v>
          </cell>
          <cell r="I1853">
            <v>0.83333333333333337</v>
          </cell>
          <cell r="J1853">
            <v>0.33333333333333331</v>
          </cell>
          <cell r="K1853">
            <v>11.3333333333333</v>
          </cell>
          <cell r="L1853">
            <v>359.05</v>
          </cell>
          <cell r="O1853" t="str">
            <v>Y</v>
          </cell>
          <cell r="P1853" t="str">
            <v>N</v>
          </cell>
          <cell r="Q1853" t="str">
            <v>Extra Capacity</v>
          </cell>
          <cell r="S1853">
            <v>0.3</v>
          </cell>
        </row>
        <row r="1854">
          <cell r="D1854">
            <v>1008006331</v>
          </cell>
          <cell r="E1854" t="str">
            <v>GERTHY ALBANO</v>
          </cell>
          <cell r="F1854" t="str">
            <v>D (Ch)</v>
          </cell>
          <cell r="G1854">
            <v>17102</v>
          </cell>
          <cell r="H1854" t="str">
            <v>Choice</v>
          </cell>
          <cell r="I1854">
            <v>0.88541666666666663</v>
          </cell>
          <cell r="J1854">
            <v>0.3125</v>
          </cell>
          <cell r="K1854">
            <v>9.25</v>
          </cell>
          <cell r="L1854">
            <v>293.05</v>
          </cell>
          <cell r="O1854" t="str">
            <v>Y</v>
          </cell>
          <cell r="P1854" t="str">
            <v>N</v>
          </cell>
          <cell r="Q1854" t="str">
            <v>Short Term Sick</v>
          </cell>
          <cell r="S1854">
            <v>0.25</v>
          </cell>
        </row>
        <row r="1855">
          <cell r="D1855">
            <v>1008005951</v>
          </cell>
          <cell r="E1855" t="str">
            <v>GLENDA RONA</v>
          </cell>
          <cell r="F1855" t="str">
            <v>D (Ch)</v>
          </cell>
          <cell r="G1855">
            <v>17107</v>
          </cell>
          <cell r="H1855" t="str">
            <v>Choice</v>
          </cell>
          <cell r="I1855">
            <v>0.83333333333333337</v>
          </cell>
          <cell r="J1855">
            <v>0.33333333333333331</v>
          </cell>
          <cell r="K1855">
            <v>11.3333333333333</v>
          </cell>
          <cell r="L1855">
            <v>359.05</v>
          </cell>
          <cell r="O1855" t="str">
            <v>Y</v>
          </cell>
          <cell r="P1855" t="str">
            <v>N</v>
          </cell>
          <cell r="Q1855" t="str">
            <v>Extra Capacity</v>
          </cell>
          <cell r="S1855">
            <v>0.3</v>
          </cell>
        </row>
        <row r="1856">
          <cell r="D1856">
            <v>1008006328</v>
          </cell>
          <cell r="E1856" t="str">
            <v>HILDA SHANGE</v>
          </cell>
          <cell r="F1856" t="str">
            <v>D (Ch)</v>
          </cell>
          <cell r="G1856">
            <v>17102</v>
          </cell>
          <cell r="H1856" t="str">
            <v>Choice</v>
          </cell>
          <cell r="I1856">
            <v>0.83333333333333337</v>
          </cell>
          <cell r="J1856">
            <v>0.33333333333333331</v>
          </cell>
          <cell r="K1856">
            <v>11.3333333333333</v>
          </cell>
          <cell r="L1856">
            <v>359.05</v>
          </cell>
          <cell r="O1856" t="str">
            <v>Y</v>
          </cell>
          <cell r="P1856" t="str">
            <v>N</v>
          </cell>
          <cell r="Q1856" t="str">
            <v>Extra Capacity</v>
          </cell>
          <cell r="S1856">
            <v>0.3</v>
          </cell>
        </row>
        <row r="1857">
          <cell r="D1857">
            <v>1008001016</v>
          </cell>
          <cell r="E1857" t="str">
            <v>JAKE BROOKES</v>
          </cell>
          <cell r="F1857" t="str">
            <v>D General (Orio</v>
          </cell>
          <cell r="G1857">
            <v>17594</v>
          </cell>
          <cell r="H1857" t="str">
            <v>Orion</v>
          </cell>
          <cell r="I1857">
            <v>0.33333333333333331</v>
          </cell>
          <cell r="J1857">
            <v>0.75</v>
          </cell>
          <cell r="K1857">
            <v>9.5</v>
          </cell>
          <cell r="L1857">
            <v>172.14</v>
          </cell>
          <cell r="O1857" t="str">
            <v>Y</v>
          </cell>
          <cell r="P1857" t="str">
            <v>N</v>
          </cell>
          <cell r="Q1857" t="str">
            <v>Vacancy</v>
          </cell>
          <cell r="S1857">
            <v>0.25</v>
          </cell>
        </row>
        <row r="1858">
          <cell r="D1858">
            <v>908006691</v>
          </cell>
          <cell r="E1858" t="str">
            <v>JAMES MCCLEMENTS</v>
          </cell>
          <cell r="F1858" t="str">
            <v>D (MD)</v>
          </cell>
          <cell r="G1858">
            <v>339013</v>
          </cell>
          <cell r="H1858" t="str">
            <v>Mayday</v>
          </cell>
          <cell r="I1858">
            <v>0.3125</v>
          </cell>
          <cell r="J1858">
            <v>0.54166666666666663</v>
          </cell>
          <cell r="K1858">
            <v>5.5</v>
          </cell>
          <cell r="L1858">
            <v>177.59</v>
          </cell>
          <cell r="O1858" t="str">
            <v>Y</v>
          </cell>
          <cell r="P1858" t="str">
            <v>N</v>
          </cell>
          <cell r="Q1858" t="str">
            <v>Extra Capacity</v>
          </cell>
          <cell r="S1858">
            <v>0.15</v>
          </cell>
        </row>
        <row r="1859">
          <cell r="D1859">
            <v>908006697</v>
          </cell>
          <cell r="E1859" t="str">
            <v>JAMES MCCLEMENTS</v>
          </cell>
          <cell r="F1859" t="str">
            <v>D (MD)</v>
          </cell>
          <cell r="G1859">
            <v>339013</v>
          </cell>
          <cell r="H1859" t="str">
            <v>Mayday</v>
          </cell>
          <cell r="I1859">
            <v>0.625</v>
          </cell>
          <cell r="J1859">
            <v>0.85416666666666663</v>
          </cell>
          <cell r="K1859">
            <v>5.5</v>
          </cell>
          <cell r="L1859">
            <v>177.59</v>
          </cell>
          <cell r="O1859" t="str">
            <v>Y</v>
          </cell>
          <cell r="P1859" t="str">
            <v>N</v>
          </cell>
          <cell r="Q1859" t="str">
            <v>Extra Capacity</v>
          </cell>
          <cell r="S1859">
            <v>0.15</v>
          </cell>
        </row>
        <row r="1860">
          <cell r="D1860">
            <v>1008003065</v>
          </cell>
          <cell r="E1860" t="str">
            <v>JASMINE ESGUERRA</v>
          </cell>
          <cell r="F1860" t="str">
            <v>D (Ch)</v>
          </cell>
          <cell r="H1860" t="str">
            <v>Choice</v>
          </cell>
          <cell r="I1860">
            <v>0.84375</v>
          </cell>
          <cell r="J1860">
            <v>0.32291666666666669</v>
          </cell>
          <cell r="K1860">
            <v>11.1666666666667</v>
          </cell>
          <cell r="L1860">
            <v>353.77</v>
          </cell>
          <cell r="O1860" t="str">
            <v>Y</v>
          </cell>
          <cell r="P1860" t="str">
            <v>N</v>
          </cell>
          <cell r="Q1860" t="str">
            <v>Under Established</v>
          </cell>
          <cell r="S1860">
            <v>0.3</v>
          </cell>
        </row>
        <row r="1861">
          <cell r="D1861">
            <v>1008005950</v>
          </cell>
          <cell r="E1861" t="str">
            <v>JASON WENT</v>
          </cell>
          <cell r="F1861" t="str">
            <v>D / 5 General (</v>
          </cell>
          <cell r="G1861" t="str">
            <v>604-154566</v>
          </cell>
          <cell r="H1861" t="str">
            <v>Blue Arrow</v>
          </cell>
          <cell r="I1861">
            <v>0.83333333333333337</v>
          </cell>
          <cell r="J1861">
            <v>0.33333333333333331</v>
          </cell>
          <cell r="K1861">
            <v>11.3333333333333</v>
          </cell>
          <cell r="L1861">
            <v>248.7</v>
          </cell>
          <cell r="O1861" t="str">
            <v>Y</v>
          </cell>
          <cell r="P1861" t="str">
            <v>N</v>
          </cell>
          <cell r="Q1861" t="str">
            <v>Extra Capacity</v>
          </cell>
          <cell r="S1861">
            <v>0.3</v>
          </cell>
        </row>
        <row r="1862">
          <cell r="D1862">
            <v>1008006288</v>
          </cell>
          <cell r="E1862" t="str">
            <v>JESSICA BELLAMY</v>
          </cell>
          <cell r="F1862" t="str">
            <v>D (MD)</v>
          </cell>
          <cell r="G1862">
            <v>341749</v>
          </cell>
          <cell r="H1862" t="str">
            <v>Mayday</v>
          </cell>
          <cell r="I1862">
            <v>0.8125</v>
          </cell>
          <cell r="J1862">
            <v>0.33333333333333331</v>
          </cell>
          <cell r="K1862">
            <v>11.8333333333333</v>
          </cell>
          <cell r="L1862">
            <v>496.73</v>
          </cell>
          <cell r="O1862" t="str">
            <v>Y</v>
          </cell>
          <cell r="P1862" t="str">
            <v>N</v>
          </cell>
          <cell r="Q1862" t="str">
            <v>Vacancy</v>
          </cell>
          <cell r="S1862">
            <v>0.32</v>
          </cell>
        </row>
        <row r="1863">
          <cell r="D1863">
            <v>1008006156</v>
          </cell>
          <cell r="E1863" t="str">
            <v>JO BRADY</v>
          </cell>
          <cell r="F1863" t="str">
            <v>D (MD)</v>
          </cell>
          <cell r="G1863">
            <v>339063</v>
          </cell>
          <cell r="H1863" t="str">
            <v>Mayday</v>
          </cell>
          <cell r="I1863">
            <v>0.3125</v>
          </cell>
          <cell r="J1863">
            <v>0.83333333333333337</v>
          </cell>
          <cell r="K1863">
            <v>11.8333333333333</v>
          </cell>
          <cell r="L1863">
            <v>382.1</v>
          </cell>
          <cell r="O1863" t="str">
            <v>Y</v>
          </cell>
          <cell r="P1863" t="str">
            <v>N</v>
          </cell>
          <cell r="Q1863" t="str">
            <v>Vacancy</v>
          </cell>
          <cell r="S1863">
            <v>0.32</v>
          </cell>
        </row>
        <row r="1864">
          <cell r="D1864">
            <v>1008001154</v>
          </cell>
          <cell r="E1864" t="str">
            <v>JOANNE DUCKER</v>
          </cell>
          <cell r="F1864" t="str">
            <v>D / 5 General (</v>
          </cell>
          <cell r="G1864" t="str">
            <v>604-154563</v>
          </cell>
          <cell r="H1864" t="str">
            <v>Medacs</v>
          </cell>
          <cell r="I1864">
            <v>0.58333333333333337</v>
          </cell>
          <cell r="J1864">
            <v>0.83333333333333337</v>
          </cell>
          <cell r="K1864">
            <v>5.6666666666666696</v>
          </cell>
          <cell r="L1864">
            <v>95.65</v>
          </cell>
          <cell r="O1864" t="str">
            <v>Y</v>
          </cell>
          <cell r="P1864" t="str">
            <v>N</v>
          </cell>
          <cell r="Q1864" t="str">
            <v>Vacancy</v>
          </cell>
          <cell r="S1864">
            <v>0.15</v>
          </cell>
        </row>
        <row r="1865">
          <cell r="D1865">
            <v>1008002956</v>
          </cell>
          <cell r="E1865" t="str">
            <v>JOSEPH BASS</v>
          </cell>
          <cell r="F1865" t="str">
            <v>D (MD)</v>
          </cell>
          <cell r="G1865">
            <v>341552</v>
          </cell>
          <cell r="H1865" t="str">
            <v>Mayday</v>
          </cell>
          <cell r="I1865">
            <v>0.84375</v>
          </cell>
          <cell r="J1865">
            <v>0.3125</v>
          </cell>
          <cell r="K1865">
            <v>10.25</v>
          </cell>
          <cell r="L1865">
            <v>430.26</v>
          </cell>
          <cell r="O1865" t="str">
            <v>Y</v>
          </cell>
          <cell r="P1865" t="str">
            <v>N</v>
          </cell>
          <cell r="Q1865" t="str">
            <v>Vacancy</v>
          </cell>
          <cell r="S1865">
            <v>0.27</v>
          </cell>
        </row>
        <row r="1866">
          <cell r="D1866">
            <v>908006512</v>
          </cell>
          <cell r="E1866" t="str">
            <v>KATIE KEAVENEY</v>
          </cell>
          <cell r="F1866" t="str">
            <v>D (MD)</v>
          </cell>
          <cell r="G1866">
            <v>340122</v>
          </cell>
          <cell r="H1866" t="str">
            <v>Mayday</v>
          </cell>
          <cell r="I1866">
            <v>0.625</v>
          </cell>
          <cell r="J1866">
            <v>0.85416666666666663</v>
          </cell>
          <cell r="K1866">
            <v>5.5</v>
          </cell>
          <cell r="L1866">
            <v>177.59</v>
          </cell>
          <cell r="O1866" t="str">
            <v>Y</v>
          </cell>
          <cell r="P1866" t="str">
            <v>N</v>
          </cell>
          <cell r="Q1866" t="str">
            <v>Vacancy</v>
          </cell>
          <cell r="S1866">
            <v>0.15</v>
          </cell>
        </row>
        <row r="1867">
          <cell r="D1867">
            <v>1008005949</v>
          </cell>
          <cell r="E1867" t="str">
            <v>LEONA CONTRERAS</v>
          </cell>
          <cell r="F1867" t="str">
            <v>D (MD)</v>
          </cell>
          <cell r="G1867">
            <v>339093</v>
          </cell>
          <cell r="H1867" t="str">
            <v>Mayday</v>
          </cell>
          <cell r="I1867">
            <v>0.3125</v>
          </cell>
          <cell r="J1867">
            <v>0.625</v>
          </cell>
          <cell r="K1867">
            <v>7.1666666666666696</v>
          </cell>
          <cell r="L1867">
            <v>231.41</v>
          </cell>
          <cell r="O1867" t="str">
            <v>Y</v>
          </cell>
          <cell r="P1867" t="str">
            <v>N</v>
          </cell>
          <cell r="Q1867" t="str">
            <v>Extra Capacity</v>
          </cell>
          <cell r="S1867">
            <v>0.19</v>
          </cell>
        </row>
        <row r="1868">
          <cell r="D1868">
            <v>1008005988</v>
          </cell>
          <cell r="E1868" t="str">
            <v>LEONA CONTRERAS</v>
          </cell>
          <cell r="F1868" t="str">
            <v>D (MD)</v>
          </cell>
          <cell r="G1868">
            <v>339091</v>
          </cell>
          <cell r="H1868" t="str">
            <v>Mayday</v>
          </cell>
          <cell r="I1868">
            <v>0.625</v>
          </cell>
          <cell r="J1868">
            <v>0.89583333333333337</v>
          </cell>
          <cell r="K1868">
            <v>6.1666666666666696</v>
          </cell>
          <cell r="L1868">
            <v>199.12</v>
          </cell>
          <cell r="O1868" t="str">
            <v>Y</v>
          </cell>
          <cell r="P1868" t="str">
            <v>N</v>
          </cell>
          <cell r="Q1868" t="str">
            <v>Short Term Sick</v>
          </cell>
          <cell r="S1868">
            <v>0.16</v>
          </cell>
        </row>
        <row r="1869">
          <cell r="D1869">
            <v>1008006292</v>
          </cell>
          <cell r="E1869" t="str">
            <v>LETECIA MENIANO</v>
          </cell>
          <cell r="F1869" t="str">
            <v>D (MD)</v>
          </cell>
          <cell r="G1869">
            <v>339066</v>
          </cell>
          <cell r="H1869" t="str">
            <v>Mayday</v>
          </cell>
          <cell r="I1869">
            <v>0.8125</v>
          </cell>
          <cell r="J1869">
            <v>0.33333333333333331</v>
          </cell>
          <cell r="K1869">
            <v>11.8333333333333</v>
          </cell>
          <cell r="L1869">
            <v>496.73</v>
          </cell>
          <cell r="O1869" t="str">
            <v>Y</v>
          </cell>
          <cell r="P1869" t="str">
            <v>N</v>
          </cell>
          <cell r="Q1869" t="str">
            <v>Vacancy</v>
          </cell>
          <cell r="S1869">
            <v>0.32</v>
          </cell>
        </row>
        <row r="1870">
          <cell r="D1870">
            <v>1008005283</v>
          </cell>
          <cell r="E1870" t="str">
            <v>LUKE HONEY</v>
          </cell>
          <cell r="F1870" t="str">
            <v>D General (Orio</v>
          </cell>
          <cell r="G1870">
            <v>17828</v>
          </cell>
          <cell r="H1870" t="str">
            <v>Orion</v>
          </cell>
          <cell r="I1870">
            <v>0.33333333333333331</v>
          </cell>
          <cell r="J1870">
            <v>0.75</v>
          </cell>
          <cell r="K1870">
            <v>9.6666666666666696</v>
          </cell>
          <cell r="L1870">
            <v>175.16</v>
          </cell>
          <cell r="O1870" t="str">
            <v>Y</v>
          </cell>
          <cell r="P1870" t="str">
            <v>N</v>
          </cell>
          <cell r="Q1870" t="str">
            <v>Long Term Sick</v>
          </cell>
          <cell r="S1870">
            <v>0.26</v>
          </cell>
        </row>
        <row r="1871">
          <cell r="D1871">
            <v>1008006290</v>
          </cell>
          <cell r="E1871" t="str">
            <v>MABEL MNISI</v>
          </cell>
          <cell r="F1871" t="str">
            <v>D (MD)</v>
          </cell>
          <cell r="G1871">
            <v>339874</v>
          </cell>
          <cell r="H1871" t="str">
            <v>Mayday</v>
          </cell>
          <cell r="I1871">
            <v>0.8125</v>
          </cell>
          <cell r="J1871">
            <v>0.33333333333333331</v>
          </cell>
          <cell r="K1871">
            <v>11.8333333333333</v>
          </cell>
          <cell r="L1871">
            <v>496.73</v>
          </cell>
          <cell r="O1871" t="str">
            <v>Y</v>
          </cell>
          <cell r="P1871" t="str">
            <v>N</v>
          </cell>
          <cell r="Q1871" t="str">
            <v>Vacancy</v>
          </cell>
          <cell r="S1871">
            <v>0.32</v>
          </cell>
        </row>
        <row r="1872">
          <cell r="D1872">
            <v>1008005145</v>
          </cell>
          <cell r="E1872" t="str">
            <v>MERCY AFELE</v>
          </cell>
          <cell r="F1872" t="str">
            <v>D (MD)</v>
          </cell>
          <cell r="G1872">
            <v>339125</v>
          </cell>
          <cell r="H1872" t="str">
            <v>Mayday</v>
          </cell>
          <cell r="I1872">
            <v>0.5625</v>
          </cell>
          <cell r="J1872">
            <v>0.85416666666666663</v>
          </cell>
          <cell r="K1872">
            <v>6.6666666666666696</v>
          </cell>
          <cell r="L1872">
            <v>215.27</v>
          </cell>
          <cell r="O1872" t="str">
            <v>Y</v>
          </cell>
          <cell r="P1872" t="str">
            <v>N</v>
          </cell>
          <cell r="Q1872" t="str">
            <v>Short Term Sick</v>
          </cell>
          <cell r="S1872">
            <v>0.18</v>
          </cell>
        </row>
        <row r="1873">
          <cell r="D1873">
            <v>1008006289</v>
          </cell>
          <cell r="E1873" t="str">
            <v>NOLIZWI MGANDELA</v>
          </cell>
          <cell r="F1873" t="str">
            <v>D (MD)</v>
          </cell>
          <cell r="H1873" t="str">
            <v>Mayday</v>
          </cell>
          <cell r="I1873">
            <v>0.8125</v>
          </cell>
          <cell r="J1873">
            <v>0.33333333333333331</v>
          </cell>
          <cell r="K1873">
            <v>11.8333333333333</v>
          </cell>
          <cell r="L1873">
            <v>496.73</v>
          </cell>
          <cell r="O1873" t="str">
            <v>Y</v>
          </cell>
          <cell r="P1873" t="str">
            <v>N</v>
          </cell>
          <cell r="Q1873" t="str">
            <v>Vacancy</v>
          </cell>
          <cell r="S1873">
            <v>0.32</v>
          </cell>
        </row>
        <row r="1874">
          <cell r="D1874">
            <v>1008002954</v>
          </cell>
          <cell r="E1874" t="str">
            <v>NORLITA MUNOZ</v>
          </cell>
          <cell r="F1874" t="str">
            <v>D (MD)</v>
          </cell>
          <cell r="G1874">
            <v>339852</v>
          </cell>
          <cell r="H1874" t="str">
            <v>Mayday</v>
          </cell>
          <cell r="I1874">
            <v>0.84375</v>
          </cell>
          <cell r="J1874">
            <v>0.3125</v>
          </cell>
          <cell r="K1874">
            <v>10.25</v>
          </cell>
          <cell r="L1874">
            <v>430.26</v>
          </cell>
          <cell r="O1874" t="str">
            <v>Y</v>
          </cell>
          <cell r="P1874" t="str">
            <v>N</v>
          </cell>
          <cell r="Q1874" t="str">
            <v>Vacancy</v>
          </cell>
          <cell r="S1874">
            <v>0.27</v>
          </cell>
        </row>
        <row r="1875">
          <cell r="D1875">
            <v>1008004485</v>
          </cell>
          <cell r="E1875" t="str">
            <v>OMAR SENGHORE</v>
          </cell>
          <cell r="F1875" t="str">
            <v>D (MD)</v>
          </cell>
          <cell r="G1875">
            <v>341530</v>
          </cell>
          <cell r="H1875" t="str">
            <v>Mayday</v>
          </cell>
          <cell r="I1875">
            <v>0.84375</v>
          </cell>
          <cell r="J1875">
            <v>0.3125</v>
          </cell>
          <cell r="K1875">
            <v>10.25</v>
          </cell>
          <cell r="L1875">
            <v>430.26</v>
          </cell>
          <cell r="O1875" t="str">
            <v>Y</v>
          </cell>
          <cell r="P1875" t="str">
            <v>N</v>
          </cell>
          <cell r="Q1875" t="str">
            <v>Vacancy</v>
          </cell>
          <cell r="S1875">
            <v>0.27</v>
          </cell>
        </row>
        <row r="1876">
          <cell r="D1876">
            <v>1008001240</v>
          </cell>
          <cell r="E1876" t="str">
            <v>PEGGY CHIRIKURE</v>
          </cell>
          <cell r="F1876" t="str">
            <v>D (Ch)</v>
          </cell>
          <cell r="G1876">
            <v>17164</v>
          </cell>
          <cell r="H1876" t="str">
            <v>Choice</v>
          </cell>
          <cell r="I1876">
            <v>0.3125</v>
          </cell>
          <cell r="J1876">
            <v>0.5625</v>
          </cell>
          <cell r="K1876">
            <v>5.6666666666666696</v>
          </cell>
          <cell r="L1876">
            <v>138.1</v>
          </cell>
          <cell r="O1876" t="str">
            <v>Y</v>
          </cell>
          <cell r="P1876" t="str">
            <v>N</v>
          </cell>
          <cell r="Q1876" t="str">
            <v>Under Established</v>
          </cell>
          <cell r="S1876">
            <v>0.15</v>
          </cell>
        </row>
        <row r="1877">
          <cell r="D1877">
            <v>1008001242</v>
          </cell>
          <cell r="E1877" t="str">
            <v>PEGGY CHIRIKURE</v>
          </cell>
          <cell r="F1877" t="str">
            <v>D (Ch)</v>
          </cell>
          <cell r="G1877">
            <v>17164</v>
          </cell>
          <cell r="H1877" t="str">
            <v>Choice</v>
          </cell>
          <cell r="I1877">
            <v>0.5625</v>
          </cell>
          <cell r="J1877">
            <v>0.89583333333333337</v>
          </cell>
          <cell r="K1877">
            <v>7.6666666666666696</v>
          </cell>
          <cell r="L1877">
            <v>186.84</v>
          </cell>
          <cell r="O1877" t="str">
            <v>Y</v>
          </cell>
          <cell r="P1877" t="str">
            <v>N</v>
          </cell>
          <cell r="Q1877" t="str">
            <v>Under Established</v>
          </cell>
          <cell r="S1877">
            <v>0.2</v>
          </cell>
        </row>
        <row r="1878">
          <cell r="D1878">
            <v>1008001238</v>
          </cell>
          <cell r="E1878" t="str">
            <v>PEGGY MAPOGO</v>
          </cell>
          <cell r="F1878" t="str">
            <v>D (Ch)</v>
          </cell>
          <cell r="G1878">
            <v>17088</v>
          </cell>
          <cell r="H1878" t="str">
            <v>Choice</v>
          </cell>
          <cell r="I1878">
            <v>0.3125</v>
          </cell>
          <cell r="J1878">
            <v>0.5625</v>
          </cell>
          <cell r="K1878">
            <v>5.6666666666666696</v>
          </cell>
          <cell r="L1878">
            <v>138.1</v>
          </cell>
          <cell r="O1878" t="str">
            <v>Y</v>
          </cell>
          <cell r="P1878" t="str">
            <v>N</v>
          </cell>
          <cell r="Q1878" t="str">
            <v>Annual Leave</v>
          </cell>
          <cell r="S1878">
            <v>0.15</v>
          </cell>
        </row>
        <row r="1879">
          <cell r="D1879">
            <v>1008001241</v>
          </cell>
          <cell r="E1879" t="str">
            <v>PEGGY MAPOGO</v>
          </cell>
          <cell r="F1879" t="str">
            <v>D (Ch)</v>
          </cell>
          <cell r="G1879">
            <v>17088</v>
          </cell>
          <cell r="H1879" t="str">
            <v>Choice</v>
          </cell>
          <cell r="I1879">
            <v>0.5625</v>
          </cell>
          <cell r="J1879">
            <v>0.89583333333333337</v>
          </cell>
          <cell r="K1879">
            <v>7.6666666666666696</v>
          </cell>
          <cell r="L1879">
            <v>186.84</v>
          </cell>
          <cell r="O1879" t="str">
            <v>Y</v>
          </cell>
          <cell r="P1879" t="str">
            <v>N</v>
          </cell>
          <cell r="Q1879" t="str">
            <v>Annual Leave</v>
          </cell>
          <cell r="S1879">
            <v>0.2</v>
          </cell>
        </row>
        <row r="1880">
          <cell r="D1880">
            <v>1008004540</v>
          </cell>
          <cell r="E1880" t="str">
            <v>SAM KELEM</v>
          </cell>
          <cell r="F1880" t="str">
            <v>D (Ch)</v>
          </cell>
          <cell r="G1880">
            <v>17108</v>
          </cell>
          <cell r="H1880" t="str">
            <v>Choice</v>
          </cell>
          <cell r="I1880">
            <v>0.83333333333333337</v>
          </cell>
          <cell r="J1880">
            <v>0.33333333333333331</v>
          </cell>
          <cell r="K1880">
            <v>11.3333333333333</v>
          </cell>
          <cell r="L1880">
            <v>359.05</v>
          </cell>
          <cell r="O1880" t="str">
            <v>Y</v>
          </cell>
          <cell r="P1880" t="str">
            <v>N</v>
          </cell>
          <cell r="Q1880" t="str">
            <v>Vacancy</v>
          </cell>
          <cell r="S1880">
            <v>0.3</v>
          </cell>
        </row>
        <row r="1881">
          <cell r="D1881">
            <v>1008007401</v>
          </cell>
          <cell r="E1881" t="str">
            <v>STEPHEN FERNANDEZ</v>
          </cell>
          <cell r="F1881" t="str">
            <v>D (MD)</v>
          </cell>
          <cell r="G1881">
            <v>339149</v>
          </cell>
          <cell r="H1881" t="str">
            <v>Mayday</v>
          </cell>
          <cell r="I1881">
            <v>0.8125</v>
          </cell>
          <cell r="J1881">
            <v>0.33333333333333331</v>
          </cell>
          <cell r="K1881">
            <v>11.8333333333333</v>
          </cell>
          <cell r="L1881">
            <v>496.73</v>
          </cell>
          <cell r="O1881" t="str">
            <v>Y</v>
          </cell>
          <cell r="P1881" t="str">
            <v>N</v>
          </cell>
          <cell r="Q1881" t="str">
            <v>Short Term Sick</v>
          </cell>
          <cell r="S1881">
            <v>0.32</v>
          </cell>
        </row>
        <row r="1882">
          <cell r="D1882">
            <v>1008001367</v>
          </cell>
          <cell r="E1882" t="str">
            <v>TEMBE NGIDI</v>
          </cell>
          <cell r="F1882" t="str">
            <v>D (MD)</v>
          </cell>
          <cell r="G1882">
            <v>339129</v>
          </cell>
          <cell r="H1882" t="str">
            <v>Mayday</v>
          </cell>
          <cell r="I1882">
            <v>0.83333333333333337</v>
          </cell>
          <cell r="J1882">
            <v>0.33333333333333331</v>
          </cell>
          <cell r="K1882">
            <v>11.3333333333333</v>
          </cell>
          <cell r="L1882">
            <v>475.74</v>
          </cell>
          <cell r="O1882" t="str">
            <v>Y</v>
          </cell>
          <cell r="P1882" t="str">
            <v>N</v>
          </cell>
          <cell r="Q1882" t="str">
            <v>Vacancy</v>
          </cell>
          <cell r="S1882">
            <v>0.3</v>
          </cell>
        </row>
        <row r="1883">
          <cell r="D1883">
            <v>908006497</v>
          </cell>
          <cell r="E1883" t="str">
            <v>ATINUKE OKE-OLATUNDE</v>
          </cell>
          <cell r="F1883" t="str">
            <v>D (MD)</v>
          </cell>
          <cell r="G1883">
            <v>341984</v>
          </cell>
          <cell r="H1883" t="str">
            <v>Mayday</v>
          </cell>
          <cell r="I1883">
            <v>0.83333333333333337</v>
          </cell>
          <cell r="J1883">
            <v>0.33333333333333331</v>
          </cell>
          <cell r="K1883">
            <v>11.3333333333333</v>
          </cell>
          <cell r="L1883">
            <v>475.74</v>
          </cell>
          <cell r="O1883" t="str">
            <v>Y</v>
          </cell>
          <cell r="P1883" t="str">
            <v>N</v>
          </cell>
          <cell r="Q1883" t="str">
            <v>Vacancy</v>
          </cell>
          <cell r="S1883">
            <v>0.3</v>
          </cell>
        </row>
        <row r="1884">
          <cell r="D1884">
            <v>908006491</v>
          </cell>
          <cell r="E1884" t="str">
            <v>BEAUTY NGIDI</v>
          </cell>
          <cell r="F1884" t="str">
            <v>D (MD)</v>
          </cell>
          <cell r="G1884">
            <v>339144</v>
          </cell>
          <cell r="H1884" t="str">
            <v>Mayday</v>
          </cell>
          <cell r="I1884">
            <v>0.83333333333333337</v>
          </cell>
          <cell r="J1884">
            <v>0.33333333333333331</v>
          </cell>
          <cell r="K1884">
            <v>11.3333333333333</v>
          </cell>
          <cell r="L1884">
            <v>475.74</v>
          </cell>
          <cell r="O1884" t="str">
            <v>Y</v>
          </cell>
          <cell r="P1884" t="str">
            <v>N</v>
          </cell>
          <cell r="Q1884" t="str">
            <v>Vacancy</v>
          </cell>
          <cell r="S1884">
            <v>0.3</v>
          </cell>
        </row>
        <row r="1885">
          <cell r="D1885">
            <v>1008001381</v>
          </cell>
          <cell r="E1885" t="str">
            <v>BERNADETTE SHINYA-NDUNUWANI</v>
          </cell>
          <cell r="F1885" t="str">
            <v>D (MD)</v>
          </cell>
          <cell r="G1885">
            <v>340123</v>
          </cell>
          <cell r="H1885" t="str">
            <v>Mayday</v>
          </cell>
          <cell r="I1885">
            <v>0.3125</v>
          </cell>
          <cell r="J1885">
            <v>0.64583333333333337</v>
          </cell>
          <cell r="K1885">
            <v>7.6666666666666696</v>
          </cell>
          <cell r="L1885">
            <v>247.56</v>
          </cell>
          <cell r="O1885" t="str">
            <v>Y</v>
          </cell>
          <cell r="P1885" t="str">
            <v>N</v>
          </cell>
          <cell r="Q1885" t="str">
            <v>Vacancy</v>
          </cell>
          <cell r="S1885">
            <v>0.2</v>
          </cell>
        </row>
        <row r="1886">
          <cell r="D1886">
            <v>1008001382</v>
          </cell>
          <cell r="E1886" t="str">
            <v>BERNADETTE SHINYA-NDUNUWANI</v>
          </cell>
          <cell r="F1886" t="str">
            <v>D (MD)</v>
          </cell>
          <cell r="G1886">
            <v>340123</v>
          </cell>
          <cell r="H1886" t="str">
            <v>Mayday</v>
          </cell>
          <cell r="I1886">
            <v>0.64583333333333337</v>
          </cell>
          <cell r="J1886">
            <v>0.85416666666666663</v>
          </cell>
          <cell r="K1886">
            <v>5</v>
          </cell>
          <cell r="L1886">
            <v>161.44999999999999</v>
          </cell>
          <cell r="O1886" t="str">
            <v>Y</v>
          </cell>
          <cell r="P1886" t="str">
            <v>N</v>
          </cell>
          <cell r="Q1886" t="str">
            <v>Vacancy</v>
          </cell>
          <cell r="S1886">
            <v>0.13</v>
          </cell>
        </row>
        <row r="1887">
          <cell r="D1887">
            <v>1008005895</v>
          </cell>
          <cell r="E1887" t="str">
            <v>BRIGHTNESS NDEBELE</v>
          </cell>
          <cell r="F1887" t="str">
            <v>D (MD)</v>
          </cell>
          <cell r="G1887">
            <v>339142</v>
          </cell>
          <cell r="H1887" t="str">
            <v>Mayday</v>
          </cell>
          <cell r="I1887">
            <v>0.3125</v>
          </cell>
          <cell r="J1887">
            <v>0.625</v>
          </cell>
          <cell r="K1887">
            <v>7.1666666666666696</v>
          </cell>
          <cell r="L1887">
            <v>231.41</v>
          </cell>
          <cell r="O1887" t="str">
            <v>Y</v>
          </cell>
          <cell r="P1887" t="str">
            <v>N</v>
          </cell>
          <cell r="Q1887" t="str">
            <v>Short Term Sick</v>
          </cell>
          <cell r="S1887">
            <v>0.19</v>
          </cell>
        </row>
        <row r="1888">
          <cell r="D1888">
            <v>1008001976</v>
          </cell>
          <cell r="E1888" t="str">
            <v>CATH CHIDAVAYENZI</v>
          </cell>
          <cell r="F1888" t="str">
            <v>D (Ch)</v>
          </cell>
          <cell r="H1888" t="str">
            <v>Choice</v>
          </cell>
          <cell r="I1888">
            <v>0.83333333333333337</v>
          </cell>
          <cell r="J1888">
            <v>0.33333333333333331</v>
          </cell>
          <cell r="K1888">
            <v>11.3333333333333</v>
          </cell>
          <cell r="L1888">
            <v>359.05</v>
          </cell>
          <cell r="O1888" t="str">
            <v>Y</v>
          </cell>
          <cell r="P1888" t="str">
            <v>N</v>
          </cell>
          <cell r="Q1888" t="str">
            <v>Vacancy</v>
          </cell>
          <cell r="S1888">
            <v>0.3</v>
          </cell>
        </row>
        <row r="1889">
          <cell r="D1889">
            <v>1008001006</v>
          </cell>
          <cell r="E1889" t="str">
            <v>CHRIS STULAR</v>
          </cell>
          <cell r="F1889" t="str">
            <v>D General (Orio</v>
          </cell>
          <cell r="G1889">
            <v>17589</v>
          </cell>
          <cell r="H1889" t="str">
            <v>Orion</v>
          </cell>
          <cell r="I1889">
            <v>0.33333333333333331</v>
          </cell>
          <cell r="J1889">
            <v>0.75</v>
          </cell>
          <cell r="K1889">
            <v>9.5</v>
          </cell>
          <cell r="L1889">
            <v>172.14</v>
          </cell>
          <cell r="O1889" t="str">
            <v>Y</v>
          </cell>
          <cell r="P1889" t="str">
            <v>N</v>
          </cell>
          <cell r="Q1889" t="str">
            <v>Backfill</v>
          </cell>
          <cell r="S1889">
            <v>0.25</v>
          </cell>
        </row>
        <row r="1890">
          <cell r="D1890">
            <v>1008007398</v>
          </cell>
          <cell r="E1890" t="str">
            <v>DEBBIE HARRIS</v>
          </cell>
          <cell r="F1890" t="str">
            <v>D (MD)</v>
          </cell>
          <cell r="G1890">
            <v>339090</v>
          </cell>
          <cell r="H1890" t="str">
            <v>Mayday</v>
          </cell>
          <cell r="I1890">
            <v>0.8125</v>
          </cell>
          <cell r="J1890">
            <v>0.33333333333333331</v>
          </cell>
          <cell r="K1890">
            <v>11.8333333333333</v>
          </cell>
          <cell r="L1890">
            <v>496.73</v>
          </cell>
          <cell r="O1890" t="str">
            <v>Y</v>
          </cell>
          <cell r="P1890" t="str">
            <v>N</v>
          </cell>
          <cell r="Q1890" t="str">
            <v>Short Term Sick</v>
          </cell>
          <cell r="S1890">
            <v>0.32</v>
          </cell>
        </row>
        <row r="1891">
          <cell r="D1891">
            <v>1008004400</v>
          </cell>
          <cell r="E1891" t="str">
            <v>DIGRACIA  NAPE</v>
          </cell>
          <cell r="F1891" t="str">
            <v>D (MD)</v>
          </cell>
          <cell r="G1891">
            <v>339018</v>
          </cell>
          <cell r="H1891" t="str">
            <v>Mayday</v>
          </cell>
          <cell r="I1891">
            <v>0.375</v>
          </cell>
          <cell r="J1891">
            <v>0.58333333333333337</v>
          </cell>
          <cell r="K1891">
            <v>5</v>
          </cell>
          <cell r="L1891">
            <v>161.44999999999999</v>
          </cell>
          <cell r="O1891" t="str">
            <v>Y</v>
          </cell>
          <cell r="P1891" t="str">
            <v>N</v>
          </cell>
          <cell r="Q1891" t="str">
            <v>Backfill</v>
          </cell>
          <cell r="S1891">
            <v>0.13</v>
          </cell>
        </row>
        <row r="1892">
          <cell r="D1892">
            <v>1008007307</v>
          </cell>
          <cell r="E1892" t="str">
            <v>GERTHY ALBANO</v>
          </cell>
          <cell r="F1892" t="str">
            <v>D (Ch)</v>
          </cell>
          <cell r="G1892">
            <v>17108</v>
          </cell>
          <cell r="H1892" t="str">
            <v>Choice</v>
          </cell>
          <cell r="I1892">
            <v>0.83333333333333337</v>
          </cell>
          <cell r="J1892">
            <v>0.33333333333333331</v>
          </cell>
          <cell r="K1892">
            <v>11.3333333333333</v>
          </cell>
          <cell r="L1892">
            <v>359.05</v>
          </cell>
          <cell r="O1892" t="str">
            <v>Y</v>
          </cell>
          <cell r="P1892" t="str">
            <v>N</v>
          </cell>
          <cell r="Q1892" t="str">
            <v>Nurse Moved</v>
          </cell>
          <cell r="S1892">
            <v>0.3</v>
          </cell>
        </row>
        <row r="1893">
          <cell r="D1893">
            <v>1008002396</v>
          </cell>
          <cell r="E1893" t="str">
            <v>JANE DUNSMURE</v>
          </cell>
          <cell r="F1893" t="str">
            <v>D/5 (PS)</v>
          </cell>
          <cell r="H1893" t="str">
            <v>Pinnacle Staffing</v>
          </cell>
          <cell r="I1893">
            <v>0.82291666666666663</v>
          </cell>
          <cell r="J1893">
            <v>0.34375</v>
          </cell>
          <cell r="K1893">
            <v>10.5</v>
          </cell>
          <cell r="L1893">
            <v>231.91</v>
          </cell>
          <cell r="O1893" t="str">
            <v>Y</v>
          </cell>
          <cell r="P1893" t="str">
            <v>N</v>
          </cell>
          <cell r="Q1893" t="str">
            <v>Maternity Leave</v>
          </cell>
          <cell r="S1893">
            <v>0.28000000000000003</v>
          </cell>
        </row>
        <row r="1894">
          <cell r="D1894">
            <v>1008005954</v>
          </cell>
          <cell r="E1894" t="str">
            <v>JASON WENT</v>
          </cell>
          <cell r="F1894" t="str">
            <v>D / 5 General (</v>
          </cell>
          <cell r="G1894" t="str">
            <v>604-154650</v>
          </cell>
          <cell r="H1894" t="str">
            <v>Blue Arrow</v>
          </cell>
          <cell r="I1894">
            <v>0.83333333333333337</v>
          </cell>
          <cell r="J1894">
            <v>0.33333333333333331</v>
          </cell>
          <cell r="K1894">
            <v>11.3333333333333</v>
          </cell>
          <cell r="L1894">
            <v>248.7</v>
          </cell>
          <cell r="O1894" t="str">
            <v>Y</v>
          </cell>
          <cell r="P1894" t="str">
            <v>N</v>
          </cell>
          <cell r="Q1894" t="str">
            <v>Extra Capacity</v>
          </cell>
          <cell r="S1894">
            <v>0.3</v>
          </cell>
        </row>
        <row r="1895">
          <cell r="D1895">
            <v>1008006295</v>
          </cell>
          <cell r="E1895" t="str">
            <v>JO BRADY</v>
          </cell>
          <cell r="F1895" t="str">
            <v>D (MD)</v>
          </cell>
          <cell r="G1895">
            <v>339063</v>
          </cell>
          <cell r="H1895" t="str">
            <v>Mayday</v>
          </cell>
          <cell r="I1895">
            <v>0.3125</v>
          </cell>
          <cell r="J1895">
            <v>0.83333333333333337</v>
          </cell>
          <cell r="K1895">
            <v>11.8333333333333</v>
          </cell>
          <cell r="L1895">
            <v>382.1</v>
          </cell>
          <cell r="O1895" t="str">
            <v>Y</v>
          </cell>
          <cell r="P1895" t="str">
            <v>N</v>
          </cell>
          <cell r="Q1895" t="str">
            <v>Vacancy</v>
          </cell>
          <cell r="S1895">
            <v>0.32</v>
          </cell>
        </row>
        <row r="1896">
          <cell r="D1896">
            <v>1008004816</v>
          </cell>
          <cell r="E1896" t="str">
            <v>JOHANNA HATUIKULIPI</v>
          </cell>
          <cell r="F1896" t="str">
            <v>D (MD)</v>
          </cell>
          <cell r="G1896">
            <v>339881</v>
          </cell>
          <cell r="H1896" t="str">
            <v>Mayday</v>
          </cell>
          <cell r="I1896">
            <v>0.875</v>
          </cell>
          <cell r="J1896">
            <v>0.32291666666666669</v>
          </cell>
          <cell r="K1896">
            <v>10</v>
          </cell>
          <cell r="L1896">
            <v>419.77</v>
          </cell>
          <cell r="O1896" t="str">
            <v>Y</v>
          </cell>
          <cell r="P1896" t="str">
            <v>N</v>
          </cell>
          <cell r="Q1896" t="str">
            <v>Specials</v>
          </cell>
          <cell r="S1896">
            <v>0.27</v>
          </cell>
        </row>
        <row r="1897">
          <cell r="D1897">
            <v>1008007302</v>
          </cell>
          <cell r="E1897" t="str">
            <v>JOY MABITLE</v>
          </cell>
          <cell r="F1897" t="str">
            <v>D (MD)</v>
          </cell>
          <cell r="G1897">
            <v>355364</v>
          </cell>
          <cell r="H1897" t="str">
            <v>Mayday</v>
          </cell>
          <cell r="I1897">
            <v>0.83333333333333337</v>
          </cell>
          <cell r="J1897">
            <v>0.33333333333333331</v>
          </cell>
          <cell r="K1897">
            <v>11.3333333333333</v>
          </cell>
          <cell r="L1897">
            <v>475.74</v>
          </cell>
          <cell r="O1897" t="str">
            <v>Y</v>
          </cell>
          <cell r="P1897" t="str">
            <v>N</v>
          </cell>
          <cell r="Q1897" t="str">
            <v>On-Call</v>
          </cell>
          <cell r="S1897">
            <v>0.3</v>
          </cell>
        </row>
        <row r="1898">
          <cell r="D1898">
            <v>908006514</v>
          </cell>
          <cell r="E1898" t="str">
            <v>KATIE KEAVENEY</v>
          </cell>
          <cell r="F1898" t="str">
            <v>D (MD)</v>
          </cell>
          <cell r="G1898">
            <v>340122</v>
          </cell>
          <cell r="H1898" t="str">
            <v>Mayday</v>
          </cell>
          <cell r="I1898">
            <v>0.3125</v>
          </cell>
          <cell r="J1898">
            <v>0.58333333333333337</v>
          </cell>
          <cell r="K1898">
            <v>6.1666666666666696</v>
          </cell>
          <cell r="L1898">
            <v>199.12</v>
          </cell>
          <cell r="O1898" t="str">
            <v>Y</v>
          </cell>
          <cell r="P1898" t="str">
            <v>N</v>
          </cell>
          <cell r="Q1898" t="str">
            <v>Vacancy</v>
          </cell>
          <cell r="S1898">
            <v>0.16</v>
          </cell>
        </row>
        <row r="1899">
          <cell r="D1899">
            <v>1008001368</v>
          </cell>
          <cell r="E1899" t="str">
            <v>LETECIA MENIANO</v>
          </cell>
          <cell r="F1899" t="str">
            <v>D (MD)</v>
          </cell>
          <cell r="G1899">
            <v>339138</v>
          </cell>
          <cell r="H1899" t="str">
            <v>Mayday</v>
          </cell>
          <cell r="I1899">
            <v>0.83333333333333337</v>
          </cell>
          <cell r="J1899">
            <v>0.33333333333333331</v>
          </cell>
          <cell r="K1899">
            <v>11.3333333333333</v>
          </cell>
          <cell r="L1899">
            <v>475.74</v>
          </cell>
          <cell r="O1899" t="str">
            <v>Y</v>
          </cell>
          <cell r="P1899" t="str">
            <v>N</v>
          </cell>
          <cell r="Q1899" t="str">
            <v>Vacancy</v>
          </cell>
          <cell r="S1899">
            <v>0.3</v>
          </cell>
        </row>
        <row r="1900">
          <cell r="D1900">
            <v>1008006818</v>
          </cell>
          <cell r="E1900" t="str">
            <v>MABEL MNISI</v>
          </cell>
          <cell r="F1900" t="str">
            <v>D (MD)</v>
          </cell>
          <cell r="G1900">
            <v>339876</v>
          </cell>
          <cell r="H1900" t="str">
            <v>Mayday</v>
          </cell>
          <cell r="I1900">
            <v>0.8125</v>
          </cell>
          <cell r="J1900">
            <v>0.33333333333333331</v>
          </cell>
          <cell r="K1900">
            <v>11.8333333333333</v>
          </cell>
          <cell r="L1900">
            <v>496.73</v>
          </cell>
          <cell r="O1900" t="str">
            <v>Y</v>
          </cell>
          <cell r="P1900" t="str">
            <v>N</v>
          </cell>
          <cell r="Q1900" t="str">
            <v>Short Term Sick</v>
          </cell>
          <cell r="S1900">
            <v>0.32</v>
          </cell>
        </row>
        <row r="1901">
          <cell r="D1901">
            <v>1008006601</v>
          </cell>
          <cell r="E1901" t="str">
            <v>MERCY AFELE</v>
          </cell>
          <cell r="F1901" t="str">
            <v>D (MD)</v>
          </cell>
          <cell r="G1901">
            <v>339124</v>
          </cell>
          <cell r="H1901" t="str">
            <v>Mayday</v>
          </cell>
          <cell r="I1901">
            <v>0.625</v>
          </cell>
          <cell r="J1901">
            <v>0.90625</v>
          </cell>
          <cell r="K1901">
            <v>6.75</v>
          </cell>
          <cell r="L1901">
            <v>217.96</v>
          </cell>
          <cell r="O1901" t="str">
            <v>Y</v>
          </cell>
          <cell r="P1901" t="str">
            <v>N</v>
          </cell>
          <cell r="Q1901" t="str">
            <v>Short Term Sick</v>
          </cell>
          <cell r="S1901">
            <v>0.18</v>
          </cell>
        </row>
        <row r="1902">
          <cell r="D1902">
            <v>1008006600</v>
          </cell>
          <cell r="E1902" t="str">
            <v>METTA SUNDAY</v>
          </cell>
          <cell r="F1902" t="str">
            <v>D (MD)</v>
          </cell>
          <cell r="G1902">
            <v>341997</v>
          </cell>
          <cell r="H1902" t="str">
            <v>Mayday</v>
          </cell>
          <cell r="I1902">
            <v>0.625</v>
          </cell>
          <cell r="J1902">
            <v>0.84375</v>
          </cell>
          <cell r="K1902">
            <v>5.25</v>
          </cell>
          <cell r="L1902">
            <v>169.52</v>
          </cell>
          <cell r="O1902" t="str">
            <v>Y</v>
          </cell>
          <cell r="P1902" t="str">
            <v>N</v>
          </cell>
          <cell r="Q1902" t="str">
            <v>Short Term Sick</v>
          </cell>
          <cell r="S1902">
            <v>0.14000000000000001</v>
          </cell>
        </row>
        <row r="1903">
          <cell r="D1903">
            <v>1008005953</v>
          </cell>
          <cell r="E1903" t="str">
            <v>NILO DANUGO</v>
          </cell>
          <cell r="F1903" t="str">
            <v>D (Ch)</v>
          </cell>
          <cell r="H1903" t="str">
            <v>Choice</v>
          </cell>
          <cell r="I1903">
            <v>0.83333333333333337</v>
          </cell>
          <cell r="J1903">
            <v>0.33333333333333331</v>
          </cell>
          <cell r="K1903">
            <v>11.3333333333333</v>
          </cell>
          <cell r="L1903">
            <v>359.05</v>
          </cell>
          <cell r="O1903" t="str">
            <v>Y</v>
          </cell>
          <cell r="P1903" t="str">
            <v>N</v>
          </cell>
          <cell r="Q1903" t="str">
            <v>Extra Capacity</v>
          </cell>
          <cell r="S1903">
            <v>0.3</v>
          </cell>
        </row>
        <row r="1904">
          <cell r="D1904">
            <v>1008006655</v>
          </cell>
          <cell r="E1904" t="str">
            <v>NOLIZWI MGANDELA</v>
          </cell>
          <cell r="F1904" t="str">
            <v>D (MD)</v>
          </cell>
          <cell r="G1904">
            <v>339067</v>
          </cell>
          <cell r="H1904" t="str">
            <v>Mayday</v>
          </cell>
          <cell r="I1904">
            <v>0.8125</v>
          </cell>
          <cell r="J1904">
            <v>0.33333333333333331</v>
          </cell>
          <cell r="K1904">
            <v>11.8333333333333</v>
          </cell>
          <cell r="L1904">
            <v>496.73</v>
          </cell>
          <cell r="O1904" t="str">
            <v>Y</v>
          </cell>
          <cell r="P1904" t="str">
            <v>N</v>
          </cell>
          <cell r="Q1904" t="str">
            <v>Vacancy</v>
          </cell>
          <cell r="S1904">
            <v>0.32</v>
          </cell>
        </row>
        <row r="1905">
          <cell r="D1905">
            <v>1008006747</v>
          </cell>
          <cell r="E1905" t="str">
            <v>OLGA NYAMAYARO</v>
          </cell>
          <cell r="F1905" t="str">
            <v>D (MD)</v>
          </cell>
          <cell r="G1905">
            <v>340442</v>
          </cell>
          <cell r="H1905" t="str">
            <v>Mayday</v>
          </cell>
          <cell r="I1905">
            <v>0.83333333333333337</v>
          </cell>
          <cell r="J1905">
            <v>0.33333333333333331</v>
          </cell>
          <cell r="K1905">
            <v>11</v>
          </cell>
          <cell r="L1905">
            <v>461.75</v>
          </cell>
          <cell r="O1905" t="str">
            <v>Y</v>
          </cell>
          <cell r="P1905" t="str">
            <v>N</v>
          </cell>
          <cell r="Q1905" t="str">
            <v>Short Term Sick</v>
          </cell>
          <cell r="S1905">
            <v>0.28999999999999998</v>
          </cell>
        </row>
        <row r="1906">
          <cell r="D1906">
            <v>1008004629</v>
          </cell>
          <cell r="E1906" t="str">
            <v>PEGGY MAPOGO</v>
          </cell>
          <cell r="F1906" t="str">
            <v>D (Ch)</v>
          </cell>
          <cell r="G1906">
            <v>17099</v>
          </cell>
          <cell r="H1906" t="str">
            <v>Choice</v>
          </cell>
          <cell r="I1906">
            <v>0.29166666666666669</v>
          </cell>
          <cell r="J1906">
            <v>0.54166666666666663</v>
          </cell>
          <cell r="K1906">
            <v>5.75</v>
          </cell>
          <cell r="L1906">
            <v>140.13</v>
          </cell>
          <cell r="O1906" t="str">
            <v>Y</v>
          </cell>
          <cell r="P1906" t="str">
            <v>N</v>
          </cell>
          <cell r="Q1906" t="str">
            <v>Short Term Sick</v>
          </cell>
          <cell r="S1906">
            <v>0.15</v>
          </cell>
        </row>
        <row r="1907">
          <cell r="D1907">
            <v>1008006275</v>
          </cell>
          <cell r="E1907" t="str">
            <v>PEGGY MAPOGO</v>
          </cell>
          <cell r="F1907" t="str">
            <v>D (Ch)</v>
          </cell>
          <cell r="G1907">
            <v>17099</v>
          </cell>
          <cell r="H1907" t="str">
            <v>Choice</v>
          </cell>
          <cell r="I1907">
            <v>0.625</v>
          </cell>
          <cell r="J1907">
            <v>0.875</v>
          </cell>
          <cell r="K1907">
            <v>5.75</v>
          </cell>
          <cell r="L1907">
            <v>140.13</v>
          </cell>
          <cell r="O1907" t="str">
            <v>Y</v>
          </cell>
          <cell r="P1907" t="str">
            <v>N</v>
          </cell>
          <cell r="Q1907" t="str">
            <v>Paternity Leave</v>
          </cell>
          <cell r="S1907">
            <v>0.15</v>
          </cell>
        </row>
        <row r="1908">
          <cell r="D1908">
            <v>1008004199</v>
          </cell>
          <cell r="E1908" t="str">
            <v>PURITY EHREUREICH</v>
          </cell>
          <cell r="F1908" t="str">
            <v>D (MD)</v>
          </cell>
          <cell r="G1908">
            <v>340115</v>
          </cell>
          <cell r="H1908" t="str">
            <v>Mayday</v>
          </cell>
          <cell r="I1908">
            <v>0.29166666666666669</v>
          </cell>
          <cell r="J1908">
            <v>0.625</v>
          </cell>
          <cell r="K1908">
            <v>7.5</v>
          </cell>
          <cell r="L1908">
            <v>242.17</v>
          </cell>
          <cell r="O1908" t="str">
            <v>Y</v>
          </cell>
          <cell r="P1908" t="str">
            <v>N</v>
          </cell>
          <cell r="Q1908" t="str">
            <v>Extra Capacity</v>
          </cell>
          <cell r="S1908">
            <v>0.2</v>
          </cell>
        </row>
        <row r="1909">
          <cell r="D1909">
            <v>1008006570</v>
          </cell>
          <cell r="E1909" t="str">
            <v>PURITY EHREUREICH</v>
          </cell>
          <cell r="F1909" t="str">
            <v>D (MD)</v>
          </cell>
          <cell r="G1909">
            <v>340114</v>
          </cell>
          <cell r="H1909" t="str">
            <v>Mayday</v>
          </cell>
          <cell r="I1909">
            <v>0.625</v>
          </cell>
          <cell r="J1909">
            <v>0.84375</v>
          </cell>
          <cell r="K1909">
            <v>5.25</v>
          </cell>
          <cell r="L1909">
            <v>169.52</v>
          </cell>
          <cell r="O1909" t="str">
            <v>Y</v>
          </cell>
          <cell r="P1909" t="str">
            <v>N</v>
          </cell>
          <cell r="Q1909" t="str">
            <v>Short Term Sick</v>
          </cell>
          <cell r="S1909">
            <v>0.14000000000000001</v>
          </cell>
        </row>
        <row r="1910">
          <cell r="D1910">
            <v>1008003067</v>
          </cell>
          <cell r="E1910" t="str">
            <v>RODA RAMERIZ</v>
          </cell>
          <cell r="F1910" t="str">
            <v>D (Ch)</v>
          </cell>
          <cell r="G1910">
            <v>17091</v>
          </cell>
          <cell r="H1910" t="str">
            <v>Choice</v>
          </cell>
          <cell r="I1910">
            <v>0.84375</v>
          </cell>
          <cell r="J1910">
            <v>0.32291666666666669</v>
          </cell>
          <cell r="K1910">
            <v>11.1666666666667</v>
          </cell>
          <cell r="L1910">
            <v>353.77</v>
          </cell>
          <cell r="O1910" t="str">
            <v>Y</v>
          </cell>
          <cell r="P1910" t="str">
            <v>N</v>
          </cell>
          <cell r="Q1910" t="str">
            <v>Under Established</v>
          </cell>
          <cell r="S1910">
            <v>0.3</v>
          </cell>
        </row>
        <row r="1911">
          <cell r="D1911">
            <v>1008007399</v>
          </cell>
          <cell r="E1911" t="str">
            <v>STEPHEN FERNANDEZ</v>
          </cell>
          <cell r="F1911" t="str">
            <v>D (MD)</v>
          </cell>
          <cell r="G1911">
            <v>339149</v>
          </cell>
          <cell r="H1911" t="str">
            <v>Mayday</v>
          </cell>
          <cell r="I1911">
            <v>0.8125</v>
          </cell>
          <cell r="J1911">
            <v>0.33333333333333331</v>
          </cell>
          <cell r="K1911">
            <v>11.8333333333333</v>
          </cell>
          <cell r="L1911">
            <v>496.73</v>
          </cell>
          <cell r="O1911" t="str">
            <v>Y</v>
          </cell>
          <cell r="P1911" t="str">
            <v>N</v>
          </cell>
          <cell r="Q1911" t="str">
            <v>Short Term Sick</v>
          </cell>
          <cell r="S1911">
            <v>0.32</v>
          </cell>
        </row>
        <row r="1912">
          <cell r="D1912">
            <v>1008001362</v>
          </cell>
          <cell r="E1912" t="str">
            <v>TEMBE NGIDI</v>
          </cell>
          <cell r="F1912" t="str">
            <v>D (MD)</v>
          </cell>
          <cell r="G1912">
            <v>339129</v>
          </cell>
          <cell r="H1912" t="str">
            <v>Mayday</v>
          </cell>
          <cell r="I1912">
            <v>0.83333333333333337</v>
          </cell>
          <cell r="J1912">
            <v>0.33333333333333331</v>
          </cell>
          <cell r="K1912">
            <v>11.3333333333333</v>
          </cell>
          <cell r="L1912">
            <v>475.74</v>
          </cell>
          <cell r="O1912" t="str">
            <v>Y</v>
          </cell>
          <cell r="P1912" t="str">
            <v>N</v>
          </cell>
          <cell r="Q1912" t="str">
            <v>Vacancy</v>
          </cell>
          <cell r="S1912">
            <v>0.3</v>
          </cell>
        </row>
        <row r="1913">
          <cell r="D1913">
            <v>908006492</v>
          </cell>
          <cell r="E1913" t="str">
            <v>BEAUTY NGIDI</v>
          </cell>
          <cell r="F1913" t="str">
            <v>D (MD)</v>
          </cell>
          <cell r="G1913">
            <v>339144</v>
          </cell>
          <cell r="H1913" t="str">
            <v>Mayday</v>
          </cell>
          <cell r="I1913">
            <v>0.83333333333333337</v>
          </cell>
          <cell r="J1913">
            <v>0.33333333333333331</v>
          </cell>
          <cell r="K1913">
            <v>11.3333333333333</v>
          </cell>
          <cell r="L1913">
            <v>475.74</v>
          </cell>
          <cell r="O1913" t="str">
            <v>Y</v>
          </cell>
          <cell r="P1913" t="str">
            <v>N</v>
          </cell>
          <cell r="Q1913" t="str">
            <v>Vacancy</v>
          </cell>
          <cell r="S1913">
            <v>0.3</v>
          </cell>
        </row>
        <row r="1914">
          <cell r="D1914">
            <v>1008006429</v>
          </cell>
          <cell r="E1914" t="str">
            <v>BERNADETTE SHINYA-NDUNUWANI</v>
          </cell>
          <cell r="F1914" t="str">
            <v>D (MD)</v>
          </cell>
          <cell r="G1914">
            <v>340123</v>
          </cell>
          <cell r="H1914" t="str">
            <v>Mayday</v>
          </cell>
          <cell r="I1914">
            <v>0.625</v>
          </cell>
          <cell r="J1914">
            <v>0.85416666666666663</v>
          </cell>
          <cell r="K1914">
            <v>5.5</v>
          </cell>
          <cell r="L1914">
            <v>177.59</v>
          </cell>
          <cell r="O1914" t="str">
            <v>Y</v>
          </cell>
          <cell r="P1914" t="str">
            <v>N</v>
          </cell>
          <cell r="Q1914" t="str">
            <v>Short Term Sick</v>
          </cell>
          <cell r="S1914">
            <v>0.15</v>
          </cell>
        </row>
        <row r="1915">
          <cell r="D1915">
            <v>1008004202</v>
          </cell>
          <cell r="E1915" t="str">
            <v>BIDDY CHAFESUKA</v>
          </cell>
          <cell r="F1915" t="str">
            <v>D (Ch)</v>
          </cell>
          <cell r="G1915">
            <v>17103</v>
          </cell>
          <cell r="H1915" t="str">
            <v>Choice</v>
          </cell>
          <cell r="I1915">
            <v>0.5625</v>
          </cell>
          <cell r="J1915">
            <v>0.89583333333333337</v>
          </cell>
          <cell r="K1915">
            <v>7.5</v>
          </cell>
          <cell r="L1915">
            <v>182.78</v>
          </cell>
          <cell r="O1915" t="str">
            <v>Y</v>
          </cell>
          <cell r="P1915" t="str">
            <v>N</v>
          </cell>
          <cell r="Q1915" t="str">
            <v>Extra Capacity</v>
          </cell>
          <cell r="S1915">
            <v>0.2</v>
          </cell>
        </row>
        <row r="1916">
          <cell r="D1916">
            <v>1008001363</v>
          </cell>
          <cell r="E1916" t="str">
            <v>BRIGHTNESS NDEBELE</v>
          </cell>
          <cell r="F1916" t="str">
            <v>D (MD)</v>
          </cell>
          <cell r="G1916">
            <v>339142</v>
          </cell>
          <cell r="H1916" t="str">
            <v>Mayday</v>
          </cell>
          <cell r="I1916">
            <v>0.83333333333333337</v>
          </cell>
          <cell r="J1916">
            <v>0.33333333333333331</v>
          </cell>
          <cell r="K1916">
            <v>11.3333333333333</v>
          </cell>
          <cell r="L1916">
            <v>475.74</v>
          </cell>
          <cell r="O1916" t="str">
            <v>Y</v>
          </cell>
          <cell r="P1916" t="str">
            <v>N</v>
          </cell>
          <cell r="Q1916" t="str">
            <v>Vacancy</v>
          </cell>
          <cell r="S1916">
            <v>0.3</v>
          </cell>
        </row>
        <row r="1917">
          <cell r="D1917">
            <v>1008001007</v>
          </cell>
          <cell r="E1917" t="str">
            <v>CHRIS STULAR</v>
          </cell>
          <cell r="F1917" t="str">
            <v>D General (Orio</v>
          </cell>
          <cell r="G1917">
            <v>17589</v>
          </cell>
          <cell r="H1917" t="str">
            <v>Orion</v>
          </cell>
          <cell r="I1917">
            <v>0.33333333333333331</v>
          </cell>
          <cell r="J1917">
            <v>0.75</v>
          </cell>
          <cell r="K1917">
            <v>9.5</v>
          </cell>
          <cell r="L1917">
            <v>172.14</v>
          </cell>
          <cell r="O1917" t="str">
            <v>Y</v>
          </cell>
          <cell r="P1917" t="str">
            <v>N</v>
          </cell>
          <cell r="Q1917" t="str">
            <v>Backfill</v>
          </cell>
          <cell r="S1917">
            <v>0.25</v>
          </cell>
        </row>
        <row r="1918">
          <cell r="D1918">
            <v>1008001265</v>
          </cell>
          <cell r="E1918" t="str">
            <v>COLLEN SIBANDA</v>
          </cell>
          <cell r="F1918" t="str">
            <v>D (Ch)</v>
          </cell>
          <cell r="G1918">
            <v>17088</v>
          </cell>
          <cell r="H1918" t="str">
            <v>Choice</v>
          </cell>
          <cell r="I1918">
            <v>0.3125</v>
          </cell>
          <cell r="J1918">
            <v>0.5625</v>
          </cell>
          <cell r="K1918">
            <v>5.6666666666666696</v>
          </cell>
          <cell r="L1918">
            <v>138.1</v>
          </cell>
          <cell r="O1918" t="str">
            <v>Y</v>
          </cell>
          <cell r="P1918" t="str">
            <v>N</v>
          </cell>
          <cell r="Q1918" t="str">
            <v>Under Established</v>
          </cell>
          <cell r="S1918">
            <v>0.15</v>
          </cell>
        </row>
        <row r="1919">
          <cell r="D1919">
            <v>1008003070</v>
          </cell>
          <cell r="E1919" t="str">
            <v>EDMA ITALIA</v>
          </cell>
          <cell r="F1919" t="str">
            <v>D (Ch)</v>
          </cell>
          <cell r="G1919">
            <v>17166</v>
          </cell>
          <cell r="H1919" t="str">
            <v>Choice</v>
          </cell>
          <cell r="I1919">
            <v>0.84375</v>
          </cell>
          <cell r="J1919">
            <v>0.32291666666666669</v>
          </cell>
          <cell r="K1919">
            <v>11.1666666666667</v>
          </cell>
          <cell r="L1919">
            <v>353.77</v>
          </cell>
          <cell r="O1919" t="str">
            <v>Y</v>
          </cell>
          <cell r="P1919" t="str">
            <v>N</v>
          </cell>
          <cell r="Q1919" t="str">
            <v>Under Established</v>
          </cell>
          <cell r="S1919">
            <v>0.3</v>
          </cell>
        </row>
        <row r="1920">
          <cell r="D1920">
            <v>908006706</v>
          </cell>
          <cell r="E1920" t="str">
            <v>EVELYN PANESA</v>
          </cell>
          <cell r="F1920" t="str">
            <v>D (Ch)</v>
          </cell>
          <cell r="G1920">
            <v>17087</v>
          </cell>
          <cell r="H1920" t="str">
            <v>Choice</v>
          </cell>
          <cell r="I1920">
            <v>0.3125</v>
          </cell>
          <cell r="J1920">
            <v>0.54166666666666663</v>
          </cell>
          <cell r="K1920">
            <v>5.5</v>
          </cell>
          <cell r="L1920">
            <v>134.03</v>
          </cell>
          <cell r="O1920" t="str">
            <v>Y</v>
          </cell>
          <cell r="P1920" t="str">
            <v>N</v>
          </cell>
          <cell r="Q1920" t="str">
            <v>Extra Capacity</v>
          </cell>
          <cell r="S1920">
            <v>0.15</v>
          </cell>
        </row>
        <row r="1921">
          <cell r="D1921">
            <v>1008001269</v>
          </cell>
          <cell r="E1921" t="str">
            <v>EVELYN PANESA</v>
          </cell>
          <cell r="F1921" t="str">
            <v>D (Ch)</v>
          </cell>
          <cell r="G1921">
            <v>17090</v>
          </cell>
          <cell r="H1921" t="str">
            <v>Choice</v>
          </cell>
          <cell r="I1921">
            <v>0.5625</v>
          </cell>
          <cell r="J1921">
            <v>0.89583333333333337</v>
          </cell>
          <cell r="K1921">
            <v>7.6666666666666696</v>
          </cell>
          <cell r="L1921">
            <v>186.84</v>
          </cell>
          <cell r="O1921" t="str">
            <v>Y</v>
          </cell>
          <cell r="P1921" t="str">
            <v>N</v>
          </cell>
          <cell r="Q1921" t="str">
            <v>Annual Leave</v>
          </cell>
          <cell r="S1921">
            <v>0.2</v>
          </cell>
        </row>
        <row r="1922">
          <cell r="D1922">
            <v>1008001018</v>
          </cell>
          <cell r="E1922" t="str">
            <v>JAKE BROOKES</v>
          </cell>
          <cell r="F1922" t="str">
            <v>D General (Orio</v>
          </cell>
          <cell r="G1922">
            <v>17594</v>
          </cell>
          <cell r="H1922" t="str">
            <v>Orion</v>
          </cell>
          <cell r="I1922">
            <v>0.33333333333333331</v>
          </cell>
          <cell r="J1922">
            <v>0.75</v>
          </cell>
          <cell r="K1922">
            <v>9.5</v>
          </cell>
          <cell r="L1922">
            <v>172.14</v>
          </cell>
          <cell r="O1922" t="str">
            <v>Y</v>
          </cell>
          <cell r="P1922" t="str">
            <v>N</v>
          </cell>
          <cell r="Q1922" t="str">
            <v>Vacancy</v>
          </cell>
          <cell r="S1922">
            <v>0.25</v>
          </cell>
        </row>
        <row r="1923">
          <cell r="D1923">
            <v>908006709</v>
          </cell>
          <cell r="E1923" t="str">
            <v>JAMES MCCLEMENTS</v>
          </cell>
          <cell r="F1923" t="str">
            <v>D (MD)</v>
          </cell>
          <cell r="G1923">
            <v>339013</v>
          </cell>
          <cell r="H1923" t="str">
            <v>Mayday</v>
          </cell>
          <cell r="I1923">
            <v>0.625</v>
          </cell>
          <cell r="J1923">
            <v>0.85416666666666663</v>
          </cell>
          <cell r="K1923">
            <v>5.5</v>
          </cell>
          <cell r="L1923">
            <v>177.59</v>
          </cell>
          <cell r="O1923" t="str">
            <v>Y</v>
          </cell>
          <cell r="P1923" t="str">
            <v>N</v>
          </cell>
          <cell r="Q1923" t="str">
            <v>Extra Capacity</v>
          </cell>
          <cell r="S1923">
            <v>0.15</v>
          </cell>
        </row>
        <row r="1924">
          <cell r="D1924">
            <v>1008005955</v>
          </cell>
          <cell r="E1924" t="str">
            <v>JASMINE ESGUERRA</v>
          </cell>
          <cell r="F1924" t="str">
            <v>D (Ch)</v>
          </cell>
          <cell r="G1924">
            <v>17107</v>
          </cell>
          <cell r="H1924" t="str">
            <v>Choice</v>
          </cell>
          <cell r="I1924">
            <v>0.3125</v>
          </cell>
          <cell r="J1924">
            <v>0.625</v>
          </cell>
          <cell r="K1924">
            <v>7.1666666666666696</v>
          </cell>
          <cell r="L1924">
            <v>174.65</v>
          </cell>
          <cell r="O1924" t="str">
            <v>Y</v>
          </cell>
          <cell r="P1924" t="str">
            <v>N</v>
          </cell>
          <cell r="Q1924" t="str">
            <v>Extra Capacity</v>
          </cell>
          <cell r="S1924">
            <v>0.19</v>
          </cell>
        </row>
        <row r="1925">
          <cell r="D1925">
            <v>1008005957</v>
          </cell>
          <cell r="E1925" t="str">
            <v>JASON WENT</v>
          </cell>
          <cell r="F1925" t="str">
            <v>D / 5 General (</v>
          </cell>
          <cell r="G1925" t="str">
            <v>604-154723</v>
          </cell>
          <cell r="H1925" t="str">
            <v>Blue Arrow</v>
          </cell>
          <cell r="I1925">
            <v>0.83333333333333337</v>
          </cell>
          <cell r="J1925">
            <v>0.33333333333333331</v>
          </cell>
          <cell r="K1925">
            <v>11.3333333333333</v>
          </cell>
          <cell r="L1925">
            <v>248.7</v>
          </cell>
          <cell r="O1925" t="str">
            <v>Y</v>
          </cell>
          <cell r="P1925" t="str">
            <v>N</v>
          </cell>
          <cell r="Q1925" t="str">
            <v>Extra Capacity</v>
          </cell>
          <cell r="S1925">
            <v>0.3</v>
          </cell>
        </row>
        <row r="1926">
          <cell r="D1926">
            <v>1008006726</v>
          </cell>
          <cell r="E1926" t="str">
            <v>JEAN NGONA</v>
          </cell>
          <cell r="F1926" t="str">
            <v>D (MD)</v>
          </cell>
          <cell r="G1926">
            <v>341606</v>
          </cell>
          <cell r="H1926" t="str">
            <v>Mayday</v>
          </cell>
          <cell r="I1926">
            <v>0.29166666666666669</v>
          </cell>
          <cell r="J1926">
            <v>0.54166666666666663</v>
          </cell>
          <cell r="K1926">
            <v>5.75</v>
          </cell>
          <cell r="L1926">
            <v>185.67</v>
          </cell>
          <cell r="O1926" t="str">
            <v>Y</v>
          </cell>
          <cell r="P1926" t="str">
            <v>N</v>
          </cell>
          <cell r="Q1926" t="str">
            <v>Short Term Sick</v>
          </cell>
          <cell r="S1926">
            <v>0.15</v>
          </cell>
        </row>
        <row r="1927">
          <cell r="D1927">
            <v>1008006850</v>
          </cell>
          <cell r="E1927" t="str">
            <v>JEAN NGONA</v>
          </cell>
          <cell r="F1927" t="str">
            <v>D (MD)</v>
          </cell>
          <cell r="G1927">
            <v>341605</v>
          </cell>
          <cell r="H1927" t="str">
            <v>Mayday</v>
          </cell>
          <cell r="I1927">
            <v>0.625</v>
          </cell>
          <cell r="J1927">
            <v>0.85416666666666663</v>
          </cell>
          <cell r="K1927">
            <v>5.5</v>
          </cell>
          <cell r="L1927">
            <v>177.59</v>
          </cell>
          <cell r="O1927" t="str">
            <v>Y</v>
          </cell>
          <cell r="P1927" t="str">
            <v>N</v>
          </cell>
          <cell r="Q1927" t="str">
            <v>Short Term Sick</v>
          </cell>
          <cell r="S1927">
            <v>0.15</v>
          </cell>
        </row>
        <row r="1928">
          <cell r="D1928">
            <v>1008001978</v>
          </cell>
          <cell r="E1928" t="str">
            <v>JOANNE BUSS</v>
          </cell>
          <cell r="F1928" t="str">
            <v>D (MD)</v>
          </cell>
          <cell r="G1928">
            <v>339010</v>
          </cell>
          <cell r="H1928" t="str">
            <v>Mayday</v>
          </cell>
          <cell r="I1928">
            <v>0.3125</v>
          </cell>
          <cell r="J1928">
            <v>0.54166666666666663</v>
          </cell>
          <cell r="K1928">
            <v>5.5</v>
          </cell>
          <cell r="L1928">
            <v>177.59</v>
          </cell>
          <cell r="O1928" t="str">
            <v>Y</v>
          </cell>
          <cell r="P1928" t="str">
            <v>N</v>
          </cell>
          <cell r="Q1928" t="str">
            <v>Vacancy</v>
          </cell>
          <cell r="S1928">
            <v>0.15</v>
          </cell>
        </row>
        <row r="1929">
          <cell r="D1929">
            <v>1008001980</v>
          </cell>
          <cell r="E1929" t="str">
            <v>JOANNE BUSS</v>
          </cell>
          <cell r="F1929" t="str">
            <v>D (MD)</v>
          </cell>
          <cell r="G1929">
            <v>339010</v>
          </cell>
          <cell r="H1929" t="str">
            <v>Mayday</v>
          </cell>
          <cell r="I1929">
            <v>0.625</v>
          </cell>
          <cell r="J1929">
            <v>0.85416666666666663</v>
          </cell>
          <cell r="K1929">
            <v>5.5</v>
          </cell>
          <cell r="L1929">
            <v>177.59</v>
          </cell>
          <cell r="O1929" t="str">
            <v>Y</v>
          </cell>
          <cell r="P1929" t="str">
            <v>N</v>
          </cell>
          <cell r="Q1929" t="str">
            <v>Vacancy</v>
          </cell>
          <cell r="S1929">
            <v>0.15</v>
          </cell>
        </row>
        <row r="1930">
          <cell r="D1930">
            <v>1008001383</v>
          </cell>
          <cell r="E1930" t="str">
            <v>KATIE KEAVENEY</v>
          </cell>
          <cell r="F1930" t="str">
            <v>D (MD)</v>
          </cell>
          <cell r="G1930">
            <v>340121</v>
          </cell>
          <cell r="H1930" t="str">
            <v>Mayday</v>
          </cell>
          <cell r="I1930">
            <v>0.3125</v>
          </cell>
          <cell r="J1930">
            <v>0.64583333333333337</v>
          </cell>
          <cell r="K1930">
            <v>7.6666666666666696</v>
          </cell>
          <cell r="L1930">
            <v>247.56</v>
          </cell>
          <cell r="O1930" t="str">
            <v>Y</v>
          </cell>
          <cell r="P1930" t="str">
            <v>N</v>
          </cell>
          <cell r="Q1930" t="str">
            <v>Vacancy</v>
          </cell>
          <cell r="S1930">
            <v>0.2</v>
          </cell>
        </row>
        <row r="1931">
          <cell r="D1931">
            <v>1008001385</v>
          </cell>
          <cell r="E1931" t="str">
            <v>KATIE KEAVENEY</v>
          </cell>
          <cell r="F1931" t="str">
            <v>D (MD)</v>
          </cell>
          <cell r="G1931">
            <v>340121</v>
          </cell>
          <cell r="H1931" t="str">
            <v>Mayday</v>
          </cell>
          <cell r="I1931">
            <v>0.64583333333333337</v>
          </cell>
          <cell r="J1931">
            <v>0.85416666666666663</v>
          </cell>
          <cell r="K1931">
            <v>5</v>
          </cell>
          <cell r="L1931">
            <v>161.44999999999999</v>
          </cell>
          <cell r="O1931" t="str">
            <v>Y</v>
          </cell>
          <cell r="P1931" t="str">
            <v>N</v>
          </cell>
          <cell r="Q1931" t="str">
            <v>Vacancy</v>
          </cell>
          <cell r="S1931">
            <v>0.13</v>
          </cell>
        </row>
        <row r="1932">
          <cell r="D1932">
            <v>908006498</v>
          </cell>
          <cell r="E1932" t="str">
            <v>LETECIA MENIANO</v>
          </cell>
          <cell r="F1932" t="str">
            <v>D (MD)</v>
          </cell>
          <cell r="G1932">
            <v>339139</v>
          </cell>
          <cell r="H1932" t="str">
            <v>Mayday</v>
          </cell>
          <cell r="I1932">
            <v>0.83333333333333337</v>
          </cell>
          <cell r="J1932">
            <v>0.33333333333333331</v>
          </cell>
          <cell r="K1932">
            <v>11.3333333333333</v>
          </cell>
          <cell r="L1932">
            <v>475.74</v>
          </cell>
          <cell r="O1932" t="str">
            <v>Y</v>
          </cell>
          <cell r="P1932" t="str">
            <v>N</v>
          </cell>
          <cell r="Q1932" t="str">
            <v>Vacancy</v>
          </cell>
          <cell r="S1932">
            <v>0.3</v>
          </cell>
        </row>
        <row r="1933">
          <cell r="D1933">
            <v>1008007022</v>
          </cell>
          <cell r="E1933" t="str">
            <v>MERCY AFELE</v>
          </cell>
          <cell r="F1933" t="str">
            <v>D (MD)</v>
          </cell>
          <cell r="G1933">
            <v>339120</v>
          </cell>
          <cell r="H1933" t="str">
            <v>Mayday</v>
          </cell>
          <cell r="I1933">
            <v>0.5625</v>
          </cell>
          <cell r="J1933">
            <v>0.85416666666666663</v>
          </cell>
          <cell r="K1933">
            <v>6.6666666666666696</v>
          </cell>
          <cell r="L1933">
            <v>215.27</v>
          </cell>
          <cell r="O1933" t="str">
            <v>Y</v>
          </cell>
          <cell r="P1933" t="str">
            <v>N</v>
          </cell>
          <cell r="Q1933" t="str">
            <v>Vacancy</v>
          </cell>
          <cell r="S1933">
            <v>0.18</v>
          </cell>
        </row>
        <row r="1934">
          <cell r="D1934">
            <v>1008006720</v>
          </cell>
          <cell r="E1934" t="str">
            <v>MZUKISI SPEELMAN</v>
          </cell>
          <cell r="F1934" t="str">
            <v>A (Ch)</v>
          </cell>
          <cell r="G1934">
            <v>17099</v>
          </cell>
          <cell r="H1934" t="str">
            <v>Choice</v>
          </cell>
          <cell r="I1934">
            <v>0.625</v>
          </cell>
          <cell r="J1934">
            <v>0.875</v>
          </cell>
          <cell r="K1934">
            <v>5.75</v>
          </cell>
          <cell r="L1934">
            <v>63.77</v>
          </cell>
          <cell r="O1934" t="str">
            <v>Y</v>
          </cell>
          <cell r="P1934" t="str">
            <v>N</v>
          </cell>
          <cell r="Q1934" t="str">
            <v>Specials</v>
          </cell>
          <cell r="S1934">
            <v>0.15</v>
          </cell>
        </row>
        <row r="1935">
          <cell r="D1935">
            <v>1008007085</v>
          </cell>
          <cell r="E1935" t="str">
            <v>NILO DANUGO</v>
          </cell>
          <cell r="F1935" t="str">
            <v>D (Ch)</v>
          </cell>
          <cell r="G1935">
            <v>17100</v>
          </cell>
          <cell r="H1935" t="str">
            <v>Choice</v>
          </cell>
          <cell r="I1935">
            <v>0.88541666666666663</v>
          </cell>
          <cell r="J1935">
            <v>0.3125</v>
          </cell>
          <cell r="K1935">
            <v>9.9166666666666696</v>
          </cell>
          <cell r="L1935">
            <v>314.17</v>
          </cell>
          <cell r="O1935" t="str">
            <v>Y</v>
          </cell>
          <cell r="P1935" t="str">
            <v>N</v>
          </cell>
          <cell r="Q1935" t="str">
            <v>Short Term Sick</v>
          </cell>
          <cell r="S1935">
            <v>0.26</v>
          </cell>
        </row>
        <row r="1936">
          <cell r="D1936">
            <v>1008004240</v>
          </cell>
          <cell r="E1936" t="str">
            <v>OMAR SENGHORE</v>
          </cell>
          <cell r="F1936" t="str">
            <v>D (MD)</v>
          </cell>
          <cell r="G1936">
            <v>341528</v>
          </cell>
          <cell r="H1936" t="str">
            <v>Mayday</v>
          </cell>
          <cell r="I1936">
            <v>0.84375</v>
          </cell>
          <cell r="J1936">
            <v>0.3125</v>
          </cell>
          <cell r="K1936">
            <v>10.25</v>
          </cell>
          <cell r="L1936">
            <v>430.26</v>
          </cell>
          <cell r="O1936" t="str">
            <v>Y</v>
          </cell>
          <cell r="P1936" t="str">
            <v>N</v>
          </cell>
          <cell r="Q1936" t="str">
            <v>Vacancy</v>
          </cell>
          <cell r="S1936">
            <v>0.27</v>
          </cell>
        </row>
        <row r="1937">
          <cell r="D1937">
            <v>1008007114</v>
          </cell>
          <cell r="E1937" t="str">
            <v>OUSMAN JAWO</v>
          </cell>
          <cell r="F1937" t="str">
            <v>D (MD)</v>
          </cell>
          <cell r="G1937">
            <v>339024</v>
          </cell>
          <cell r="H1937" t="str">
            <v>Mayday</v>
          </cell>
          <cell r="I1937">
            <v>0.84375</v>
          </cell>
          <cell r="J1937">
            <v>0.3125</v>
          </cell>
          <cell r="K1937">
            <v>10.25</v>
          </cell>
          <cell r="L1937">
            <v>430.26</v>
          </cell>
          <cell r="O1937" t="str">
            <v>Y</v>
          </cell>
          <cell r="P1937" t="str">
            <v>N</v>
          </cell>
          <cell r="Q1937" t="str">
            <v>Short Term Sick</v>
          </cell>
          <cell r="S1937">
            <v>0.27</v>
          </cell>
        </row>
        <row r="1938">
          <cell r="D1938">
            <v>1008001266</v>
          </cell>
          <cell r="E1938" t="str">
            <v>PEGGY MAPOGO</v>
          </cell>
          <cell r="F1938" t="str">
            <v>D (Ch)</v>
          </cell>
          <cell r="G1938">
            <v>17088</v>
          </cell>
          <cell r="H1938" t="str">
            <v>Choice</v>
          </cell>
          <cell r="I1938">
            <v>0.3125</v>
          </cell>
          <cell r="J1938">
            <v>0.5625</v>
          </cell>
          <cell r="K1938">
            <v>5.6666666666666696</v>
          </cell>
          <cell r="L1938">
            <v>138.1</v>
          </cell>
          <cell r="O1938" t="str">
            <v>Y</v>
          </cell>
          <cell r="P1938" t="str">
            <v>N</v>
          </cell>
          <cell r="Q1938" t="str">
            <v>Under Established</v>
          </cell>
          <cell r="S1938">
            <v>0.15</v>
          </cell>
        </row>
        <row r="1939">
          <cell r="D1939">
            <v>1008001268</v>
          </cell>
          <cell r="E1939" t="str">
            <v>PEGGY MAPOGO</v>
          </cell>
          <cell r="F1939" t="str">
            <v>D (Ch)</v>
          </cell>
          <cell r="G1939">
            <v>17088</v>
          </cell>
          <cell r="H1939" t="str">
            <v>Choice</v>
          </cell>
          <cell r="I1939">
            <v>0.5625</v>
          </cell>
          <cell r="J1939">
            <v>0.89583333333333337</v>
          </cell>
          <cell r="K1939">
            <v>7.6666666666666696</v>
          </cell>
          <cell r="L1939">
            <v>186.84</v>
          </cell>
          <cell r="O1939" t="str">
            <v>Y</v>
          </cell>
          <cell r="P1939" t="str">
            <v>N</v>
          </cell>
          <cell r="Q1939" t="str">
            <v>Under Established</v>
          </cell>
          <cell r="S1939">
            <v>0.2</v>
          </cell>
        </row>
        <row r="1940">
          <cell r="D1940">
            <v>1108000161</v>
          </cell>
          <cell r="E1940" t="str">
            <v>RAMANI THOMAS</v>
          </cell>
          <cell r="F1940" t="str">
            <v>D (MD)</v>
          </cell>
          <cell r="G1940">
            <v>339623</v>
          </cell>
          <cell r="H1940" t="str">
            <v>Mayday</v>
          </cell>
          <cell r="I1940">
            <v>0.83333333333333337</v>
          </cell>
          <cell r="J1940">
            <v>0.33333333333333331</v>
          </cell>
          <cell r="K1940">
            <v>11</v>
          </cell>
          <cell r="L1940">
            <v>461.75</v>
          </cell>
          <cell r="O1940" t="str">
            <v>Y</v>
          </cell>
          <cell r="P1940" t="str">
            <v>N</v>
          </cell>
          <cell r="Q1940" t="str">
            <v>Acuity</v>
          </cell>
          <cell r="S1940">
            <v>0.28999999999999998</v>
          </cell>
        </row>
        <row r="1941">
          <cell r="D1941">
            <v>1008003069</v>
          </cell>
          <cell r="E1941" t="str">
            <v>RODA RAMERIZ</v>
          </cell>
          <cell r="F1941" t="str">
            <v>D (Ch)</v>
          </cell>
          <cell r="G1941">
            <v>17091</v>
          </cell>
          <cell r="H1941" t="str">
            <v>Choice</v>
          </cell>
          <cell r="I1941">
            <v>0.84375</v>
          </cell>
          <cell r="J1941">
            <v>0.32291666666666669</v>
          </cell>
          <cell r="K1941">
            <v>11.1666666666667</v>
          </cell>
          <cell r="L1941">
            <v>353.77</v>
          </cell>
          <cell r="O1941" t="str">
            <v>Y</v>
          </cell>
          <cell r="P1941" t="str">
            <v>N</v>
          </cell>
          <cell r="Q1941" t="str">
            <v>Under Established</v>
          </cell>
          <cell r="S1941">
            <v>0.3</v>
          </cell>
        </row>
        <row r="1942">
          <cell r="D1942">
            <v>1008004817</v>
          </cell>
          <cell r="E1942" t="str">
            <v>SAM KELEM</v>
          </cell>
          <cell r="F1942" t="str">
            <v>D (Ch)</v>
          </cell>
          <cell r="G1942">
            <v>17104</v>
          </cell>
          <cell r="H1942" t="str">
            <v>Choice</v>
          </cell>
          <cell r="I1942">
            <v>0.875</v>
          </cell>
          <cell r="J1942">
            <v>0.32291666666666669</v>
          </cell>
          <cell r="K1942">
            <v>10</v>
          </cell>
          <cell r="L1942">
            <v>316.81</v>
          </cell>
          <cell r="O1942" t="str">
            <v>Y</v>
          </cell>
          <cell r="P1942" t="str">
            <v>N</v>
          </cell>
          <cell r="Q1942" t="str">
            <v>Vacancy</v>
          </cell>
          <cell r="S1942">
            <v>0.27</v>
          </cell>
        </row>
        <row r="1943">
          <cell r="D1943">
            <v>908006516</v>
          </cell>
          <cell r="E1943" t="str">
            <v>TARA MASSIE</v>
          </cell>
          <cell r="F1943" t="str">
            <v>D (MD)</v>
          </cell>
          <cell r="G1943">
            <v>339103</v>
          </cell>
          <cell r="H1943" t="str">
            <v>Mayday</v>
          </cell>
          <cell r="I1943">
            <v>0.3125</v>
          </cell>
          <cell r="J1943">
            <v>0.58333333333333337</v>
          </cell>
          <cell r="K1943">
            <v>6.1666666666666696</v>
          </cell>
          <cell r="L1943">
            <v>199.12</v>
          </cell>
          <cell r="O1943" t="str">
            <v>Y</v>
          </cell>
          <cell r="P1943" t="str">
            <v>N</v>
          </cell>
          <cell r="Q1943" t="str">
            <v>Vacancy</v>
          </cell>
          <cell r="S1943">
            <v>0.16</v>
          </cell>
        </row>
        <row r="1944">
          <cell r="D1944">
            <v>908006517</v>
          </cell>
          <cell r="E1944" t="str">
            <v>TARA MASSIE</v>
          </cell>
          <cell r="F1944" t="str">
            <v>D (MD)</v>
          </cell>
          <cell r="G1944">
            <v>339103</v>
          </cell>
          <cell r="H1944" t="str">
            <v>Mayday</v>
          </cell>
          <cell r="I1944">
            <v>0.625</v>
          </cell>
          <cell r="J1944">
            <v>0.85416666666666663</v>
          </cell>
          <cell r="K1944">
            <v>5.5</v>
          </cell>
          <cell r="L1944">
            <v>177.59</v>
          </cell>
          <cell r="O1944" t="str">
            <v>Y</v>
          </cell>
          <cell r="P1944" t="str">
            <v>N</v>
          </cell>
          <cell r="Q1944" t="str">
            <v>Vacancy</v>
          </cell>
          <cell r="S1944">
            <v>0.15</v>
          </cell>
        </row>
        <row r="1945">
          <cell r="D1945">
            <v>1008001369</v>
          </cell>
          <cell r="E1945" t="str">
            <v>TEMBE NGIDI</v>
          </cell>
          <cell r="F1945" t="str">
            <v>D (MD)</v>
          </cell>
          <cell r="G1945">
            <v>339129</v>
          </cell>
          <cell r="H1945" t="str">
            <v>Mayday</v>
          </cell>
          <cell r="I1945">
            <v>0.83333333333333337</v>
          </cell>
          <cell r="J1945">
            <v>0.33333333333333331</v>
          </cell>
          <cell r="K1945">
            <v>11.3333333333333</v>
          </cell>
          <cell r="L1945">
            <v>475.74</v>
          </cell>
          <cell r="O1945" t="str">
            <v>Y</v>
          </cell>
          <cell r="P1945" t="str">
            <v>N</v>
          </cell>
          <cell r="Q1945" t="str">
            <v>Vacancy</v>
          </cell>
          <cell r="S1945">
            <v>0.3</v>
          </cell>
        </row>
        <row r="1946">
          <cell r="D1946">
            <v>1008005903</v>
          </cell>
          <cell r="E1946" t="str">
            <v>TOM OSBOURNE</v>
          </cell>
          <cell r="F1946" t="str">
            <v>D General (Orio</v>
          </cell>
          <cell r="G1946" t="str">
            <v>Invsd Smt checked</v>
          </cell>
          <cell r="H1946" t="str">
            <v>Orion</v>
          </cell>
          <cell r="I1946">
            <v>0.33333333333333331</v>
          </cell>
          <cell r="J1946">
            <v>0.75</v>
          </cell>
          <cell r="K1946">
            <v>9.5</v>
          </cell>
          <cell r="L1946">
            <v>172.14</v>
          </cell>
          <cell r="O1946" t="str">
            <v>Y</v>
          </cell>
          <cell r="P1946" t="str">
            <v>N</v>
          </cell>
          <cell r="Q1946" t="str">
            <v>Vacancy</v>
          </cell>
          <cell r="S1946">
            <v>0.25</v>
          </cell>
        </row>
        <row r="1947">
          <cell r="D1947">
            <v>1008001986</v>
          </cell>
          <cell r="E1947" t="str">
            <v>ANNA BONNERUP</v>
          </cell>
          <cell r="F1947" t="str">
            <v>D / 5 General (</v>
          </cell>
          <cell r="G1947" t="str">
            <v>604-155539</v>
          </cell>
          <cell r="H1947" t="str">
            <v>Blue Arrow</v>
          </cell>
          <cell r="I1947">
            <v>0.3125</v>
          </cell>
          <cell r="J1947">
            <v>0.54166666666666663</v>
          </cell>
          <cell r="K1947">
            <v>5.5</v>
          </cell>
          <cell r="L1947">
            <v>92.84</v>
          </cell>
          <cell r="O1947" t="str">
            <v>Y</v>
          </cell>
          <cell r="P1947" t="str">
            <v>N</v>
          </cell>
          <cell r="Q1947" t="str">
            <v>Vacancy</v>
          </cell>
          <cell r="S1947">
            <v>0.15</v>
          </cell>
        </row>
        <row r="1948">
          <cell r="D1948">
            <v>1008001987</v>
          </cell>
          <cell r="E1948" t="str">
            <v>ANNA BONNERUP</v>
          </cell>
          <cell r="F1948" t="str">
            <v>D / 5 General (</v>
          </cell>
          <cell r="G1948" t="str">
            <v>604-155539</v>
          </cell>
          <cell r="H1948" t="str">
            <v>Blue Arrow</v>
          </cell>
          <cell r="I1948">
            <v>0.625</v>
          </cell>
          <cell r="J1948">
            <v>0.85416666666666663</v>
          </cell>
          <cell r="K1948">
            <v>5.5</v>
          </cell>
          <cell r="L1948">
            <v>92.84</v>
          </cell>
          <cell r="O1948" t="str">
            <v>Y</v>
          </cell>
          <cell r="P1948" t="str">
            <v>N</v>
          </cell>
          <cell r="Q1948" t="str">
            <v>Vacancy</v>
          </cell>
          <cell r="S1948">
            <v>0.15</v>
          </cell>
        </row>
        <row r="1949">
          <cell r="D1949">
            <v>1008001364</v>
          </cell>
          <cell r="E1949" t="str">
            <v>ATINUKE OKE-OLATUNDE</v>
          </cell>
          <cell r="F1949" t="str">
            <v>D (MD)</v>
          </cell>
          <cell r="G1949">
            <v>341982</v>
          </cell>
          <cell r="H1949" t="str">
            <v>Mayday</v>
          </cell>
          <cell r="I1949">
            <v>0.83333333333333337</v>
          </cell>
          <cell r="J1949">
            <v>0.33333333333333331</v>
          </cell>
          <cell r="K1949">
            <v>11.3333333333333</v>
          </cell>
          <cell r="L1949">
            <v>475.74</v>
          </cell>
          <cell r="O1949" t="str">
            <v>Y</v>
          </cell>
          <cell r="P1949" t="str">
            <v>N</v>
          </cell>
          <cell r="Q1949" t="str">
            <v>Vacancy</v>
          </cell>
          <cell r="S1949">
            <v>0.3</v>
          </cell>
        </row>
        <row r="1950">
          <cell r="D1950">
            <v>908006493</v>
          </cell>
          <cell r="E1950" t="str">
            <v>BEAUTY NGIDI</v>
          </cell>
          <cell r="F1950" t="str">
            <v>D (MD)</v>
          </cell>
          <cell r="G1950">
            <v>339144</v>
          </cell>
          <cell r="H1950" t="str">
            <v>Mayday</v>
          </cell>
          <cell r="I1950">
            <v>0.83333333333333337</v>
          </cell>
          <cell r="J1950">
            <v>0.33333333333333331</v>
          </cell>
          <cell r="K1950">
            <v>11.3333333333333</v>
          </cell>
          <cell r="L1950">
            <v>475.74</v>
          </cell>
          <cell r="O1950" t="str">
            <v>Y</v>
          </cell>
          <cell r="P1950" t="str">
            <v>N</v>
          </cell>
          <cell r="Q1950" t="str">
            <v>Vacancy</v>
          </cell>
          <cell r="S1950">
            <v>0.3</v>
          </cell>
        </row>
        <row r="1951">
          <cell r="D1951">
            <v>1008001386</v>
          </cell>
          <cell r="E1951" t="str">
            <v>BERNADETTE SHINYA-NDUNUWANI</v>
          </cell>
          <cell r="F1951" t="str">
            <v>D (MD)</v>
          </cell>
          <cell r="G1951">
            <v>340123</v>
          </cell>
          <cell r="H1951" t="str">
            <v>Mayday</v>
          </cell>
          <cell r="I1951">
            <v>0.3125</v>
          </cell>
          <cell r="J1951">
            <v>0.58333333333333337</v>
          </cell>
          <cell r="K1951">
            <v>6.1666666666666696</v>
          </cell>
          <cell r="L1951">
            <v>199.12</v>
          </cell>
          <cell r="O1951" t="str">
            <v>Y</v>
          </cell>
          <cell r="P1951" t="str">
            <v>N</v>
          </cell>
          <cell r="Q1951" t="str">
            <v>Vacancy</v>
          </cell>
          <cell r="S1951">
            <v>0.16</v>
          </cell>
        </row>
        <row r="1952">
          <cell r="D1952">
            <v>1008001172</v>
          </cell>
          <cell r="E1952" t="str">
            <v>BIDDY CHAFESUKA</v>
          </cell>
          <cell r="F1952" t="str">
            <v>D (Ch)</v>
          </cell>
          <cell r="G1952">
            <v>17089</v>
          </cell>
          <cell r="H1952" t="str">
            <v>Choice</v>
          </cell>
          <cell r="I1952">
            <v>0.625</v>
          </cell>
          <cell r="J1952">
            <v>0.84375</v>
          </cell>
          <cell r="K1952">
            <v>5.25</v>
          </cell>
          <cell r="L1952">
            <v>127.94</v>
          </cell>
          <cell r="O1952" t="str">
            <v>Y</v>
          </cell>
          <cell r="P1952" t="str">
            <v>N</v>
          </cell>
          <cell r="Q1952" t="str">
            <v>Vacancy</v>
          </cell>
          <cell r="S1952">
            <v>0.14000000000000001</v>
          </cell>
        </row>
        <row r="1953">
          <cell r="D1953">
            <v>1008007021</v>
          </cell>
          <cell r="E1953" t="str">
            <v>BIDDY CHAFESUKA</v>
          </cell>
          <cell r="F1953" t="str">
            <v>D (Ch)</v>
          </cell>
          <cell r="G1953">
            <v>17089</v>
          </cell>
          <cell r="H1953" t="str">
            <v>Choice</v>
          </cell>
          <cell r="I1953">
            <v>0.29166666666666669</v>
          </cell>
          <cell r="J1953">
            <v>0.625</v>
          </cell>
          <cell r="K1953">
            <v>7.6666666666666696</v>
          </cell>
          <cell r="L1953">
            <v>186.84</v>
          </cell>
          <cell r="O1953" t="str">
            <v>Y</v>
          </cell>
          <cell r="P1953" t="str">
            <v>N</v>
          </cell>
          <cell r="Q1953" t="str">
            <v>Vacancy</v>
          </cell>
          <cell r="S1953">
            <v>0.2</v>
          </cell>
        </row>
        <row r="1954">
          <cell r="D1954">
            <v>1008001370</v>
          </cell>
          <cell r="E1954" t="str">
            <v>BRIGHTNESS NDEBELE</v>
          </cell>
          <cell r="F1954" t="str">
            <v>D (MD)</v>
          </cell>
          <cell r="G1954">
            <v>339142</v>
          </cell>
          <cell r="H1954" t="str">
            <v>Mayday</v>
          </cell>
          <cell r="I1954">
            <v>0.83333333333333337</v>
          </cell>
          <cell r="J1954">
            <v>0.33333333333333331</v>
          </cell>
          <cell r="K1954">
            <v>11.3333333333333</v>
          </cell>
          <cell r="L1954">
            <v>475.74</v>
          </cell>
          <cell r="O1954" t="str">
            <v>Y</v>
          </cell>
          <cell r="P1954" t="str">
            <v>N</v>
          </cell>
          <cell r="Q1954" t="str">
            <v>Vacancy</v>
          </cell>
          <cell r="S1954">
            <v>0.3</v>
          </cell>
        </row>
        <row r="1955">
          <cell r="D1955">
            <v>1008002304</v>
          </cell>
          <cell r="E1955" t="str">
            <v>DIGRACIA  NAPE</v>
          </cell>
          <cell r="F1955" t="str">
            <v>D (MD)</v>
          </cell>
          <cell r="G1955">
            <v>339017</v>
          </cell>
          <cell r="H1955" t="str">
            <v>Mayday</v>
          </cell>
          <cell r="I1955">
            <v>0.625</v>
          </cell>
          <cell r="J1955">
            <v>0.875</v>
          </cell>
          <cell r="K1955">
            <v>5.6666666666666696</v>
          </cell>
          <cell r="L1955">
            <v>182.98</v>
          </cell>
          <cell r="O1955" t="str">
            <v>Y</v>
          </cell>
          <cell r="P1955" t="str">
            <v>N</v>
          </cell>
          <cell r="Q1955" t="str">
            <v>Hospital Training</v>
          </cell>
          <cell r="S1955">
            <v>0.15</v>
          </cell>
        </row>
        <row r="1956">
          <cell r="D1956">
            <v>1008001314</v>
          </cell>
          <cell r="E1956" t="str">
            <v>DOROTHY MUTHWA</v>
          </cell>
          <cell r="F1956" t="str">
            <v>A (Ch)</v>
          </cell>
          <cell r="H1956" t="str">
            <v>Choice</v>
          </cell>
          <cell r="I1956">
            <v>0.3125</v>
          </cell>
          <cell r="J1956">
            <v>0.5625</v>
          </cell>
          <cell r="K1956">
            <v>5.6666666666666696</v>
          </cell>
          <cell r="L1956">
            <v>62.84</v>
          </cell>
          <cell r="O1956" t="str">
            <v>Y</v>
          </cell>
          <cell r="P1956" t="str">
            <v>N</v>
          </cell>
          <cell r="Q1956" t="str">
            <v>Annual Leave</v>
          </cell>
          <cell r="S1956">
            <v>0.15</v>
          </cell>
        </row>
        <row r="1957">
          <cell r="D1957">
            <v>1008003071</v>
          </cell>
          <cell r="E1957" t="str">
            <v>EDMA ITALIA</v>
          </cell>
          <cell r="F1957" t="str">
            <v>D (Ch)</v>
          </cell>
          <cell r="G1957">
            <v>17166</v>
          </cell>
          <cell r="H1957" t="str">
            <v>Choice</v>
          </cell>
          <cell r="I1957">
            <v>0.84375</v>
          </cell>
          <cell r="J1957">
            <v>0.32291666666666669</v>
          </cell>
          <cell r="K1957">
            <v>11.1666666666667</v>
          </cell>
          <cell r="L1957">
            <v>353.77</v>
          </cell>
          <cell r="O1957" t="str">
            <v>Y</v>
          </cell>
          <cell r="P1957" t="str">
            <v>N</v>
          </cell>
          <cell r="Q1957" t="str">
            <v>Under Established</v>
          </cell>
          <cell r="S1957">
            <v>0.3</v>
          </cell>
        </row>
        <row r="1958">
          <cell r="D1958">
            <v>1008005312</v>
          </cell>
          <cell r="E1958" t="str">
            <v>JAKE BROOKES</v>
          </cell>
          <cell r="F1958" t="str">
            <v>D General (Orio</v>
          </cell>
          <cell r="G1958">
            <v>17595</v>
          </cell>
          <cell r="H1958" t="str">
            <v>Orion</v>
          </cell>
          <cell r="I1958">
            <v>0.33333333333333331</v>
          </cell>
          <cell r="J1958">
            <v>0.75</v>
          </cell>
          <cell r="K1958">
            <v>9.6666666666666696</v>
          </cell>
          <cell r="L1958">
            <v>175.16</v>
          </cell>
          <cell r="O1958" t="str">
            <v>Y</v>
          </cell>
          <cell r="P1958" t="str">
            <v>N</v>
          </cell>
          <cell r="Q1958" t="str">
            <v>Long Term Sick</v>
          </cell>
          <cell r="S1958">
            <v>0.26</v>
          </cell>
        </row>
        <row r="1959">
          <cell r="D1959">
            <v>1008001766</v>
          </cell>
          <cell r="E1959" t="str">
            <v>JAMES MCCLEMENTS</v>
          </cell>
          <cell r="F1959" t="str">
            <v>D (MD)</v>
          </cell>
          <cell r="G1959">
            <v>339013</v>
          </cell>
          <cell r="H1959" t="str">
            <v>Mayday</v>
          </cell>
          <cell r="I1959">
            <v>0.625</v>
          </cell>
          <cell r="J1959">
            <v>0.85416666666666663</v>
          </cell>
          <cell r="K1959">
            <v>5.5</v>
          </cell>
          <cell r="L1959">
            <v>177.59</v>
          </cell>
          <cell r="O1959" t="str">
            <v>Y</v>
          </cell>
          <cell r="P1959" t="str">
            <v>N</v>
          </cell>
          <cell r="Q1959" t="str">
            <v>Vacancy</v>
          </cell>
          <cell r="S1959">
            <v>0.15</v>
          </cell>
        </row>
        <row r="1960">
          <cell r="D1960">
            <v>1008003072</v>
          </cell>
          <cell r="E1960" t="str">
            <v>JASMINE ESGUERRA</v>
          </cell>
          <cell r="F1960" t="str">
            <v>D (Ch)</v>
          </cell>
          <cell r="H1960" t="str">
            <v>Choice</v>
          </cell>
          <cell r="I1960">
            <v>0.84375</v>
          </cell>
          <cell r="J1960">
            <v>0.32291666666666669</v>
          </cell>
          <cell r="K1960">
            <v>11.1666666666667</v>
          </cell>
          <cell r="L1960">
            <v>353.77</v>
          </cell>
          <cell r="O1960" t="str">
            <v>Y</v>
          </cell>
          <cell r="P1960" t="str">
            <v>N</v>
          </cell>
          <cell r="Q1960" t="str">
            <v>Under Established</v>
          </cell>
          <cell r="S1960">
            <v>0.3</v>
          </cell>
        </row>
        <row r="1961">
          <cell r="D1961">
            <v>1008007372</v>
          </cell>
          <cell r="E1961" t="str">
            <v>JESSICA BELLAMY</v>
          </cell>
          <cell r="F1961" t="str">
            <v>D (MD)</v>
          </cell>
          <cell r="G1961">
            <v>341752</v>
          </cell>
          <cell r="H1961" t="str">
            <v>Mayday</v>
          </cell>
          <cell r="I1961">
            <v>0.8125</v>
          </cell>
          <cell r="J1961">
            <v>0.33333333333333331</v>
          </cell>
          <cell r="K1961">
            <v>11.1666666666667</v>
          </cell>
          <cell r="L1961">
            <v>468.74</v>
          </cell>
          <cell r="O1961" t="str">
            <v>Y</v>
          </cell>
          <cell r="P1961" t="str">
            <v>N</v>
          </cell>
          <cell r="Q1961" t="str">
            <v>Vacancy</v>
          </cell>
          <cell r="S1961">
            <v>0.3</v>
          </cell>
        </row>
        <row r="1962">
          <cell r="D1962">
            <v>1008001985</v>
          </cell>
          <cell r="E1962" t="str">
            <v>JOANNE BUSS</v>
          </cell>
          <cell r="F1962" t="str">
            <v>D (MD)</v>
          </cell>
          <cell r="G1962">
            <v>339010</v>
          </cell>
          <cell r="H1962" t="str">
            <v>Mayday</v>
          </cell>
          <cell r="I1962">
            <v>0.3125</v>
          </cell>
          <cell r="J1962">
            <v>0.54166666666666663</v>
          </cell>
          <cell r="K1962">
            <v>5.5</v>
          </cell>
          <cell r="L1962">
            <v>177.59</v>
          </cell>
          <cell r="O1962" t="str">
            <v>Y</v>
          </cell>
          <cell r="P1962" t="str">
            <v>N</v>
          </cell>
          <cell r="Q1962" t="str">
            <v>Vacancy</v>
          </cell>
          <cell r="S1962">
            <v>0.15</v>
          </cell>
        </row>
        <row r="1963">
          <cell r="D1963">
            <v>1008004797</v>
          </cell>
          <cell r="E1963" t="str">
            <v>KERRI GALLOWAY</v>
          </cell>
          <cell r="F1963" t="str">
            <v>D (MD)</v>
          </cell>
          <cell r="G1963">
            <v>339126</v>
          </cell>
          <cell r="H1963" t="str">
            <v>Mayday</v>
          </cell>
          <cell r="I1963">
            <v>0.625</v>
          </cell>
          <cell r="J1963">
            <v>0.85416666666666663</v>
          </cell>
          <cell r="K1963">
            <v>5.5</v>
          </cell>
          <cell r="L1963">
            <v>177.59</v>
          </cell>
          <cell r="O1963" t="str">
            <v>Y</v>
          </cell>
          <cell r="P1963" t="str">
            <v>N</v>
          </cell>
          <cell r="Q1963" t="str">
            <v>Vacancy</v>
          </cell>
          <cell r="S1963">
            <v>0.15</v>
          </cell>
        </row>
        <row r="1964">
          <cell r="D1964">
            <v>908006499</v>
          </cell>
          <cell r="E1964" t="str">
            <v>LETECIA MENIANO</v>
          </cell>
          <cell r="F1964" t="str">
            <v>D (MD)</v>
          </cell>
          <cell r="G1964">
            <v>339139</v>
          </cell>
          <cell r="H1964" t="str">
            <v>Mayday</v>
          </cell>
          <cell r="I1964">
            <v>0.83333333333333337</v>
          </cell>
          <cell r="J1964">
            <v>0.33333333333333331</v>
          </cell>
          <cell r="K1964">
            <v>11.3333333333333</v>
          </cell>
          <cell r="L1964">
            <v>475.74</v>
          </cell>
          <cell r="O1964" t="str">
            <v>Y</v>
          </cell>
          <cell r="P1964" t="str">
            <v>N</v>
          </cell>
          <cell r="Q1964" t="str">
            <v>Vacancy</v>
          </cell>
          <cell r="S1964">
            <v>0.3</v>
          </cell>
        </row>
        <row r="1965">
          <cell r="D1965">
            <v>1008006723</v>
          </cell>
          <cell r="E1965" t="str">
            <v>MZUKISI SPEELMAN</v>
          </cell>
          <cell r="F1965" t="str">
            <v>A (Ch)</v>
          </cell>
          <cell r="G1965">
            <v>17088</v>
          </cell>
          <cell r="H1965" t="str">
            <v>Choice</v>
          </cell>
          <cell r="I1965">
            <v>0.625</v>
          </cell>
          <cell r="J1965">
            <v>0.875</v>
          </cell>
          <cell r="K1965">
            <v>5.75</v>
          </cell>
          <cell r="L1965">
            <v>63.77</v>
          </cell>
          <cell r="O1965" t="str">
            <v>Y</v>
          </cell>
          <cell r="P1965" t="str">
            <v>N</v>
          </cell>
          <cell r="Q1965" t="str">
            <v>Specials</v>
          </cell>
          <cell r="S1965">
            <v>0.15</v>
          </cell>
        </row>
        <row r="1966">
          <cell r="D1966">
            <v>1008007281</v>
          </cell>
          <cell r="E1966" t="str">
            <v>MZUKISI SPEELMAN</v>
          </cell>
          <cell r="F1966" t="str">
            <v>A (Ch)</v>
          </cell>
          <cell r="G1966">
            <v>17088</v>
          </cell>
          <cell r="H1966" t="str">
            <v>Choice</v>
          </cell>
          <cell r="I1966">
            <v>0.3125</v>
          </cell>
          <cell r="J1966">
            <v>0.5625</v>
          </cell>
          <cell r="K1966">
            <v>5.6666666666666696</v>
          </cell>
          <cell r="L1966">
            <v>62.84</v>
          </cell>
          <cell r="O1966" t="str">
            <v>Y</v>
          </cell>
          <cell r="P1966" t="str">
            <v>N</v>
          </cell>
          <cell r="Q1966" t="str">
            <v>On-Call</v>
          </cell>
          <cell r="S1966">
            <v>0.15</v>
          </cell>
        </row>
        <row r="1967">
          <cell r="D1967">
            <v>1008001991</v>
          </cell>
          <cell r="E1967" t="str">
            <v>NILO DANUGO</v>
          </cell>
          <cell r="F1967" t="str">
            <v>D (Ch)</v>
          </cell>
          <cell r="G1967">
            <v>17108</v>
          </cell>
          <cell r="H1967" t="str">
            <v>Choice</v>
          </cell>
          <cell r="I1967">
            <v>0.83333333333333337</v>
          </cell>
          <cell r="J1967">
            <v>0.33333333333333331</v>
          </cell>
          <cell r="K1967">
            <v>11.3333333333333</v>
          </cell>
          <cell r="L1967">
            <v>359.05</v>
          </cell>
          <cell r="O1967" t="str">
            <v>Y</v>
          </cell>
          <cell r="P1967" t="str">
            <v>N</v>
          </cell>
          <cell r="Q1967" t="str">
            <v>Vacancy</v>
          </cell>
          <cell r="S1967">
            <v>0.3</v>
          </cell>
        </row>
        <row r="1968">
          <cell r="D1968">
            <v>1008005188</v>
          </cell>
          <cell r="E1968" t="str">
            <v>NKOSI BHEBHE</v>
          </cell>
          <cell r="F1968" t="str">
            <v>D (Amb)</v>
          </cell>
          <cell r="G1968">
            <v>753699</v>
          </cell>
          <cell r="H1968" t="str">
            <v>Ambition</v>
          </cell>
          <cell r="I1968">
            <v>0.58333333333333337</v>
          </cell>
          <cell r="J1968">
            <v>0.83333333333333337</v>
          </cell>
          <cell r="K1968">
            <v>5.5</v>
          </cell>
          <cell r="L1968">
            <v>215.05</v>
          </cell>
          <cell r="O1968" t="str">
            <v>Y</v>
          </cell>
          <cell r="P1968" t="str">
            <v>N</v>
          </cell>
          <cell r="Q1968" t="str">
            <v>Vacancy</v>
          </cell>
          <cell r="S1968">
            <v>0.15</v>
          </cell>
        </row>
        <row r="1969">
          <cell r="D1969">
            <v>1008001315</v>
          </cell>
          <cell r="E1969" t="str">
            <v>PAT MUGABZA</v>
          </cell>
          <cell r="F1969" t="str">
            <v>A (Ch)</v>
          </cell>
          <cell r="H1969" t="str">
            <v>Choice</v>
          </cell>
          <cell r="I1969">
            <v>0.3125</v>
          </cell>
          <cell r="J1969">
            <v>0.5625</v>
          </cell>
          <cell r="K1969">
            <v>5.6666666666666696</v>
          </cell>
          <cell r="L1969">
            <v>62.84</v>
          </cell>
          <cell r="O1969" t="str">
            <v>Y</v>
          </cell>
          <cell r="P1969" t="str">
            <v>N</v>
          </cell>
          <cell r="Q1969" t="str">
            <v>Under Established</v>
          </cell>
          <cell r="S1969">
            <v>0.15</v>
          </cell>
        </row>
        <row r="1970">
          <cell r="D1970">
            <v>1008002777</v>
          </cell>
          <cell r="E1970" t="str">
            <v>PEGGY CHIRIKURE</v>
          </cell>
          <cell r="F1970" t="str">
            <v>D (Ch)</v>
          </cell>
          <cell r="H1970" t="str">
            <v>Choice</v>
          </cell>
          <cell r="I1970">
            <v>0.3125</v>
          </cell>
          <cell r="J1970">
            <v>0.54166666666666663</v>
          </cell>
          <cell r="K1970">
            <v>5.5</v>
          </cell>
          <cell r="L1970">
            <v>134.03</v>
          </cell>
          <cell r="O1970" t="str">
            <v>Y</v>
          </cell>
          <cell r="P1970" t="str">
            <v>N</v>
          </cell>
          <cell r="Q1970" t="str">
            <v>Extra Capacity</v>
          </cell>
          <cell r="S1970">
            <v>0.15</v>
          </cell>
        </row>
        <row r="1971">
          <cell r="D1971">
            <v>1008001274</v>
          </cell>
          <cell r="E1971" t="str">
            <v>PEGGY MAPOGO</v>
          </cell>
          <cell r="F1971" t="str">
            <v>D (Ch)</v>
          </cell>
          <cell r="G1971">
            <v>17088</v>
          </cell>
          <cell r="H1971" t="str">
            <v>Choice</v>
          </cell>
          <cell r="I1971">
            <v>0.3125</v>
          </cell>
          <cell r="J1971">
            <v>0.5625</v>
          </cell>
          <cell r="K1971">
            <v>5.6666666666666696</v>
          </cell>
          <cell r="L1971">
            <v>138.1</v>
          </cell>
          <cell r="O1971" t="str">
            <v>Y</v>
          </cell>
          <cell r="P1971" t="str">
            <v>N</v>
          </cell>
          <cell r="Q1971" t="str">
            <v>Under Established</v>
          </cell>
          <cell r="S1971">
            <v>0.15</v>
          </cell>
        </row>
        <row r="1972">
          <cell r="D1972">
            <v>1008001277</v>
          </cell>
          <cell r="E1972" t="str">
            <v>PEGGY MAPOGO</v>
          </cell>
          <cell r="F1972" t="str">
            <v>D (Ch)</v>
          </cell>
          <cell r="G1972">
            <v>17088</v>
          </cell>
          <cell r="H1972" t="str">
            <v>Choice</v>
          </cell>
          <cell r="I1972">
            <v>0.5625</v>
          </cell>
          <cell r="J1972">
            <v>0.89583333333333337</v>
          </cell>
          <cell r="K1972">
            <v>7.6666666666666696</v>
          </cell>
          <cell r="L1972">
            <v>186.84</v>
          </cell>
          <cell r="O1972" t="str">
            <v>Y</v>
          </cell>
          <cell r="P1972" t="str">
            <v>N</v>
          </cell>
          <cell r="Q1972" t="str">
            <v>Under Established</v>
          </cell>
          <cell r="S1972">
            <v>0.2</v>
          </cell>
        </row>
        <row r="1973">
          <cell r="D1973">
            <v>1008007374</v>
          </cell>
          <cell r="E1973" t="str">
            <v>SAM KELEM</v>
          </cell>
          <cell r="F1973" t="str">
            <v>D (Ch)</v>
          </cell>
          <cell r="G1973">
            <v>17094</v>
          </cell>
          <cell r="H1973" t="str">
            <v>Choice</v>
          </cell>
          <cell r="I1973">
            <v>0.83333333333333337</v>
          </cell>
          <cell r="J1973">
            <v>0.33333333333333331</v>
          </cell>
          <cell r="K1973">
            <v>11.3333333333333</v>
          </cell>
          <cell r="L1973">
            <v>359.05</v>
          </cell>
          <cell r="O1973" t="str">
            <v>Y</v>
          </cell>
          <cell r="P1973" t="str">
            <v>N</v>
          </cell>
          <cell r="Q1973" t="str">
            <v>Extra Capacity</v>
          </cell>
          <cell r="S1973">
            <v>0.3</v>
          </cell>
        </row>
        <row r="1974">
          <cell r="D1974">
            <v>1008002972</v>
          </cell>
          <cell r="E1974" t="str">
            <v>TAEL MHANGO</v>
          </cell>
          <cell r="F1974" t="str">
            <v>D (Ch)</v>
          </cell>
          <cell r="H1974" t="str">
            <v>Choice</v>
          </cell>
          <cell r="I1974">
            <v>0.84375</v>
          </cell>
          <cell r="J1974">
            <v>0.3125</v>
          </cell>
          <cell r="K1974">
            <v>10.25</v>
          </cell>
          <cell r="L1974">
            <v>324.73</v>
          </cell>
          <cell r="O1974" t="str">
            <v>Y</v>
          </cell>
          <cell r="P1974" t="str">
            <v>N</v>
          </cell>
          <cell r="Q1974" t="str">
            <v>Vacancy</v>
          </cell>
          <cell r="S1974">
            <v>0.27</v>
          </cell>
        </row>
        <row r="1975">
          <cell r="D1975">
            <v>1008004913</v>
          </cell>
          <cell r="E1975" t="str">
            <v>VAL ZUNGA</v>
          </cell>
          <cell r="F1975" t="str">
            <v>D (Ch)</v>
          </cell>
          <cell r="G1975">
            <v>17162</v>
          </cell>
          <cell r="H1975" t="str">
            <v>Choice</v>
          </cell>
          <cell r="I1975">
            <v>0.625</v>
          </cell>
          <cell r="J1975">
            <v>0.85416666666666663</v>
          </cell>
          <cell r="K1975">
            <v>5.5</v>
          </cell>
          <cell r="L1975">
            <v>134.03</v>
          </cell>
          <cell r="O1975" t="str">
            <v>Y</v>
          </cell>
          <cell r="P1975" t="str">
            <v>N</v>
          </cell>
          <cell r="Q1975" t="str">
            <v>Vacancy</v>
          </cell>
          <cell r="S1975">
            <v>0.15</v>
          </cell>
        </row>
        <row r="1976">
          <cell r="D1976">
            <v>1008007280</v>
          </cell>
          <cell r="E1976" t="str">
            <v>VAL ZUNGA</v>
          </cell>
          <cell r="F1976" t="str">
            <v>D (Ch)</v>
          </cell>
          <cell r="G1976">
            <v>17162</v>
          </cell>
          <cell r="H1976" t="str">
            <v>Choice</v>
          </cell>
          <cell r="I1976">
            <v>0.3125</v>
          </cell>
          <cell r="J1976">
            <v>0.54166666666666663</v>
          </cell>
          <cell r="K1976">
            <v>5.5</v>
          </cell>
          <cell r="L1976">
            <v>134.03</v>
          </cell>
          <cell r="O1976" t="str">
            <v>Y</v>
          </cell>
          <cell r="P1976" t="str">
            <v>N</v>
          </cell>
          <cell r="Q1976" t="str">
            <v>On-Call</v>
          </cell>
          <cell r="S1976">
            <v>0.15</v>
          </cell>
        </row>
        <row r="1977">
          <cell r="D1977">
            <v>1008001996</v>
          </cell>
          <cell r="E1977" t="str">
            <v>ANNA BONNERUP</v>
          </cell>
          <cell r="F1977" t="str">
            <v>D / 5 General (</v>
          </cell>
          <cell r="G1977" t="str">
            <v>604-155539</v>
          </cell>
          <cell r="H1977" t="str">
            <v>Blue Arrow</v>
          </cell>
          <cell r="I1977">
            <v>0.3125</v>
          </cell>
          <cell r="J1977">
            <v>0.54166666666666663</v>
          </cell>
          <cell r="K1977">
            <v>5.5</v>
          </cell>
          <cell r="L1977">
            <v>120.69</v>
          </cell>
          <cell r="O1977" t="str">
            <v>Y</v>
          </cell>
          <cell r="P1977" t="str">
            <v>N</v>
          </cell>
          <cell r="Q1977" t="str">
            <v>Vacancy</v>
          </cell>
          <cell r="S1977">
            <v>0.15</v>
          </cell>
        </row>
        <row r="1978">
          <cell r="D1978">
            <v>1008001365</v>
          </cell>
          <cell r="E1978" t="str">
            <v>ATINUKE OKE-OLATUNDE</v>
          </cell>
          <cell r="F1978" t="str">
            <v>D (MD)</v>
          </cell>
          <cell r="G1978">
            <v>342965</v>
          </cell>
          <cell r="H1978" t="str">
            <v>Mayday</v>
          </cell>
          <cell r="I1978">
            <v>0.83333333333333337</v>
          </cell>
          <cell r="J1978">
            <v>0.33333333333333331</v>
          </cell>
          <cell r="K1978">
            <v>11.3333333333333</v>
          </cell>
          <cell r="L1978">
            <v>475.74</v>
          </cell>
          <cell r="O1978" t="str">
            <v>Y</v>
          </cell>
          <cell r="P1978" t="str">
            <v>N</v>
          </cell>
          <cell r="Q1978" t="str">
            <v>Vacancy</v>
          </cell>
          <cell r="S1978">
            <v>0.3</v>
          </cell>
        </row>
        <row r="1979">
          <cell r="D1979">
            <v>908006494</v>
          </cell>
          <cell r="E1979" t="str">
            <v>BEAUTY NGIDI</v>
          </cell>
          <cell r="F1979" t="str">
            <v>D (MD)</v>
          </cell>
          <cell r="G1979">
            <v>339143</v>
          </cell>
          <cell r="H1979" t="str">
            <v>Mayday</v>
          </cell>
          <cell r="I1979">
            <v>0.83333333333333337</v>
          </cell>
          <cell r="J1979">
            <v>0.33333333333333331</v>
          </cell>
          <cell r="K1979">
            <v>11.3333333333333</v>
          </cell>
          <cell r="L1979">
            <v>475.74</v>
          </cell>
          <cell r="O1979" t="str">
            <v>Y</v>
          </cell>
          <cell r="P1979" t="str">
            <v>N</v>
          </cell>
          <cell r="Q1979" t="str">
            <v>Vacancy</v>
          </cell>
          <cell r="S1979">
            <v>0.3</v>
          </cell>
        </row>
        <row r="1980">
          <cell r="D1980">
            <v>1008004209</v>
          </cell>
          <cell r="E1980" t="str">
            <v>BIDDY CHAFESUKA</v>
          </cell>
          <cell r="F1980" t="str">
            <v>D (Ch)</v>
          </cell>
          <cell r="G1980">
            <v>17103</v>
          </cell>
          <cell r="H1980" t="str">
            <v>Choice</v>
          </cell>
          <cell r="I1980">
            <v>0.5625</v>
          </cell>
          <cell r="J1980">
            <v>0.89583333333333337</v>
          </cell>
          <cell r="K1980">
            <v>7.5</v>
          </cell>
          <cell r="L1980">
            <v>237.61</v>
          </cell>
          <cell r="O1980" t="str">
            <v>Y</v>
          </cell>
          <cell r="P1980" t="str">
            <v>N</v>
          </cell>
          <cell r="Q1980" t="str">
            <v>Extra Capacity</v>
          </cell>
          <cell r="S1980">
            <v>0.2</v>
          </cell>
        </row>
        <row r="1981">
          <cell r="D1981">
            <v>1008001371</v>
          </cell>
          <cell r="E1981" t="str">
            <v>BRIGHTNESS NDEBELE</v>
          </cell>
          <cell r="F1981" t="str">
            <v>D (MD)</v>
          </cell>
          <cell r="G1981">
            <v>339142</v>
          </cell>
          <cell r="H1981" t="str">
            <v>Mayday</v>
          </cell>
          <cell r="I1981">
            <v>0.83333333333333337</v>
          </cell>
          <cell r="J1981">
            <v>0.33333333333333331</v>
          </cell>
          <cell r="K1981">
            <v>11.3333333333333</v>
          </cell>
          <cell r="L1981">
            <v>475.74</v>
          </cell>
          <cell r="O1981" t="str">
            <v>Y</v>
          </cell>
          <cell r="P1981" t="str">
            <v>N</v>
          </cell>
          <cell r="Q1981" t="str">
            <v>Vacancy</v>
          </cell>
          <cell r="S1981">
            <v>0.3</v>
          </cell>
        </row>
        <row r="1982">
          <cell r="D1982">
            <v>1008001009</v>
          </cell>
          <cell r="E1982" t="str">
            <v>CHRIS STULAR</v>
          </cell>
          <cell r="F1982" t="str">
            <v>D General (Orio</v>
          </cell>
          <cell r="G1982">
            <v>17589</v>
          </cell>
          <cell r="H1982" t="str">
            <v>Orion</v>
          </cell>
          <cell r="I1982">
            <v>0.33333333333333331</v>
          </cell>
          <cell r="J1982">
            <v>0.89583333333333337</v>
          </cell>
          <cell r="K1982">
            <v>12.5</v>
          </cell>
          <cell r="L1982">
            <v>294.45</v>
          </cell>
          <cell r="O1982" t="str">
            <v>Y</v>
          </cell>
          <cell r="P1982" t="str">
            <v>N</v>
          </cell>
          <cell r="Q1982" t="str">
            <v>Backfill</v>
          </cell>
          <cell r="S1982">
            <v>0.33</v>
          </cell>
        </row>
        <row r="1983">
          <cell r="D1983">
            <v>1008002974</v>
          </cell>
          <cell r="E1983" t="str">
            <v>COLLEN SIBANDA</v>
          </cell>
          <cell r="F1983" t="str">
            <v>D (Ch)</v>
          </cell>
          <cell r="G1983">
            <v>17086</v>
          </cell>
          <cell r="H1983" t="str">
            <v>Choice</v>
          </cell>
          <cell r="I1983">
            <v>0.3125</v>
          </cell>
          <cell r="J1983">
            <v>0.64583333333333337</v>
          </cell>
          <cell r="K1983">
            <v>7.5</v>
          </cell>
          <cell r="L1983">
            <v>237.61</v>
          </cell>
          <cell r="O1983" t="str">
            <v>Y</v>
          </cell>
          <cell r="P1983" t="str">
            <v>N</v>
          </cell>
          <cell r="Q1983" t="str">
            <v>Vacancy</v>
          </cell>
          <cell r="S1983">
            <v>0.2</v>
          </cell>
        </row>
        <row r="1984">
          <cell r="D1984">
            <v>1008005221</v>
          </cell>
          <cell r="E1984" t="str">
            <v>COLLEN SIBANDA</v>
          </cell>
          <cell r="F1984" t="str">
            <v>D (Ch)</v>
          </cell>
          <cell r="G1984">
            <v>17086</v>
          </cell>
          <cell r="H1984" t="str">
            <v>Choice</v>
          </cell>
          <cell r="I1984">
            <v>0.64583333333333337</v>
          </cell>
          <cell r="J1984">
            <v>0.85416666666666663</v>
          </cell>
          <cell r="K1984">
            <v>5</v>
          </cell>
          <cell r="L1984">
            <v>158.41</v>
          </cell>
          <cell r="O1984" t="str">
            <v>Y</v>
          </cell>
          <cell r="P1984" t="str">
            <v>N</v>
          </cell>
          <cell r="Q1984" t="str">
            <v>Long Term Sick</v>
          </cell>
          <cell r="S1984">
            <v>0.13</v>
          </cell>
        </row>
        <row r="1985">
          <cell r="D1985">
            <v>1008007380</v>
          </cell>
          <cell r="E1985" t="str">
            <v>DOROTHY MUTHWA</v>
          </cell>
          <cell r="F1985" t="str">
            <v>A (Ch)</v>
          </cell>
          <cell r="G1985">
            <v>17094</v>
          </cell>
          <cell r="H1985" t="str">
            <v>Choice</v>
          </cell>
          <cell r="I1985">
            <v>0.3125</v>
          </cell>
          <cell r="J1985">
            <v>0.85416666666666663</v>
          </cell>
          <cell r="K1985">
            <v>12.3333333333333</v>
          </cell>
          <cell r="L1985">
            <v>182.37</v>
          </cell>
          <cell r="O1985" t="str">
            <v>Y</v>
          </cell>
          <cell r="P1985" t="str">
            <v>N</v>
          </cell>
          <cell r="Q1985" t="str">
            <v>Extra Capacity</v>
          </cell>
          <cell r="S1985">
            <v>0.33</v>
          </cell>
        </row>
        <row r="1986">
          <cell r="D1986">
            <v>1008001020</v>
          </cell>
          <cell r="E1986" t="str">
            <v>JAKE BROOKES</v>
          </cell>
          <cell r="F1986" t="str">
            <v>D General (Orio</v>
          </cell>
          <cell r="G1986">
            <v>17594</v>
          </cell>
          <cell r="H1986" t="str">
            <v>Orion</v>
          </cell>
          <cell r="I1986">
            <v>0.33333333333333331</v>
          </cell>
          <cell r="J1986">
            <v>0.75</v>
          </cell>
          <cell r="K1986">
            <v>9.5</v>
          </cell>
          <cell r="L1986">
            <v>223.78</v>
          </cell>
          <cell r="O1986" t="str">
            <v>Y</v>
          </cell>
          <cell r="P1986" t="str">
            <v>N</v>
          </cell>
          <cell r="Q1986" t="str">
            <v>Vacancy</v>
          </cell>
          <cell r="S1986">
            <v>0.25</v>
          </cell>
        </row>
        <row r="1987">
          <cell r="D1987">
            <v>1008001995</v>
          </cell>
          <cell r="E1987" t="str">
            <v>JOANNE BUSS</v>
          </cell>
          <cell r="F1987" t="str">
            <v>D (MD)</v>
          </cell>
          <cell r="G1987">
            <v>339010</v>
          </cell>
          <cell r="H1987" t="str">
            <v>Mayday</v>
          </cell>
          <cell r="I1987">
            <v>0.3125</v>
          </cell>
          <cell r="J1987">
            <v>0.54166666666666663</v>
          </cell>
          <cell r="K1987">
            <v>5.5</v>
          </cell>
          <cell r="L1987">
            <v>230.87</v>
          </cell>
          <cell r="O1987" t="str">
            <v>Y</v>
          </cell>
          <cell r="P1987" t="str">
            <v>N</v>
          </cell>
          <cell r="Q1987" t="str">
            <v>Vacancy</v>
          </cell>
          <cell r="S1987">
            <v>0.15</v>
          </cell>
        </row>
        <row r="1988">
          <cell r="D1988">
            <v>1008004798</v>
          </cell>
          <cell r="E1988" t="str">
            <v>KIRSTY LAWLER</v>
          </cell>
          <cell r="F1988" t="str">
            <v>D (MD)</v>
          </cell>
          <cell r="G1988">
            <v>339112</v>
          </cell>
          <cell r="H1988" t="str">
            <v>Mayday</v>
          </cell>
          <cell r="I1988">
            <v>0.3125</v>
          </cell>
          <cell r="J1988">
            <v>0.54166666666666663</v>
          </cell>
          <cell r="K1988">
            <v>5.5</v>
          </cell>
          <cell r="L1988">
            <v>230.87</v>
          </cell>
          <cell r="O1988" t="str">
            <v>Y</v>
          </cell>
          <cell r="P1988" t="str">
            <v>N</v>
          </cell>
          <cell r="Q1988" t="str">
            <v>Vacancy</v>
          </cell>
          <cell r="S1988">
            <v>0.15</v>
          </cell>
        </row>
        <row r="1989">
          <cell r="D1989">
            <v>1008006190</v>
          </cell>
          <cell r="E1989" t="str">
            <v>MABEL MNISI</v>
          </cell>
          <cell r="F1989" t="str">
            <v>D (MD)</v>
          </cell>
          <cell r="G1989">
            <v>339850</v>
          </cell>
          <cell r="H1989" t="str">
            <v>Mayday</v>
          </cell>
          <cell r="I1989">
            <v>0.5625</v>
          </cell>
          <cell r="J1989">
            <v>0.89583333333333337</v>
          </cell>
          <cell r="K1989">
            <v>7.6666666666666696</v>
          </cell>
          <cell r="L1989">
            <v>321.82</v>
          </cell>
          <cell r="O1989" t="str">
            <v>Y</v>
          </cell>
          <cell r="P1989" t="str">
            <v>N</v>
          </cell>
          <cell r="Q1989" t="str">
            <v>Vacancy</v>
          </cell>
          <cell r="S1989">
            <v>0.2</v>
          </cell>
        </row>
        <row r="1990">
          <cell r="D1990">
            <v>1008001318</v>
          </cell>
          <cell r="E1990" t="str">
            <v>MZUKISI SPEELMAN</v>
          </cell>
          <cell r="F1990" t="str">
            <v>A (Ch)</v>
          </cell>
          <cell r="G1990">
            <v>17088</v>
          </cell>
          <cell r="H1990" t="str">
            <v>Choice</v>
          </cell>
          <cell r="I1990">
            <v>0.3125</v>
          </cell>
          <cell r="J1990">
            <v>0.5625</v>
          </cell>
          <cell r="K1990">
            <v>5.6666666666666696</v>
          </cell>
          <cell r="L1990">
            <v>83.79</v>
          </cell>
          <cell r="O1990" t="str">
            <v>Y</v>
          </cell>
          <cell r="P1990" t="str">
            <v>N</v>
          </cell>
          <cell r="Q1990" t="str">
            <v>Maternity Leave</v>
          </cell>
          <cell r="S1990">
            <v>0.15</v>
          </cell>
        </row>
        <row r="1991">
          <cell r="D1991">
            <v>1008001283</v>
          </cell>
          <cell r="E1991" t="str">
            <v>PRUDENCE MAJOZI</v>
          </cell>
          <cell r="F1991" t="str">
            <v>D (MD)</v>
          </cell>
          <cell r="G1991">
            <v>339022</v>
          </cell>
          <cell r="H1991" t="str">
            <v>Mayday</v>
          </cell>
          <cell r="I1991">
            <v>0.5625</v>
          </cell>
          <cell r="J1991">
            <v>0.89583333333333337</v>
          </cell>
          <cell r="K1991">
            <v>7.6666666666666696</v>
          </cell>
          <cell r="L1991">
            <v>321.82</v>
          </cell>
          <cell r="O1991" t="str">
            <v>Y</v>
          </cell>
          <cell r="P1991" t="str">
            <v>N</v>
          </cell>
          <cell r="Q1991" t="str">
            <v>Annual Leave</v>
          </cell>
          <cell r="S1991">
            <v>0.2</v>
          </cell>
        </row>
        <row r="1992">
          <cell r="D1992">
            <v>1008007375</v>
          </cell>
          <cell r="E1992" t="str">
            <v>SAM KELEM</v>
          </cell>
          <cell r="F1992" t="str">
            <v>D (Ch)</v>
          </cell>
          <cell r="G1992">
            <v>17094</v>
          </cell>
          <cell r="H1992" t="str">
            <v>Choice</v>
          </cell>
          <cell r="I1992">
            <v>0.83333333333333337</v>
          </cell>
          <cell r="J1992">
            <v>0.33333333333333331</v>
          </cell>
          <cell r="K1992">
            <v>11.3333333333333</v>
          </cell>
          <cell r="L1992">
            <v>359.05</v>
          </cell>
          <cell r="O1992" t="str">
            <v>Y</v>
          </cell>
          <cell r="P1992" t="str">
            <v>N</v>
          </cell>
          <cell r="Q1992" t="str">
            <v>Extra Capacity</v>
          </cell>
          <cell r="S1992">
            <v>0.3</v>
          </cell>
        </row>
        <row r="1993">
          <cell r="D1993">
            <v>908006519</v>
          </cell>
          <cell r="E1993" t="str">
            <v>TARA MASSIE</v>
          </cell>
          <cell r="F1993" t="str">
            <v>D (MD)</v>
          </cell>
          <cell r="G1993">
            <v>339103</v>
          </cell>
          <cell r="H1993" t="str">
            <v>Mayday</v>
          </cell>
          <cell r="I1993">
            <v>0.3125</v>
          </cell>
          <cell r="J1993">
            <v>0.58333333333333337</v>
          </cell>
          <cell r="K1993">
            <v>6.1666666666666696</v>
          </cell>
          <cell r="L1993">
            <v>258.86</v>
          </cell>
          <cell r="O1993" t="str">
            <v>Y</v>
          </cell>
          <cell r="P1993" t="str">
            <v>N</v>
          </cell>
          <cell r="Q1993" t="str">
            <v>Vacancy</v>
          </cell>
          <cell r="S1993">
            <v>0.16</v>
          </cell>
        </row>
        <row r="1994">
          <cell r="D1994">
            <v>908006520</v>
          </cell>
          <cell r="E1994" t="str">
            <v>TARA MASSIE</v>
          </cell>
          <cell r="F1994" t="str">
            <v>D (MD)</v>
          </cell>
          <cell r="G1994">
            <v>339103</v>
          </cell>
          <cell r="H1994" t="str">
            <v>Mayday</v>
          </cell>
          <cell r="I1994">
            <v>0.625</v>
          </cell>
          <cell r="J1994">
            <v>0.85416666666666663</v>
          </cell>
          <cell r="K1994">
            <v>5.5</v>
          </cell>
          <cell r="L1994">
            <v>230.87</v>
          </cell>
          <cell r="O1994" t="str">
            <v>Y</v>
          </cell>
          <cell r="P1994" t="str">
            <v>N</v>
          </cell>
          <cell r="Q1994" t="str">
            <v>Vacancy</v>
          </cell>
          <cell r="S1994">
            <v>0.15</v>
          </cell>
        </row>
        <row r="1995">
          <cell r="D1995">
            <v>908006500</v>
          </cell>
          <cell r="E1995" t="str">
            <v>TEMBE NGIDI</v>
          </cell>
          <cell r="F1995" t="str">
            <v>D (MD)</v>
          </cell>
          <cell r="G1995">
            <v>339131</v>
          </cell>
          <cell r="H1995" t="str">
            <v>Mayday</v>
          </cell>
          <cell r="I1995">
            <v>0.83333333333333337</v>
          </cell>
          <cell r="J1995">
            <v>0.33333333333333331</v>
          </cell>
          <cell r="K1995">
            <v>11.3333333333333</v>
          </cell>
          <cell r="L1995">
            <v>475.74</v>
          </cell>
          <cell r="O1995" t="str">
            <v>Y</v>
          </cell>
          <cell r="P1995" t="str">
            <v>N</v>
          </cell>
          <cell r="Q1995" t="str">
            <v>Vacancy</v>
          </cell>
          <cell r="S1995">
            <v>0.3</v>
          </cell>
        </row>
        <row r="1996">
          <cell r="D1996">
            <v>1008007404</v>
          </cell>
          <cell r="E1996" t="str">
            <v>WAKAMUZI MOYO</v>
          </cell>
          <cell r="F1996" t="str">
            <v>D (Ch)</v>
          </cell>
          <cell r="G1996">
            <v>17104</v>
          </cell>
          <cell r="H1996" t="str">
            <v>Choice</v>
          </cell>
          <cell r="I1996">
            <v>0.375</v>
          </cell>
          <cell r="J1996">
            <v>0.58333333333333337</v>
          </cell>
          <cell r="K1996">
            <v>5</v>
          </cell>
          <cell r="L1996">
            <v>158.41</v>
          </cell>
          <cell r="O1996" t="str">
            <v>Y</v>
          </cell>
          <cell r="P1996" t="str">
            <v>N</v>
          </cell>
          <cell r="Q1996" t="str">
            <v>Short Term Sick</v>
          </cell>
          <cell r="S1996">
            <v>0.13</v>
          </cell>
        </row>
        <row r="1997">
          <cell r="D1997">
            <v>1008007405</v>
          </cell>
          <cell r="E1997" t="str">
            <v>WAKAMUZI MOYO</v>
          </cell>
          <cell r="F1997" t="str">
            <v>D (Ch)</v>
          </cell>
          <cell r="G1997">
            <v>17104</v>
          </cell>
          <cell r="H1997" t="str">
            <v>Choice</v>
          </cell>
          <cell r="I1997">
            <v>0.625</v>
          </cell>
          <cell r="J1997">
            <v>0.875</v>
          </cell>
          <cell r="K1997">
            <v>5.6666666666666696</v>
          </cell>
          <cell r="L1997">
            <v>179.53</v>
          </cell>
          <cell r="O1997" t="str">
            <v>Y</v>
          </cell>
          <cell r="P1997" t="str">
            <v>N</v>
          </cell>
          <cell r="Q1997" t="str">
            <v>Short Term Sick</v>
          </cell>
          <cell r="S1997">
            <v>0.15</v>
          </cell>
        </row>
        <row r="1998">
          <cell r="D1998">
            <v>1008002010</v>
          </cell>
          <cell r="E1998" t="str">
            <v>ANNA BONNERUP</v>
          </cell>
          <cell r="F1998" t="str">
            <v>D / 5 General (</v>
          </cell>
          <cell r="G1998" t="str">
            <v>604-155539</v>
          </cell>
          <cell r="H1998" t="str">
            <v>Blue Arrow</v>
          </cell>
          <cell r="I1998">
            <v>0.625</v>
          </cell>
          <cell r="J1998">
            <v>0.85416666666666663</v>
          </cell>
          <cell r="K1998">
            <v>5.5</v>
          </cell>
          <cell r="L1998">
            <v>148.54</v>
          </cell>
          <cell r="O1998" t="str">
            <v>Y</v>
          </cell>
          <cell r="P1998" t="str">
            <v>N</v>
          </cell>
          <cell r="Q1998" t="str">
            <v>Vacancy</v>
          </cell>
          <cell r="S1998">
            <v>0.15</v>
          </cell>
        </row>
        <row r="1999">
          <cell r="D1999">
            <v>1108001038</v>
          </cell>
          <cell r="E1999" t="str">
            <v>ANTHONY OGOEGBUNAN</v>
          </cell>
          <cell r="F1999" t="str">
            <v>D (MD)</v>
          </cell>
          <cell r="G1999">
            <v>339016</v>
          </cell>
          <cell r="H1999" t="str">
            <v>Mayday</v>
          </cell>
          <cell r="I1999">
            <v>0.83333333333333337</v>
          </cell>
          <cell r="J1999">
            <v>0.33333333333333331</v>
          </cell>
          <cell r="K1999">
            <v>11</v>
          </cell>
          <cell r="L1999">
            <v>568.29999999999995</v>
          </cell>
          <cell r="O1999" t="str">
            <v>Y</v>
          </cell>
          <cell r="P1999" t="str">
            <v>N</v>
          </cell>
          <cell r="Q1999" t="str">
            <v>Short Term Sick</v>
          </cell>
          <cell r="S1999">
            <v>0.28999999999999998</v>
          </cell>
        </row>
        <row r="2000">
          <cell r="D2000">
            <v>1008001366</v>
          </cell>
          <cell r="E2000" t="str">
            <v>ATINUKE OKE-OLATUNDE</v>
          </cell>
          <cell r="F2000" t="str">
            <v>D (MD)</v>
          </cell>
          <cell r="G2000">
            <v>342962</v>
          </cell>
          <cell r="H2000" t="str">
            <v>Mayday</v>
          </cell>
          <cell r="I2000">
            <v>0.83333333333333337</v>
          </cell>
          <cell r="J2000">
            <v>0.33333333333333331</v>
          </cell>
          <cell r="K2000">
            <v>11.3333333333333</v>
          </cell>
          <cell r="L2000">
            <v>585.53</v>
          </cell>
          <cell r="O2000" t="str">
            <v>Y</v>
          </cell>
          <cell r="P2000" t="str">
            <v>N</v>
          </cell>
          <cell r="Q2000" t="str">
            <v>Vacancy</v>
          </cell>
          <cell r="S2000">
            <v>0.3</v>
          </cell>
        </row>
        <row r="2001">
          <cell r="D2001">
            <v>908006495</v>
          </cell>
          <cell r="E2001" t="str">
            <v>BEAUTY NGIDI</v>
          </cell>
          <cell r="F2001" t="str">
            <v>D (MD)</v>
          </cell>
          <cell r="G2001">
            <v>339143</v>
          </cell>
          <cell r="H2001" t="str">
            <v>Mayday</v>
          </cell>
          <cell r="I2001">
            <v>0.83333333333333337</v>
          </cell>
          <cell r="J2001">
            <v>0.33333333333333331</v>
          </cell>
          <cell r="K2001">
            <v>11.3333333333333</v>
          </cell>
          <cell r="L2001">
            <v>585.53</v>
          </cell>
          <cell r="O2001" t="str">
            <v>Y</v>
          </cell>
          <cell r="P2001" t="str">
            <v>N</v>
          </cell>
          <cell r="Q2001" t="str">
            <v>Vacancy</v>
          </cell>
          <cell r="S2001">
            <v>0.3</v>
          </cell>
        </row>
        <row r="2002">
          <cell r="D2002">
            <v>1108000268</v>
          </cell>
          <cell r="E2002" t="str">
            <v>CARMEN MAURICIO</v>
          </cell>
          <cell r="F2002" t="str">
            <v>D (MD)</v>
          </cell>
          <cell r="G2002">
            <v>342015</v>
          </cell>
          <cell r="H2002" t="str">
            <v>Mayday</v>
          </cell>
          <cell r="I2002">
            <v>0.8125</v>
          </cell>
          <cell r="J2002">
            <v>0.33333333333333331</v>
          </cell>
          <cell r="K2002">
            <v>11.8333333333333</v>
          </cell>
          <cell r="L2002">
            <v>611.36</v>
          </cell>
          <cell r="O2002" t="str">
            <v>Y</v>
          </cell>
          <cell r="P2002" t="str">
            <v>N</v>
          </cell>
          <cell r="Q2002" t="str">
            <v>Short Term Sick</v>
          </cell>
          <cell r="S2002">
            <v>0.32</v>
          </cell>
        </row>
        <row r="2003">
          <cell r="D2003">
            <v>1008007381</v>
          </cell>
          <cell r="E2003" t="str">
            <v>DOROTHY MUTHWA</v>
          </cell>
          <cell r="F2003" t="str">
            <v>A (Ch)</v>
          </cell>
          <cell r="G2003">
            <v>17094</v>
          </cell>
          <cell r="H2003" t="str">
            <v>Choice</v>
          </cell>
          <cell r="I2003">
            <v>0.58333333333333337</v>
          </cell>
          <cell r="J2003">
            <v>0.85416666666666663</v>
          </cell>
          <cell r="K2003">
            <v>6.1666666666666696</v>
          </cell>
          <cell r="L2003">
            <v>113.98</v>
          </cell>
          <cell r="O2003" t="str">
            <v>Y</v>
          </cell>
          <cell r="P2003" t="str">
            <v>N</v>
          </cell>
          <cell r="Q2003" t="str">
            <v>Extra Capacity</v>
          </cell>
          <cell r="S2003">
            <v>0.16</v>
          </cell>
        </row>
        <row r="2004">
          <cell r="D2004">
            <v>1108000386</v>
          </cell>
          <cell r="E2004" t="str">
            <v>DOROTHY MUTHWA</v>
          </cell>
          <cell r="F2004" t="str">
            <v>A (Ch)</v>
          </cell>
          <cell r="G2004">
            <v>17096</v>
          </cell>
          <cell r="H2004" t="str">
            <v>Choice</v>
          </cell>
          <cell r="I2004">
            <v>0.3125</v>
          </cell>
          <cell r="J2004">
            <v>0.58333333333333337</v>
          </cell>
          <cell r="K2004">
            <v>6.1666666666666696</v>
          </cell>
          <cell r="L2004">
            <v>113.98</v>
          </cell>
          <cell r="O2004" t="str">
            <v>Y</v>
          </cell>
          <cell r="P2004" t="str">
            <v>N</v>
          </cell>
          <cell r="Q2004" t="str">
            <v>Vacancy</v>
          </cell>
          <cell r="S2004">
            <v>0.16</v>
          </cell>
        </row>
        <row r="2005">
          <cell r="D2005">
            <v>1108001036</v>
          </cell>
          <cell r="E2005" t="str">
            <v>GEORGINA MAFISA</v>
          </cell>
          <cell r="F2005" t="str">
            <v>D (MD)</v>
          </cell>
          <cell r="G2005">
            <v>339035</v>
          </cell>
          <cell r="H2005" t="str">
            <v>Mayday</v>
          </cell>
          <cell r="I2005">
            <v>0.3125</v>
          </cell>
          <cell r="J2005">
            <v>0.85416666666666663</v>
          </cell>
          <cell r="K2005">
            <v>12.3333333333333</v>
          </cell>
          <cell r="L2005">
            <v>637.19000000000005</v>
          </cell>
          <cell r="O2005" t="str">
            <v>Y</v>
          </cell>
          <cell r="P2005" t="str">
            <v>N</v>
          </cell>
          <cell r="Q2005" t="str">
            <v>Short Term Sick</v>
          </cell>
          <cell r="S2005">
            <v>0.33</v>
          </cell>
        </row>
        <row r="2006">
          <cell r="D2006">
            <v>1008003077</v>
          </cell>
          <cell r="E2006" t="str">
            <v>GLENDA RONA</v>
          </cell>
          <cell r="F2006" t="str">
            <v>D (Ch)</v>
          </cell>
          <cell r="G2006">
            <v>17091</v>
          </cell>
          <cell r="H2006" t="str">
            <v>Choice</v>
          </cell>
          <cell r="I2006">
            <v>0.84375</v>
          </cell>
          <cell r="J2006">
            <v>0.32291666666666669</v>
          </cell>
          <cell r="K2006">
            <v>11.1666666666667</v>
          </cell>
          <cell r="L2006">
            <v>435.41</v>
          </cell>
          <cell r="O2006" t="str">
            <v>Y</v>
          </cell>
          <cell r="P2006" t="str">
            <v>N</v>
          </cell>
          <cell r="Q2006" t="str">
            <v>Under Established</v>
          </cell>
          <cell r="S2006">
            <v>0.3</v>
          </cell>
        </row>
        <row r="2007">
          <cell r="D2007">
            <v>1108000343</v>
          </cell>
          <cell r="E2007" t="str">
            <v>JACKIE BOWMAN</v>
          </cell>
          <cell r="F2007" t="str">
            <v>D (MD)</v>
          </cell>
          <cell r="G2007">
            <v>339117</v>
          </cell>
          <cell r="H2007" t="str">
            <v>Mayday</v>
          </cell>
          <cell r="I2007">
            <v>0.8125</v>
          </cell>
          <cell r="J2007">
            <v>0.33333333333333331</v>
          </cell>
          <cell r="K2007">
            <v>11.8333333333333</v>
          </cell>
          <cell r="L2007">
            <v>611.36</v>
          </cell>
          <cell r="O2007" t="str">
            <v>Y</v>
          </cell>
          <cell r="P2007" t="str">
            <v>N</v>
          </cell>
          <cell r="Q2007" t="str">
            <v>Short Term Sick</v>
          </cell>
          <cell r="S2007">
            <v>0.32</v>
          </cell>
        </row>
        <row r="2008">
          <cell r="D2008">
            <v>1008005962</v>
          </cell>
          <cell r="E2008" t="str">
            <v>JASMINE ESGUERRA</v>
          </cell>
          <cell r="F2008" t="str">
            <v>D (Ch)</v>
          </cell>
          <cell r="G2008">
            <v>17107</v>
          </cell>
          <cell r="H2008" t="str">
            <v>Choice</v>
          </cell>
          <cell r="I2008">
            <v>0.3125</v>
          </cell>
          <cell r="J2008">
            <v>0.625</v>
          </cell>
          <cell r="K2008">
            <v>7.1666666666666696</v>
          </cell>
          <cell r="L2008">
            <v>279.44</v>
          </cell>
          <cell r="O2008" t="str">
            <v>Y</v>
          </cell>
          <cell r="P2008" t="str">
            <v>N</v>
          </cell>
          <cell r="Q2008" t="str">
            <v>Extra Capacity</v>
          </cell>
          <cell r="S2008">
            <v>0.19</v>
          </cell>
        </row>
        <row r="2009">
          <cell r="D2009">
            <v>1008002003</v>
          </cell>
          <cell r="E2009" t="str">
            <v>JOANNE BUSS</v>
          </cell>
          <cell r="F2009" t="str">
            <v>D (MD)</v>
          </cell>
          <cell r="G2009">
            <v>339010</v>
          </cell>
          <cell r="H2009" t="str">
            <v>Mayday</v>
          </cell>
          <cell r="I2009">
            <v>0.3125</v>
          </cell>
          <cell r="J2009">
            <v>0.54166666666666663</v>
          </cell>
          <cell r="K2009">
            <v>5.5</v>
          </cell>
          <cell r="L2009">
            <v>284.14999999999998</v>
          </cell>
          <cell r="O2009" t="str">
            <v>Y</v>
          </cell>
          <cell r="P2009" t="str">
            <v>N</v>
          </cell>
          <cell r="Q2009" t="str">
            <v>Vacancy</v>
          </cell>
          <cell r="S2009">
            <v>0.15</v>
          </cell>
        </row>
        <row r="2010">
          <cell r="D2010">
            <v>1008002007</v>
          </cell>
          <cell r="E2010" t="str">
            <v>JOANNE BUSS</v>
          </cell>
          <cell r="F2010" t="str">
            <v>D (MD)</v>
          </cell>
          <cell r="G2010">
            <v>339010</v>
          </cell>
          <cell r="H2010" t="str">
            <v>Mayday</v>
          </cell>
          <cell r="I2010">
            <v>0.625</v>
          </cell>
          <cell r="J2010">
            <v>0.85416666666666663</v>
          </cell>
          <cell r="K2010">
            <v>5.5</v>
          </cell>
          <cell r="L2010">
            <v>284.14999999999998</v>
          </cell>
          <cell r="O2010" t="str">
            <v>Y</v>
          </cell>
          <cell r="P2010" t="str">
            <v>N</v>
          </cell>
          <cell r="Q2010" t="str">
            <v>Vacancy</v>
          </cell>
          <cell r="S2010">
            <v>0.15</v>
          </cell>
        </row>
        <row r="2011">
          <cell r="D2011">
            <v>1008001390</v>
          </cell>
          <cell r="E2011" t="str">
            <v>KIRSTY LAWLER</v>
          </cell>
          <cell r="F2011" t="str">
            <v>D (MD)</v>
          </cell>
          <cell r="G2011">
            <v>339114</v>
          </cell>
          <cell r="H2011" t="str">
            <v>Mayday</v>
          </cell>
          <cell r="I2011">
            <v>0.3125</v>
          </cell>
          <cell r="J2011">
            <v>0.58333333333333337</v>
          </cell>
          <cell r="K2011">
            <v>6.1666666666666696</v>
          </cell>
          <cell r="L2011">
            <v>318.58999999999997</v>
          </cell>
          <cell r="O2011" t="str">
            <v>Y</v>
          </cell>
          <cell r="P2011" t="str">
            <v>N</v>
          </cell>
          <cell r="Q2011" t="str">
            <v>Vacancy</v>
          </cell>
          <cell r="S2011">
            <v>0.16</v>
          </cell>
        </row>
        <row r="2012">
          <cell r="D2012">
            <v>1008004800</v>
          </cell>
          <cell r="E2012" t="str">
            <v>KIRSTY LAWLER</v>
          </cell>
          <cell r="F2012" t="str">
            <v>D (MD)</v>
          </cell>
          <cell r="H2012" t="str">
            <v>Mayday</v>
          </cell>
          <cell r="I2012">
            <v>0.625</v>
          </cell>
          <cell r="J2012">
            <v>0.85416666666666663</v>
          </cell>
          <cell r="K2012">
            <v>5.5</v>
          </cell>
          <cell r="L2012">
            <v>284.14999999999998</v>
          </cell>
          <cell r="O2012" t="str">
            <v>Y</v>
          </cell>
          <cell r="P2012" t="str">
            <v>N</v>
          </cell>
          <cell r="Q2012" t="str">
            <v>Vacancy</v>
          </cell>
          <cell r="S2012">
            <v>0.15</v>
          </cell>
        </row>
        <row r="2013">
          <cell r="D2013">
            <v>1008001372</v>
          </cell>
          <cell r="E2013" t="str">
            <v>LETECIA MENIANO</v>
          </cell>
          <cell r="F2013" t="str">
            <v>D (MD)</v>
          </cell>
          <cell r="G2013">
            <v>339140</v>
          </cell>
          <cell r="H2013" t="str">
            <v>Mayday</v>
          </cell>
          <cell r="I2013">
            <v>0.83333333333333337</v>
          </cell>
          <cell r="J2013">
            <v>0.33333333333333331</v>
          </cell>
          <cell r="K2013">
            <v>11.3333333333333</v>
          </cell>
          <cell r="L2013">
            <v>585.53</v>
          </cell>
          <cell r="O2013" t="str">
            <v>Y</v>
          </cell>
          <cell r="P2013" t="str">
            <v>N</v>
          </cell>
          <cell r="Q2013" t="str">
            <v>Vacancy</v>
          </cell>
          <cell r="S2013">
            <v>0.3</v>
          </cell>
        </row>
        <row r="2014">
          <cell r="D2014">
            <v>1008007378</v>
          </cell>
          <cell r="E2014" t="str">
            <v>METTA SUNDAY</v>
          </cell>
          <cell r="F2014" t="str">
            <v>D (MD)</v>
          </cell>
          <cell r="G2014">
            <v>341544</v>
          </cell>
          <cell r="H2014" t="str">
            <v>Mayday</v>
          </cell>
          <cell r="I2014">
            <v>0.83333333333333337</v>
          </cell>
          <cell r="J2014">
            <v>0.33333333333333331</v>
          </cell>
          <cell r="K2014">
            <v>11.3333333333333</v>
          </cell>
          <cell r="L2014">
            <v>585.53</v>
          </cell>
          <cell r="O2014" t="str">
            <v>Y</v>
          </cell>
          <cell r="P2014" t="str">
            <v>N</v>
          </cell>
          <cell r="Q2014" t="str">
            <v>Extra Capacity</v>
          </cell>
          <cell r="S2014">
            <v>0.3</v>
          </cell>
        </row>
        <row r="2015">
          <cell r="D2015">
            <v>1008006024</v>
          </cell>
          <cell r="E2015" t="str">
            <v>PRUDENCE MAJOZI</v>
          </cell>
          <cell r="F2015" t="str">
            <v>D (MD)</v>
          </cell>
          <cell r="G2015">
            <v>339022</v>
          </cell>
          <cell r="H2015" t="str">
            <v>Mayday</v>
          </cell>
          <cell r="I2015">
            <v>0.5625</v>
          </cell>
          <cell r="J2015">
            <v>0.89583333333333337</v>
          </cell>
          <cell r="K2015">
            <v>7.6666666666666696</v>
          </cell>
          <cell r="L2015">
            <v>396.09</v>
          </cell>
          <cell r="O2015" t="str">
            <v>Y</v>
          </cell>
          <cell r="P2015" t="str">
            <v>N</v>
          </cell>
          <cell r="Q2015" t="str">
            <v>Short Term Sick</v>
          </cell>
          <cell r="S2015">
            <v>0.2</v>
          </cell>
        </row>
        <row r="2016">
          <cell r="D2016">
            <v>1008006254</v>
          </cell>
          <cell r="E2016" t="str">
            <v>RICCA PARADA</v>
          </cell>
          <cell r="F2016" t="str">
            <v>D (Ch)</v>
          </cell>
          <cell r="G2016">
            <v>17107</v>
          </cell>
          <cell r="H2016" t="str">
            <v>Choice</v>
          </cell>
          <cell r="I2016">
            <v>0.32291666666666669</v>
          </cell>
          <cell r="J2016">
            <v>0.58333333333333337</v>
          </cell>
          <cell r="K2016">
            <v>5.9166666666666696</v>
          </cell>
          <cell r="L2016">
            <v>230.7</v>
          </cell>
          <cell r="O2016" t="str">
            <v>Y</v>
          </cell>
          <cell r="P2016" t="str">
            <v>N</v>
          </cell>
          <cell r="Q2016" t="str">
            <v>Short Term Sick</v>
          </cell>
          <cell r="S2016">
            <v>0.16</v>
          </cell>
        </row>
        <row r="2017">
          <cell r="D2017">
            <v>1008002324</v>
          </cell>
          <cell r="E2017" t="str">
            <v>ROHEYATOU NDOW-NJIE</v>
          </cell>
          <cell r="F2017" t="str">
            <v>D (Ch)</v>
          </cell>
          <cell r="G2017">
            <v>17394</v>
          </cell>
          <cell r="H2017" t="str">
            <v>Choice</v>
          </cell>
          <cell r="I2017">
            <v>0.625</v>
          </cell>
          <cell r="J2017">
            <v>0.875</v>
          </cell>
          <cell r="K2017">
            <v>5.6666666666666696</v>
          </cell>
          <cell r="L2017">
            <v>220.95</v>
          </cell>
          <cell r="O2017" t="str">
            <v>Y</v>
          </cell>
          <cell r="P2017" t="str">
            <v>N</v>
          </cell>
          <cell r="Q2017" t="str">
            <v>Backfill</v>
          </cell>
          <cell r="S2017">
            <v>0.15</v>
          </cell>
        </row>
        <row r="2018">
          <cell r="D2018">
            <v>1108000390</v>
          </cell>
          <cell r="E2018" t="str">
            <v>ROHEYATOU NDOW-NJIE</v>
          </cell>
          <cell r="F2018" t="str">
            <v>D (Ch)</v>
          </cell>
          <cell r="G2018">
            <v>17392</v>
          </cell>
          <cell r="H2018" t="str">
            <v>Choice</v>
          </cell>
          <cell r="I2018">
            <v>0.3125</v>
          </cell>
          <cell r="J2018">
            <v>0.625</v>
          </cell>
          <cell r="K2018">
            <v>7.1666666666666696</v>
          </cell>
          <cell r="L2018">
            <v>279.44</v>
          </cell>
          <cell r="O2018" t="str">
            <v>Y</v>
          </cell>
          <cell r="P2018" t="str">
            <v>N</v>
          </cell>
          <cell r="Q2018" t="str">
            <v>Vacancy</v>
          </cell>
          <cell r="S2018">
            <v>0.19</v>
          </cell>
        </row>
        <row r="2019">
          <cell r="D2019">
            <v>1008002016</v>
          </cell>
          <cell r="E2019" t="str">
            <v>SAM KELEM</v>
          </cell>
          <cell r="F2019" t="str">
            <v>D (Ch)</v>
          </cell>
          <cell r="G2019">
            <v>17108</v>
          </cell>
          <cell r="H2019" t="str">
            <v>Choice</v>
          </cell>
          <cell r="I2019">
            <v>0.83333333333333337</v>
          </cell>
          <cell r="J2019">
            <v>0.33333333333333331</v>
          </cell>
          <cell r="K2019">
            <v>11.3333333333333</v>
          </cell>
          <cell r="L2019">
            <v>441.91</v>
          </cell>
          <cell r="O2019" t="str">
            <v>Y</v>
          </cell>
          <cell r="P2019" t="str">
            <v>N</v>
          </cell>
          <cell r="Q2019" t="str">
            <v>Vacancy</v>
          </cell>
          <cell r="S2019">
            <v>0.3</v>
          </cell>
        </row>
        <row r="2020">
          <cell r="D2020">
            <v>908006521</v>
          </cell>
          <cell r="E2020" t="str">
            <v>SAMANTHA BICK</v>
          </cell>
          <cell r="F2020" t="str">
            <v>D (MD)</v>
          </cell>
          <cell r="G2020">
            <v>339132</v>
          </cell>
          <cell r="H2020" t="str">
            <v>Mayday</v>
          </cell>
          <cell r="I2020">
            <v>0.3125</v>
          </cell>
          <cell r="J2020">
            <v>0.58333333333333337</v>
          </cell>
          <cell r="K2020">
            <v>6.1666666666666696</v>
          </cell>
          <cell r="L2020">
            <v>318.58999999999997</v>
          </cell>
          <cell r="O2020" t="str">
            <v>Y</v>
          </cell>
          <cell r="P2020" t="str">
            <v>N</v>
          </cell>
          <cell r="Q2020" t="str">
            <v>Vacancy</v>
          </cell>
          <cell r="S2020">
            <v>0.16</v>
          </cell>
        </row>
        <row r="2021">
          <cell r="D2021">
            <v>1008005966</v>
          </cell>
          <cell r="E2021" t="str">
            <v>SAMSON BARACENA</v>
          </cell>
          <cell r="F2021" t="str">
            <v>D (Ch)</v>
          </cell>
          <cell r="G2021">
            <v>17182</v>
          </cell>
          <cell r="H2021" t="str">
            <v>Choice</v>
          </cell>
          <cell r="I2021">
            <v>0.83333333333333337</v>
          </cell>
          <cell r="J2021">
            <v>0.33333333333333331</v>
          </cell>
          <cell r="K2021">
            <v>11.3333333333333</v>
          </cell>
          <cell r="L2021">
            <v>441.91</v>
          </cell>
          <cell r="O2021" t="str">
            <v>Y</v>
          </cell>
          <cell r="P2021" t="str">
            <v>N</v>
          </cell>
          <cell r="Q2021" t="str">
            <v>Extra Capacity</v>
          </cell>
          <cell r="S2021">
            <v>0.3</v>
          </cell>
        </row>
        <row r="2022">
          <cell r="D2022">
            <v>1108000267</v>
          </cell>
          <cell r="E2022" t="str">
            <v>SANDRA RADZOKOTA</v>
          </cell>
          <cell r="F2022" t="str">
            <v>D (MD)</v>
          </cell>
          <cell r="G2022">
            <v>339095</v>
          </cell>
          <cell r="H2022" t="str">
            <v>Mayday</v>
          </cell>
          <cell r="I2022">
            <v>0.8125</v>
          </cell>
          <cell r="J2022">
            <v>0.33333333333333331</v>
          </cell>
          <cell r="K2022">
            <v>11.8333333333333</v>
          </cell>
          <cell r="L2022">
            <v>611.36</v>
          </cell>
          <cell r="O2022" t="str">
            <v>Y</v>
          </cell>
          <cell r="P2022" t="str">
            <v>N</v>
          </cell>
          <cell r="Q2022" t="str">
            <v>Short Term Sick</v>
          </cell>
          <cell r="S2022">
            <v>0.32</v>
          </cell>
        </row>
        <row r="2023">
          <cell r="D2023">
            <v>908006501</v>
          </cell>
          <cell r="E2023" t="str">
            <v>TEMBE NGIDI</v>
          </cell>
          <cell r="F2023" t="str">
            <v>D (MD)</v>
          </cell>
          <cell r="G2023">
            <v>339131</v>
          </cell>
          <cell r="H2023" t="str">
            <v>Mayday</v>
          </cell>
          <cell r="I2023">
            <v>0.83333333333333337</v>
          </cell>
          <cell r="J2023">
            <v>0.33333333333333331</v>
          </cell>
          <cell r="K2023">
            <v>11.3333333333333</v>
          </cell>
          <cell r="L2023">
            <v>585.53</v>
          </cell>
          <cell r="O2023" t="str">
            <v>Y</v>
          </cell>
          <cell r="P2023" t="str">
            <v>N</v>
          </cell>
          <cell r="Q2023" t="str">
            <v>Vacancy</v>
          </cell>
          <cell r="S2023">
            <v>0.3</v>
          </cell>
        </row>
        <row r="2024">
          <cell r="D2024">
            <v>1008002325</v>
          </cell>
          <cell r="E2024" t="str">
            <v>TRUST CHIWUNDURA</v>
          </cell>
          <cell r="F2024" t="str">
            <v>A (Ch)</v>
          </cell>
          <cell r="G2024">
            <v>17104</v>
          </cell>
          <cell r="H2024" t="str">
            <v>Choice</v>
          </cell>
          <cell r="I2024">
            <v>0.875</v>
          </cell>
          <cell r="J2024">
            <v>0.32291666666666669</v>
          </cell>
          <cell r="K2024">
            <v>10</v>
          </cell>
          <cell r="L2024">
            <v>184.83</v>
          </cell>
          <cell r="O2024" t="str">
            <v>Y</v>
          </cell>
          <cell r="P2024" t="str">
            <v>N</v>
          </cell>
          <cell r="Q2024" t="str">
            <v>Vacancy</v>
          </cell>
          <cell r="S2024">
            <v>0.27</v>
          </cell>
        </row>
        <row r="2025">
          <cell r="D2025">
            <v>1008007220</v>
          </cell>
          <cell r="E2025" t="str">
            <v>WAKAMUZI MOYO</v>
          </cell>
          <cell r="F2025" t="str">
            <v>D (Ch)</v>
          </cell>
          <cell r="H2025" t="str">
            <v>Choice</v>
          </cell>
          <cell r="I2025">
            <v>0.3125</v>
          </cell>
          <cell r="J2025">
            <v>0.54166666666666663</v>
          </cell>
          <cell r="K2025">
            <v>5.5</v>
          </cell>
          <cell r="L2025">
            <v>214.46</v>
          </cell>
          <cell r="O2025" t="str">
            <v>Y</v>
          </cell>
          <cell r="P2025" t="str">
            <v>N</v>
          </cell>
          <cell r="Q2025" t="str">
            <v>Short Term Sick</v>
          </cell>
          <cell r="S2025">
            <v>0.15</v>
          </cell>
        </row>
        <row r="2026">
          <cell r="D2026">
            <v>908006747</v>
          </cell>
          <cell r="E2026" t="str">
            <v>ADEOLA SOGBESAN</v>
          </cell>
          <cell r="F2026" t="str">
            <v>D (MD)</v>
          </cell>
          <cell r="G2026">
            <v>342700</v>
          </cell>
          <cell r="H2026" t="str">
            <v>Mayday</v>
          </cell>
          <cell r="I2026">
            <v>0.3125</v>
          </cell>
          <cell r="J2026">
            <v>0.54166666666666663</v>
          </cell>
          <cell r="K2026">
            <v>5.5</v>
          </cell>
          <cell r="L2026">
            <v>177.59</v>
          </cell>
          <cell r="O2026" t="str">
            <v>Y</v>
          </cell>
          <cell r="P2026" t="str">
            <v>N</v>
          </cell>
          <cell r="Q2026" t="str">
            <v>Vacancy</v>
          </cell>
          <cell r="S2026">
            <v>0.15</v>
          </cell>
        </row>
        <row r="2027">
          <cell r="D2027">
            <v>1108001035</v>
          </cell>
          <cell r="E2027" t="str">
            <v>ANTHONY OGOEGBUNAN</v>
          </cell>
          <cell r="F2027" t="str">
            <v>D (MD)</v>
          </cell>
          <cell r="G2027">
            <v>340873</v>
          </cell>
          <cell r="H2027" t="str">
            <v>Mayday</v>
          </cell>
          <cell r="I2027">
            <v>0.83333333333333337</v>
          </cell>
          <cell r="J2027">
            <v>0.33333333333333331</v>
          </cell>
          <cell r="K2027">
            <v>11</v>
          </cell>
          <cell r="L2027">
            <v>461.75</v>
          </cell>
          <cell r="O2027" t="str">
            <v>Y</v>
          </cell>
          <cell r="P2027" t="str">
            <v>N</v>
          </cell>
          <cell r="Q2027" t="str">
            <v>Extra Capacity</v>
          </cell>
          <cell r="S2027">
            <v>0.28999999999999998</v>
          </cell>
        </row>
        <row r="2028">
          <cell r="D2028">
            <v>1108000183</v>
          </cell>
          <cell r="E2028" t="str">
            <v>ATINUKE OKE-OLATUNDE</v>
          </cell>
          <cell r="F2028" t="str">
            <v>D (MD)</v>
          </cell>
          <cell r="G2028">
            <v>342964</v>
          </cell>
          <cell r="H2028" t="str">
            <v>Mayday</v>
          </cell>
          <cell r="I2028">
            <v>0.88541666666666663</v>
          </cell>
          <cell r="J2028">
            <v>0.3125</v>
          </cell>
          <cell r="K2028">
            <v>9.25</v>
          </cell>
          <cell r="L2028">
            <v>388.29</v>
          </cell>
          <cell r="O2028" t="str">
            <v>Y</v>
          </cell>
          <cell r="P2028" t="str">
            <v>N</v>
          </cell>
          <cell r="Q2028" t="str">
            <v>Vacancy</v>
          </cell>
          <cell r="S2028">
            <v>0.25</v>
          </cell>
        </row>
        <row r="2029">
          <cell r="D2029">
            <v>1108000111</v>
          </cell>
          <cell r="E2029" t="str">
            <v>BELLA ZALOUMIS</v>
          </cell>
          <cell r="F2029" t="str">
            <v>2 General (Adva</v>
          </cell>
          <cell r="G2029">
            <v>1407090</v>
          </cell>
          <cell r="H2029" t="str">
            <v>Advantage</v>
          </cell>
          <cell r="I2029">
            <v>0.88541666666666663</v>
          </cell>
          <cell r="J2029">
            <v>0.3125</v>
          </cell>
          <cell r="K2029">
            <v>9.25</v>
          </cell>
          <cell r="L2029">
            <v>114.33</v>
          </cell>
          <cell r="O2029" t="str">
            <v>Y</v>
          </cell>
          <cell r="P2029" t="str">
            <v>N</v>
          </cell>
          <cell r="Q2029" t="str">
            <v>Specials</v>
          </cell>
          <cell r="S2029">
            <v>0.25</v>
          </cell>
        </row>
        <row r="2030">
          <cell r="D2030">
            <v>1008005005</v>
          </cell>
          <cell r="E2030" t="str">
            <v>BERNADETTE SHINYA-NDUNUWANI</v>
          </cell>
          <cell r="F2030" t="str">
            <v>D (MD)</v>
          </cell>
          <cell r="G2030">
            <v>341987</v>
          </cell>
          <cell r="H2030" t="str">
            <v>Mayday</v>
          </cell>
          <cell r="I2030">
            <v>0.625</v>
          </cell>
          <cell r="J2030">
            <v>0.85416666666666663</v>
          </cell>
          <cell r="K2030">
            <v>5.5</v>
          </cell>
          <cell r="L2030">
            <v>177.59</v>
          </cell>
          <cell r="O2030" t="str">
            <v>Y</v>
          </cell>
          <cell r="P2030" t="str">
            <v>N</v>
          </cell>
          <cell r="Q2030" t="str">
            <v>Vacancy</v>
          </cell>
          <cell r="S2030">
            <v>0.15</v>
          </cell>
        </row>
        <row r="2031">
          <cell r="D2031">
            <v>1108000180</v>
          </cell>
          <cell r="E2031" t="str">
            <v>BIDDY CHAFESUKA</v>
          </cell>
          <cell r="F2031" t="str">
            <v>D (Ch)</v>
          </cell>
          <cell r="G2031">
            <v>17182</v>
          </cell>
          <cell r="H2031" t="str">
            <v>Choice</v>
          </cell>
          <cell r="I2031">
            <v>0.83333333333333337</v>
          </cell>
          <cell r="J2031">
            <v>0.33333333333333331</v>
          </cell>
          <cell r="K2031">
            <v>11.3333333333333</v>
          </cell>
          <cell r="L2031">
            <v>359.05</v>
          </cell>
          <cell r="O2031" t="str">
            <v>Y</v>
          </cell>
          <cell r="P2031" t="str">
            <v>N</v>
          </cell>
          <cell r="Q2031" t="str">
            <v>Vacancy</v>
          </cell>
          <cell r="S2031">
            <v>0.3</v>
          </cell>
        </row>
        <row r="2032">
          <cell r="D2032">
            <v>1108000210</v>
          </cell>
          <cell r="E2032" t="str">
            <v>BONNIE TWALA</v>
          </cell>
          <cell r="F2032" t="str">
            <v>D (MD)</v>
          </cell>
          <cell r="G2032">
            <v>340883</v>
          </cell>
          <cell r="H2032" t="str">
            <v>Mayday</v>
          </cell>
          <cell r="I2032">
            <v>0.83333333333333337</v>
          </cell>
          <cell r="J2032">
            <v>0.33333333333333331</v>
          </cell>
          <cell r="K2032">
            <v>11.3333333333333</v>
          </cell>
          <cell r="L2032">
            <v>475.74</v>
          </cell>
          <cell r="O2032" t="str">
            <v>Y</v>
          </cell>
          <cell r="P2032" t="str">
            <v>N</v>
          </cell>
          <cell r="Q2032" t="str">
            <v>Vacancy</v>
          </cell>
          <cell r="S2032">
            <v>0.3</v>
          </cell>
        </row>
        <row r="2033">
          <cell r="D2033">
            <v>1008006806</v>
          </cell>
          <cell r="E2033" t="str">
            <v>BRIGHTNESS NDEBELE</v>
          </cell>
          <cell r="F2033" t="str">
            <v>D (MD)</v>
          </cell>
          <cell r="G2033">
            <v>341568</v>
          </cell>
          <cell r="H2033" t="str">
            <v>Mayday</v>
          </cell>
          <cell r="I2033">
            <v>0.5625</v>
          </cell>
          <cell r="J2033">
            <v>0.85416666666666663</v>
          </cell>
          <cell r="K2033">
            <v>6.6666666666666696</v>
          </cell>
          <cell r="L2033">
            <v>215.27</v>
          </cell>
          <cell r="O2033" t="str">
            <v>Y</v>
          </cell>
          <cell r="P2033" t="str">
            <v>N</v>
          </cell>
          <cell r="Q2033" t="str">
            <v>Short Term Sick</v>
          </cell>
          <cell r="S2033">
            <v>0.18</v>
          </cell>
        </row>
        <row r="2034">
          <cell r="D2034">
            <v>1008001025</v>
          </cell>
          <cell r="E2034" t="str">
            <v>CHRIS STULAR</v>
          </cell>
          <cell r="F2034" t="str">
            <v>D General (Orio</v>
          </cell>
          <cell r="G2034">
            <v>17917</v>
          </cell>
          <cell r="H2034" t="str">
            <v>Orion</v>
          </cell>
          <cell r="I2034">
            <v>0.33333333333333331</v>
          </cell>
          <cell r="J2034">
            <v>0.75</v>
          </cell>
          <cell r="K2034">
            <v>9.5</v>
          </cell>
          <cell r="L2034">
            <v>172.14</v>
          </cell>
          <cell r="O2034" t="str">
            <v>Y</v>
          </cell>
          <cell r="P2034" t="str">
            <v>N</v>
          </cell>
          <cell r="Q2034" t="str">
            <v>Backfill</v>
          </cell>
          <cell r="S2034">
            <v>0.25</v>
          </cell>
        </row>
        <row r="2035">
          <cell r="D2035">
            <v>1108000701</v>
          </cell>
          <cell r="E2035" t="str">
            <v>DEBBIE HARRIS</v>
          </cell>
          <cell r="F2035" t="str">
            <v>D (MD)</v>
          </cell>
          <cell r="G2035">
            <v>341549</v>
          </cell>
          <cell r="H2035" t="str">
            <v>Mayday</v>
          </cell>
          <cell r="I2035">
            <v>0.52083333333333337</v>
          </cell>
          <cell r="J2035">
            <v>0.85416666666666663</v>
          </cell>
          <cell r="K2035">
            <v>7.5</v>
          </cell>
          <cell r="L2035">
            <v>242.17</v>
          </cell>
          <cell r="O2035" t="str">
            <v>Y</v>
          </cell>
          <cell r="P2035" t="str">
            <v>N</v>
          </cell>
          <cell r="Q2035" t="str">
            <v>Extra Capacity</v>
          </cell>
          <cell r="S2035">
            <v>0.2</v>
          </cell>
        </row>
        <row r="2036">
          <cell r="D2036">
            <v>1108000181</v>
          </cell>
          <cell r="E2036" t="str">
            <v>DONALD YANZA</v>
          </cell>
          <cell r="F2036" t="str">
            <v>D (Ch)</v>
          </cell>
          <cell r="G2036">
            <v>17169</v>
          </cell>
          <cell r="H2036" t="str">
            <v>Choice</v>
          </cell>
          <cell r="I2036">
            <v>0.83333333333333337</v>
          </cell>
          <cell r="J2036">
            <v>0.33333333333333331</v>
          </cell>
          <cell r="K2036">
            <v>11.3333333333333</v>
          </cell>
          <cell r="L2036">
            <v>359.05</v>
          </cell>
          <cell r="O2036" t="str">
            <v>Y</v>
          </cell>
          <cell r="P2036" t="str">
            <v>N</v>
          </cell>
          <cell r="Q2036" t="str">
            <v>Vacancy</v>
          </cell>
          <cell r="S2036">
            <v>0.3</v>
          </cell>
        </row>
        <row r="2037">
          <cell r="D2037">
            <v>1108001176</v>
          </cell>
          <cell r="E2037" t="str">
            <v>GEORGINA MAFISA</v>
          </cell>
          <cell r="F2037" t="str">
            <v>D (MD)</v>
          </cell>
          <cell r="G2037">
            <v>341557</v>
          </cell>
          <cell r="H2037" t="str">
            <v>Mayday</v>
          </cell>
          <cell r="I2037">
            <v>0.3125</v>
          </cell>
          <cell r="J2037">
            <v>0.85416666666666663</v>
          </cell>
          <cell r="K2037">
            <v>12.3333333333333</v>
          </cell>
          <cell r="L2037">
            <v>398.24</v>
          </cell>
          <cell r="O2037" t="str">
            <v>Y</v>
          </cell>
          <cell r="P2037" t="str">
            <v>N</v>
          </cell>
          <cell r="Q2037" t="str">
            <v>Short Term Sick</v>
          </cell>
          <cell r="S2037">
            <v>0.33</v>
          </cell>
        </row>
        <row r="2038">
          <cell r="D2038">
            <v>1008007151</v>
          </cell>
          <cell r="E2038" t="str">
            <v>GLENDA RONA</v>
          </cell>
          <cell r="F2038" t="str">
            <v>D (Ch)</v>
          </cell>
          <cell r="G2038">
            <v>17182</v>
          </cell>
          <cell r="H2038" t="str">
            <v>Choice</v>
          </cell>
          <cell r="I2038">
            <v>0.83333333333333337</v>
          </cell>
          <cell r="J2038">
            <v>0.33333333333333331</v>
          </cell>
          <cell r="K2038">
            <v>11.3333333333333</v>
          </cell>
          <cell r="L2038">
            <v>359.05</v>
          </cell>
          <cell r="O2038" t="str">
            <v>Y</v>
          </cell>
          <cell r="P2038" t="str">
            <v>N</v>
          </cell>
          <cell r="Q2038" t="str">
            <v>Extra Capacity</v>
          </cell>
          <cell r="S2038">
            <v>0.3</v>
          </cell>
        </row>
        <row r="2039">
          <cell r="D2039">
            <v>1008005317</v>
          </cell>
          <cell r="E2039" t="str">
            <v>JAKE BROOKES</v>
          </cell>
          <cell r="F2039" t="str">
            <v>D General (Orio</v>
          </cell>
          <cell r="G2039">
            <v>17973</v>
          </cell>
          <cell r="H2039" t="str">
            <v>Orion</v>
          </cell>
          <cell r="I2039">
            <v>0.33333333333333331</v>
          </cell>
          <cell r="J2039">
            <v>0.75</v>
          </cell>
          <cell r="K2039">
            <v>9.6666666666666696</v>
          </cell>
          <cell r="L2039">
            <v>175.16</v>
          </cell>
          <cell r="O2039" t="str">
            <v>Y</v>
          </cell>
          <cell r="P2039" t="str">
            <v>N</v>
          </cell>
          <cell r="Q2039" t="str">
            <v>Long Term Sick</v>
          </cell>
          <cell r="S2039">
            <v>0.26</v>
          </cell>
        </row>
        <row r="2040">
          <cell r="D2040">
            <v>1108000187</v>
          </cell>
          <cell r="E2040" t="str">
            <v>JANE DUNSMURE</v>
          </cell>
          <cell r="F2040" t="str">
            <v>D/5 (PS)</v>
          </cell>
          <cell r="H2040" t="str">
            <v>Pinnacle Staffing</v>
          </cell>
          <cell r="I2040">
            <v>0.88541666666666663</v>
          </cell>
          <cell r="J2040">
            <v>0.25</v>
          </cell>
          <cell r="K2040">
            <v>7.75</v>
          </cell>
          <cell r="L2040">
            <v>171.17</v>
          </cell>
          <cell r="O2040" t="str">
            <v>Y</v>
          </cell>
          <cell r="P2040" t="str">
            <v>N</v>
          </cell>
          <cell r="Q2040" t="str">
            <v>Vacancy</v>
          </cell>
          <cell r="S2040">
            <v>0.21</v>
          </cell>
        </row>
        <row r="2041">
          <cell r="D2041">
            <v>1008007384</v>
          </cell>
          <cell r="E2041" t="str">
            <v>JEAN NGONA</v>
          </cell>
          <cell r="F2041" t="str">
            <v>D (MD)</v>
          </cell>
          <cell r="G2041">
            <v>340880</v>
          </cell>
          <cell r="H2041" t="str">
            <v>Mayday</v>
          </cell>
          <cell r="I2041">
            <v>0.3125</v>
          </cell>
          <cell r="J2041">
            <v>0.60416666666666663</v>
          </cell>
          <cell r="K2041">
            <v>6.6666666666666696</v>
          </cell>
          <cell r="L2041">
            <v>215.27</v>
          </cell>
          <cell r="O2041" t="str">
            <v>Y</v>
          </cell>
          <cell r="P2041" t="str">
            <v>N</v>
          </cell>
          <cell r="Q2041" t="str">
            <v>Extra Capacity</v>
          </cell>
          <cell r="S2041">
            <v>0.18</v>
          </cell>
        </row>
        <row r="2042">
          <cell r="D2042">
            <v>1008002026</v>
          </cell>
          <cell r="E2042" t="str">
            <v>JOANNE BUSS</v>
          </cell>
          <cell r="F2042" t="str">
            <v>D (MD)</v>
          </cell>
          <cell r="H2042" t="str">
            <v>Mayday</v>
          </cell>
          <cell r="I2042">
            <v>0.3125</v>
          </cell>
          <cell r="J2042">
            <v>0.54166666666666663</v>
          </cell>
          <cell r="K2042">
            <v>5.5</v>
          </cell>
          <cell r="L2042">
            <v>177.59</v>
          </cell>
          <cell r="O2042" t="str">
            <v>Y</v>
          </cell>
          <cell r="P2042" t="str">
            <v>N</v>
          </cell>
          <cell r="Q2042" t="str">
            <v>Vacancy</v>
          </cell>
          <cell r="S2042">
            <v>0.15</v>
          </cell>
        </row>
        <row r="2043">
          <cell r="D2043">
            <v>908006543</v>
          </cell>
          <cell r="E2043" t="str">
            <v>JOANNE DUCKER</v>
          </cell>
          <cell r="F2043" t="str">
            <v>D / 5 General (</v>
          </cell>
          <cell r="G2043" t="str">
            <v>604-155457</v>
          </cell>
          <cell r="H2043" t="str">
            <v>Medacs</v>
          </cell>
          <cell r="I2043">
            <v>0.625</v>
          </cell>
          <cell r="J2043">
            <v>0.85416666666666663</v>
          </cell>
          <cell r="K2043">
            <v>5.5</v>
          </cell>
          <cell r="L2043">
            <v>92.84</v>
          </cell>
          <cell r="O2043" t="str">
            <v>Y</v>
          </cell>
          <cell r="P2043" t="str">
            <v>N</v>
          </cell>
          <cell r="Q2043" t="str">
            <v>Vacancy</v>
          </cell>
          <cell r="S2043">
            <v>0.15</v>
          </cell>
        </row>
        <row r="2044">
          <cell r="D2044">
            <v>1108000092</v>
          </cell>
          <cell r="E2044" t="str">
            <v>KATE GUTHRIE</v>
          </cell>
          <cell r="F2044" t="str">
            <v>5 General (Adva</v>
          </cell>
          <cell r="G2044">
            <v>1407086</v>
          </cell>
          <cell r="H2044" t="str">
            <v>Advantage</v>
          </cell>
          <cell r="I2044">
            <v>0.82291666666666663</v>
          </cell>
          <cell r="J2044">
            <v>0.34375</v>
          </cell>
          <cell r="K2044">
            <v>11.5</v>
          </cell>
          <cell r="L2044">
            <v>239.8</v>
          </cell>
          <cell r="O2044" t="str">
            <v>Y</v>
          </cell>
          <cell r="P2044" t="str">
            <v>N</v>
          </cell>
          <cell r="Q2044" t="str">
            <v>Vacancy</v>
          </cell>
          <cell r="S2044">
            <v>0.31</v>
          </cell>
        </row>
        <row r="2045">
          <cell r="D2045">
            <v>1108000345</v>
          </cell>
          <cell r="E2045" t="str">
            <v>KATH BURTON</v>
          </cell>
          <cell r="F2045" t="str">
            <v>D (MD)</v>
          </cell>
          <cell r="G2045">
            <v>341996</v>
          </cell>
          <cell r="H2045" t="str">
            <v>Mayday</v>
          </cell>
          <cell r="I2045">
            <v>0.3125</v>
          </cell>
          <cell r="J2045">
            <v>0.83333333333333337</v>
          </cell>
          <cell r="K2045">
            <v>11.8333333333333</v>
          </cell>
          <cell r="L2045">
            <v>382.1</v>
          </cell>
          <cell r="O2045" t="str">
            <v>Y</v>
          </cell>
          <cell r="P2045" t="str">
            <v>N</v>
          </cell>
          <cell r="Q2045" t="str">
            <v>Short Term Sick</v>
          </cell>
          <cell r="S2045">
            <v>0.32</v>
          </cell>
        </row>
        <row r="2046">
          <cell r="D2046">
            <v>1008005371</v>
          </cell>
          <cell r="E2046" t="str">
            <v>MZUKISI SPEELMAN</v>
          </cell>
          <cell r="F2046" t="str">
            <v>A (Ch)</v>
          </cell>
          <cell r="H2046" t="str">
            <v>Choice</v>
          </cell>
          <cell r="I2046">
            <v>0.3125</v>
          </cell>
          <cell r="J2046">
            <v>0.89583333333333337</v>
          </cell>
          <cell r="K2046">
            <v>13.3333333333333</v>
          </cell>
          <cell r="L2046">
            <v>147.87</v>
          </cell>
          <cell r="O2046" t="str">
            <v>Y</v>
          </cell>
          <cell r="P2046" t="str">
            <v>N</v>
          </cell>
          <cell r="Q2046" t="str">
            <v>Vacancy</v>
          </cell>
          <cell r="S2046">
            <v>0.36</v>
          </cell>
        </row>
        <row r="2047">
          <cell r="D2047">
            <v>1108000170</v>
          </cell>
          <cell r="E2047" t="str">
            <v>NURENI AKAPO</v>
          </cell>
          <cell r="F2047" t="str">
            <v>D (Amb)</v>
          </cell>
          <cell r="G2047">
            <v>754512</v>
          </cell>
          <cell r="H2047" t="str">
            <v>Ambition</v>
          </cell>
          <cell r="I2047">
            <v>0.5625</v>
          </cell>
          <cell r="J2047">
            <v>0.85416666666666663</v>
          </cell>
          <cell r="K2047">
            <v>6.6666666666666696</v>
          </cell>
          <cell r="L2047">
            <v>260.67</v>
          </cell>
          <cell r="O2047" t="str">
            <v>Y</v>
          </cell>
          <cell r="P2047" t="str">
            <v>N</v>
          </cell>
          <cell r="Q2047" t="str">
            <v>Vacancy</v>
          </cell>
          <cell r="S2047">
            <v>0.18</v>
          </cell>
        </row>
        <row r="2048">
          <cell r="D2048">
            <v>1108000022</v>
          </cell>
          <cell r="E2048" t="str">
            <v>PAT MUGABZA</v>
          </cell>
          <cell r="F2048" t="str">
            <v>A (Ch)</v>
          </cell>
          <cell r="G2048">
            <v>17164</v>
          </cell>
          <cell r="H2048" t="str">
            <v>Choice</v>
          </cell>
          <cell r="I2048">
            <v>0.3125</v>
          </cell>
          <cell r="J2048">
            <v>0.89583333333333337</v>
          </cell>
          <cell r="K2048">
            <v>13.3333333333333</v>
          </cell>
          <cell r="L2048">
            <v>147.87</v>
          </cell>
          <cell r="O2048" t="str">
            <v>Y</v>
          </cell>
          <cell r="P2048" t="str">
            <v>N</v>
          </cell>
          <cell r="Q2048" t="str">
            <v>Short Term Sick</v>
          </cell>
          <cell r="S2048">
            <v>0.36</v>
          </cell>
        </row>
        <row r="2049">
          <cell r="D2049">
            <v>1108000271</v>
          </cell>
          <cell r="E2049" t="str">
            <v>PATRICK CUNNINGHAM</v>
          </cell>
          <cell r="F2049" t="str">
            <v>D (MD)</v>
          </cell>
          <cell r="G2049">
            <v>341573</v>
          </cell>
          <cell r="H2049" t="str">
            <v>Mayday</v>
          </cell>
          <cell r="I2049">
            <v>0.3125</v>
          </cell>
          <cell r="J2049">
            <v>0.83333333333333337</v>
          </cell>
          <cell r="K2049">
            <v>11.8333333333333</v>
          </cell>
          <cell r="L2049">
            <v>382.1</v>
          </cell>
          <cell r="O2049" t="str">
            <v>Y</v>
          </cell>
          <cell r="P2049" t="str">
            <v>N</v>
          </cell>
          <cell r="Q2049" t="str">
            <v>Short Term Sick</v>
          </cell>
          <cell r="S2049">
            <v>0.32</v>
          </cell>
        </row>
        <row r="2050">
          <cell r="D2050">
            <v>1008007149</v>
          </cell>
          <cell r="E2050" t="str">
            <v>RICCA PARADA</v>
          </cell>
          <cell r="F2050" t="str">
            <v>D (Ch)</v>
          </cell>
          <cell r="H2050" t="str">
            <v>Choice</v>
          </cell>
          <cell r="I2050">
            <v>0.3125</v>
          </cell>
          <cell r="J2050">
            <v>0.625</v>
          </cell>
          <cell r="K2050">
            <v>7.1666666666666696</v>
          </cell>
          <cell r="L2050">
            <v>174.65</v>
          </cell>
          <cell r="O2050" t="str">
            <v>Y</v>
          </cell>
          <cell r="P2050" t="str">
            <v>N</v>
          </cell>
          <cell r="Q2050" t="str">
            <v>Extra Capacity</v>
          </cell>
          <cell r="S2050">
            <v>0.19</v>
          </cell>
        </row>
        <row r="2051">
          <cell r="D2051">
            <v>1108000184</v>
          </cell>
          <cell r="E2051" t="str">
            <v>ROHEYATOU NDOW-NJIE</v>
          </cell>
          <cell r="F2051" t="str">
            <v>D (Ch)</v>
          </cell>
          <cell r="H2051" t="str">
            <v>Choice</v>
          </cell>
          <cell r="I2051">
            <v>0.83333333333333337</v>
          </cell>
          <cell r="J2051">
            <v>0.33333333333333331</v>
          </cell>
          <cell r="K2051">
            <v>11.3333333333333</v>
          </cell>
          <cell r="L2051">
            <v>359.05</v>
          </cell>
          <cell r="O2051" t="str">
            <v>Y</v>
          </cell>
          <cell r="P2051" t="str">
            <v>N</v>
          </cell>
          <cell r="Q2051" t="str">
            <v>Vacancy</v>
          </cell>
          <cell r="S2051">
            <v>0.3</v>
          </cell>
        </row>
        <row r="2052">
          <cell r="D2052">
            <v>1008007150</v>
          </cell>
          <cell r="E2052" t="str">
            <v>SAMSON BARACENA</v>
          </cell>
          <cell r="F2052" t="str">
            <v>D (Ch)</v>
          </cell>
          <cell r="H2052" t="str">
            <v>Choice</v>
          </cell>
          <cell r="I2052">
            <v>0.83333333333333337</v>
          </cell>
          <cell r="J2052">
            <v>0.33333333333333331</v>
          </cell>
          <cell r="K2052">
            <v>11.3333333333333</v>
          </cell>
          <cell r="L2052">
            <v>359.05</v>
          </cell>
          <cell r="O2052" t="str">
            <v>Y</v>
          </cell>
          <cell r="P2052" t="str">
            <v>N</v>
          </cell>
          <cell r="Q2052" t="str">
            <v>Extra Capacity</v>
          </cell>
          <cell r="S2052">
            <v>0.3</v>
          </cell>
        </row>
        <row r="2053">
          <cell r="D2053">
            <v>1108000272</v>
          </cell>
          <cell r="E2053" t="str">
            <v>SAMSON BARACENA</v>
          </cell>
          <cell r="F2053" t="str">
            <v>D (MD)</v>
          </cell>
          <cell r="G2053">
            <v>341991</v>
          </cell>
          <cell r="H2053" t="str">
            <v>Mayday</v>
          </cell>
          <cell r="I2053">
            <v>0.3125</v>
          </cell>
          <cell r="J2053">
            <v>0.83333333333333337</v>
          </cell>
          <cell r="K2053">
            <v>11.8333333333333</v>
          </cell>
          <cell r="L2053">
            <v>382.1</v>
          </cell>
          <cell r="O2053" t="str">
            <v>Y</v>
          </cell>
          <cell r="P2053" t="str">
            <v>N</v>
          </cell>
          <cell r="Q2053" t="str">
            <v>Short Term Sick</v>
          </cell>
          <cell r="S2053">
            <v>0.32</v>
          </cell>
        </row>
        <row r="2054">
          <cell r="D2054">
            <v>1108000175</v>
          </cell>
          <cell r="E2054" t="str">
            <v>TAMBU JENA</v>
          </cell>
          <cell r="F2054" t="str">
            <v>D (Ch)</v>
          </cell>
          <cell r="G2054">
            <v>17164</v>
          </cell>
          <cell r="H2054" t="str">
            <v>Choice</v>
          </cell>
          <cell r="I2054">
            <v>0.3125</v>
          </cell>
          <cell r="J2054">
            <v>0.89583333333333337</v>
          </cell>
          <cell r="K2054">
            <v>13.3333333333333</v>
          </cell>
          <cell r="L2054">
            <v>324.93</v>
          </cell>
          <cell r="O2054" t="str">
            <v>Y</v>
          </cell>
          <cell r="P2054" t="str">
            <v>N</v>
          </cell>
          <cell r="Q2054" t="str">
            <v>Vacancy</v>
          </cell>
          <cell r="S2054">
            <v>0.36</v>
          </cell>
        </row>
        <row r="2055">
          <cell r="D2055">
            <v>1108000182</v>
          </cell>
          <cell r="E2055" t="str">
            <v>TEMBE NGIDI</v>
          </cell>
          <cell r="F2055" t="str">
            <v>D (MD)</v>
          </cell>
          <cell r="G2055">
            <v>341582</v>
          </cell>
          <cell r="H2055" t="str">
            <v>Mayday</v>
          </cell>
          <cell r="I2055">
            <v>0.88541666666666663</v>
          </cell>
          <cell r="J2055">
            <v>0.3125</v>
          </cell>
          <cell r="K2055">
            <v>9.25</v>
          </cell>
          <cell r="L2055">
            <v>388.29</v>
          </cell>
          <cell r="O2055" t="str">
            <v>Y</v>
          </cell>
          <cell r="P2055" t="str">
            <v>N</v>
          </cell>
          <cell r="Q2055" t="str">
            <v>Vacancy</v>
          </cell>
          <cell r="S2055">
            <v>0.25</v>
          </cell>
        </row>
        <row r="2056">
          <cell r="D2056">
            <v>1008006010</v>
          </cell>
          <cell r="E2056" t="str">
            <v>TOM OSBOURNE</v>
          </cell>
          <cell r="F2056" t="str">
            <v>D General (Orio</v>
          </cell>
          <cell r="G2056">
            <v>17938</v>
          </cell>
          <cell r="H2056" t="str">
            <v>Orion</v>
          </cell>
          <cell r="I2056">
            <v>0.33333333333333331</v>
          </cell>
          <cell r="J2056">
            <v>0.75</v>
          </cell>
          <cell r="K2056">
            <v>9.5</v>
          </cell>
          <cell r="L2056">
            <v>172.14</v>
          </cell>
          <cell r="O2056" t="str">
            <v>Y</v>
          </cell>
          <cell r="P2056" t="str">
            <v>N</v>
          </cell>
          <cell r="Q2056" t="str">
            <v>Vacancy</v>
          </cell>
          <cell r="S2056">
            <v>0.25</v>
          </cell>
        </row>
        <row r="2057">
          <cell r="D2057">
            <v>1108001172</v>
          </cell>
          <cell r="E2057" t="str">
            <v>ANTHONY OGOEGBUNAN</v>
          </cell>
          <cell r="F2057" t="str">
            <v>D (MD)</v>
          </cell>
          <cell r="G2057">
            <v>340874</v>
          </cell>
          <cell r="H2057" t="str">
            <v>Mayday</v>
          </cell>
          <cell r="I2057">
            <v>0.83333333333333337</v>
          </cell>
          <cell r="J2057">
            <v>0.33333333333333331</v>
          </cell>
          <cell r="K2057">
            <v>11</v>
          </cell>
          <cell r="L2057">
            <v>461.75</v>
          </cell>
          <cell r="O2057" t="str">
            <v>Y</v>
          </cell>
          <cell r="P2057" t="str">
            <v>N</v>
          </cell>
          <cell r="Q2057" t="str">
            <v>Extra Capacity</v>
          </cell>
          <cell r="S2057">
            <v>0.28999999999999998</v>
          </cell>
        </row>
        <row r="2058">
          <cell r="D2058">
            <v>1108000114</v>
          </cell>
          <cell r="E2058" t="str">
            <v>BELLA ZALOUMIS</v>
          </cell>
          <cell r="F2058" t="str">
            <v>2 General (Adva</v>
          </cell>
          <cell r="G2058">
            <v>1407089</v>
          </cell>
          <cell r="H2058" t="str">
            <v>Advantage</v>
          </cell>
          <cell r="I2058">
            <v>0.88541666666666663</v>
          </cell>
          <cell r="J2058">
            <v>0.3125</v>
          </cell>
          <cell r="K2058">
            <v>9.25</v>
          </cell>
          <cell r="L2058">
            <v>114.33</v>
          </cell>
          <cell r="O2058" t="str">
            <v>Y</v>
          </cell>
          <cell r="P2058" t="str">
            <v>N</v>
          </cell>
          <cell r="Q2058" t="str">
            <v>Specials</v>
          </cell>
          <cell r="S2058">
            <v>0.25</v>
          </cell>
        </row>
        <row r="2059">
          <cell r="D2059">
            <v>1008001416</v>
          </cell>
          <cell r="E2059" t="str">
            <v>BERNADETTE SHINYA-NDUNUWANI</v>
          </cell>
          <cell r="F2059" t="str">
            <v>D (MD)</v>
          </cell>
          <cell r="G2059">
            <v>341987</v>
          </cell>
          <cell r="H2059" t="str">
            <v>Mayday</v>
          </cell>
          <cell r="I2059">
            <v>0.625</v>
          </cell>
          <cell r="J2059">
            <v>0.85416666666666663</v>
          </cell>
          <cell r="K2059">
            <v>5.5</v>
          </cell>
          <cell r="L2059">
            <v>177.59</v>
          </cell>
          <cell r="O2059" t="str">
            <v>Y</v>
          </cell>
          <cell r="P2059" t="str">
            <v>N</v>
          </cell>
          <cell r="Q2059" t="str">
            <v>Vacancy</v>
          </cell>
          <cell r="S2059">
            <v>0.15</v>
          </cell>
        </row>
        <row r="2060">
          <cell r="D2060">
            <v>1008005006</v>
          </cell>
          <cell r="E2060" t="str">
            <v>BERNADETTE SHINYA-NDUNUWANI</v>
          </cell>
          <cell r="F2060" t="str">
            <v>D (MD)</v>
          </cell>
          <cell r="G2060">
            <v>341987</v>
          </cell>
          <cell r="H2060" t="str">
            <v>Mayday</v>
          </cell>
          <cell r="I2060">
            <v>0.3125</v>
          </cell>
          <cell r="J2060">
            <v>0.54166666666666663</v>
          </cell>
          <cell r="K2060">
            <v>5.5</v>
          </cell>
          <cell r="L2060">
            <v>177.59</v>
          </cell>
          <cell r="O2060" t="str">
            <v>Y</v>
          </cell>
          <cell r="P2060" t="str">
            <v>N</v>
          </cell>
          <cell r="Q2060" t="str">
            <v>Vacancy</v>
          </cell>
          <cell r="S2060">
            <v>0.15</v>
          </cell>
        </row>
        <row r="2061">
          <cell r="D2061">
            <v>908006544</v>
          </cell>
          <cell r="E2061" t="str">
            <v>BRIGHTNESS NDEBELE</v>
          </cell>
          <cell r="F2061" t="str">
            <v>D (MD)</v>
          </cell>
          <cell r="G2061">
            <v>341566</v>
          </cell>
          <cell r="H2061" t="str">
            <v>Mayday</v>
          </cell>
          <cell r="I2061">
            <v>0.3125</v>
          </cell>
          <cell r="J2061">
            <v>0.58333333333333337</v>
          </cell>
          <cell r="K2061">
            <v>6.1666666666666696</v>
          </cell>
          <cell r="L2061">
            <v>199.12</v>
          </cell>
          <cell r="O2061" t="str">
            <v>Y</v>
          </cell>
          <cell r="P2061" t="str">
            <v>N</v>
          </cell>
          <cell r="Q2061" t="str">
            <v>Vacancy</v>
          </cell>
          <cell r="S2061">
            <v>0.16</v>
          </cell>
        </row>
        <row r="2062">
          <cell r="D2062">
            <v>908006546</v>
          </cell>
          <cell r="E2062" t="str">
            <v>BRIGHTNESS NDEBELE</v>
          </cell>
          <cell r="F2062" t="str">
            <v>D (MD)</v>
          </cell>
          <cell r="G2062">
            <v>341566</v>
          </cell>
          <cell r="H2062" t="str">
            <v>Mayday</v>
          </cell>
          <cell r="I2062">
            <v>0.625</v>
          </cell>
          <cell r="J2062">
            <v>0.85416666666666663</v>
          </cell>
          <cell r="K2062">
            <v>5.5</v>
          </cell>
          <cell r="L2062">
            <v>177.59</v>
          </cell>
          <cell r="O2062" t="str">
            <v>Y</v>
          </cell>
          <cell r="P2062" t="str">
            <v>N</v>
          </cell>
          <cell r="Q2062" t="str">
            <v>Vacancy</v>
          </cell>
          <cell r="S2062">
            <v>0.15</v>
          </cell>
        </row>
        <row r="2063">
          <cell r="D2063">
            <v>1108000302</v>
          </cell>
          <cell r="E2063" t="str">
            <v>CATH CHIDAVAYENZI</v>
          </cell>
          <cell r="F2063" t="str">
            <v>D (Ch)</v>
          </cell>
          <cell r="G2063">
            <v>17163</v>
          </cell>
          <cell r="H2063" t="str">
            <v>Choice</v>
          </cell>
          <cell r="I2063">
            <v>0.82291666666666663</v>
          </cell>
          <cell r="J2063">
            <v>0.33333333333333331</v>
          </cell>
          <cell r="K2063">
            <v>11.5833333333333</v>
          </cell>
          <cell r="L2063">
            <v>366.97</v>
          </cell>
          <cell r="O2063" t="str">
            <v>Y</v>
          </cell>
          <cell r="P2063" t="str">
            <v>N</v>
          </cell>
          <cell r="Q2063" t="str">
            <v>Extra Capacity</v>
          </cell>
          <cell r="S2063">
            <v>0.31</v>
          </cell>
        </row>
        <row r="2064">
          <cell r="D2064">
            <v>1008001031</v>
          </cell>
          <cell r="E2064" t="str">
            <v>CHRIS STULAR</v>
          </cell>
          <cell r="F2064" t="str">
            <v>D General (Orio</v>
          </cell>
          <cell r="G2064">
            <v>17917</v>
          </cell>
          <cell r="H2064" t="str">
            <v>Orion</v>
          </cell>
          <cell r="I2064">
            <v>0.33333333333333331</v>
          </cell>
          <cell r="J2064">
            <v>0.75</v>
          </cell>
          <cell r="K2064">
            <v>9.5</v>
          </cell>
          <cell r="L2064">
            <v>172.14</v>
          </cell>
          <cell r="O2064" t="str">
            <v>Y</v>
          </cell>
          <cell r="P2064" t="str">
            <v>N</v>
          </cell>
          <cell r="Q2064" t="str">
            <v>Backfill</v>
          </cell>
          <cell r="S2064">
            <v>0.25</v>
          </cell>
        </row>
        <row r="2065">
          <cell r="D2065">
            <v>1108000504</v>
          </cell>
          <cell r="E2065" t="str">
            <v>DEBBIE HARRIS</v>
          </cell>
          <cell r="F2065" t="str">
            <v>D (MD)</v>
          </cell>
          <cell r="G2065">
            <v>341547</v>
          </cell>
          <cell r="H2065" t="str">
            <v>Mayday</v>
          </cell>
          <cell r="I2065">
            <v>0.39583333333333331</v>
          </cell>
          <cell r="J2065">
            <v>0.85416666666666663</v>
          </cell>
          <cell r="K2065">
            <v>10.6666666666667</v>
          </cell>
          <cell r="L2065">
            <v>344.43</v>
          </cell>
          <cell r="O2065" t="str">
            <v>Y</v>
          </cell>
          <cell r="P2065" t="str">
            <v>N</v>
          </cell>
          <cell r="Q2065" t="str">
            <v>Short Term Sick</v>
          </cell>
          <cell r="S2065">
            <v>0.28000000000000003</v>
          </cell>
        </row>
        <row r="2066">
          <cell r="D2066">
            <v>1108000315</v>
          </cell>
          <cell r="E2066" t="str">
            <v>DONALD YANZA</v>
          </cell>
          <cell r="F2066" t="str">
            <v>D (Ch)</v>
          </cell>
          <cell r="G2066">
            <v>17170</v>
          </cell>
          <cell r="H2066" t="str">
            <v>Choice</v>
          </cell>
          <cell r="I2066">
            <v>0.83333333333333337</v>
          </cell>
          <cell r="J2066">
            <v>0.33333333333333331</v>
          </cell>
          <cell r="K2066">
            <v>11</v>
          </cell>
          <cell r="L2066">
            <v>348.49</v>
          </cell>
          <cell r="O2066" t="str">
            <v>Y</v>
          </cell>
          <cell r="P2066" t="str">
            <v>N</v>
          </cell>
          <cell r="Q2066" t="str">
            <v>Extra Capacity</v>
          </cell>
          <cell r="S2066">
            <v>0.28999999999999998</v>
          </cell>
        </row>
        <row r="2067">
          <cell r="D2067">
            <v>1008001226</v>
          </cell>
          <cell r="E2067" t="str">
            <v>EMMANUEL SALAKO</v>
          </cell>
          <cell r="F2067" t="str">
            <v>D (MD)</v>
          </cell>
          <cell r="G2067">
            <v>341596</v>
          </cell>
          <cell r="H2067" t="str">
            <v>Mayday</v>
          </cell>
          <cell r="I2067">
            <v>0.58333333333333337</v>
          </cell>
          <cell r="J2067">
            <v>0.83333333333333337</v>
          </cell>
          <cell r="K2067">
            <v>5.25</v>
          </cell>
          <cell r="L2067">
            <v>169.52</v>
          </cell>
          <cell r="O2067" t="str">
            <v>Y</v>
          </cell>
          <cell r="P2067" t="str">
            <v>N</v>
          </cell>
          <cell r="Q2067" t="str">
            <v>Vacancy</v>
          </cell>
          <cell r="S2067">
            <v>0.14000000000000001</v>
          </cell>
        </row>
        <row r="2068">
          <cell r="D2068">
            <v>1108000214</v>
          </cell>
          <cell r="E2068" t="str">
            <v>GERTHY ALBANO</v>
          </cell>
          <cell r="F2068" t="str">
            <v>D (Ch)</v>
          </cell>
          <cell r="G2068">
            <v>17238</v>
          </cell>
          <cell r="H2068" t="str">
            <v>Choice</v>
          </cell>
          <cell r="I2068">
            <v>0.83333333333333337</v>
          </cell>
          <cell r="J2068">
            <v>0.33333333333333331</v>
          </cell>
          <cell r="K2068">
            <v>11.3333333333333</v>
          </cell>
          <cell r="L2068">
            <v>359.05</v>
          </cell>
          <cell r="O2068" t="str">
            <v>Y</v>
          </cell>
          <cell r="P2068" t="str">
            <v>N</v>
          </cell>
          <cell r="Q2068" t="str">
            <v>Vacancy</v>
          </cell>
          <cell r="S2068">
            <v>0.3</v>
          </cell>
        </row>
        <row r="2069">
          <cell r="D2069">
            <v>1108000490</v>
          </cell>
          <cell r="E2069" t="str">
            <v>JANE DUNSMURE</v>
          </cell>
          <cell r="F2069" t="str">
            <v>D/5 (PS)</v>
          </cell>
          <cell r="H2069" t="str">
            <v>Pinnacle Staffing</v>
          </cell>
          <cell r="I2069">
            <v>0.83333333333333337</v>
          </cell>
          <cell r="J2069">
            <v>0.33333333333333331</v>
          </cell>
          <cell r="K2069">
            <v>11.3333333333333</v>
          </cell>
          <cell r="L2069">
            <v>250.32</v>
          </cell>
          <cell r="O2069" t="str">
            <v>Y</v>
          </cell>
          <cell r="P2069" t="str">
            <v>N</v>
          </cell>
          <cell r="Q2069" t="str">
            <v>Extra Capacity</v>
          </cell>
          <cell r="S2069">
            <v>0.3</v>
          </cell>
        </row>
        <row r="2070">
          <cell r="D2070">
            <v>1108000348</v>
          </cell>
          <cell r="E2070" t="str">
            <v>JEAN NGONA</v>
          </cell>
          <cell r="F2070" t="str">
            <v>D (MD)</v>
          </cell>
          <cell r="G2070">
            <v>340881</v>
          </cell>
          <cell r="H2070" t="str">
            <v>Mayday</v>
          </cell>
          <cell r="I2070">
            <v>0.3125</v>
          </cell>
          <cell r="J2070">
            <v>0.35416666666666669</v>
          </cell>
          <cell r="K2070">
            <v>1</v>
          </cell>
          <cell r="L2070">
            <v>32.29</v>
          </cell>
          <cell r="O2070" t="str">
            <v>Y</v>
          </cell>
          <cell r="P2070" t="str">
            <v>N</v>
          </cell>
          <cell r="Q2070" t="str">
            <v>Nurse Moved</v>
          </cell>
          <cell r="S2070">
            <v>0.03</v>
          </cell>
        </row>
        <row r="2071">
          <cell r="D2071">
            <v>1108000349</v>
          </cell>
          <cell r="E2071" t="str">
            <v>JEAN NGONA</v>
          </cell>
          <cell r="F2071" t="str">
            <v>D (MD)</v>
          </cell>
          <cell r="G2071">
            <v>340881</v>
          </cell>
          <cell r="H2071" t="str">
            <v>Mayday</v>
          </cell>
          <cell r="I2071">
            <v>0.35416666666666669</v>
          </cell>
          <cell r="J2071">
            <v>0.58333333333333337</v>
          </cell>
          <cell r="K2071">
            <v>5.5</v>
          </cell>
          <cell r="L2071">
            <v>177.59</v>
          </cell>
          <cell r="O2071" t="str">
            <v>Y</v>
          </cell>
          <cell r="P2071" t="str">
            <v>N</v>
          </cell>
          <cell r="Q2071" t="str">
            <v>Nurse Moved</v>
          </cell>
          <cell r="S2071">
            <v>0.15</v>
          </cell>
        </row>
        <row r="2072">
          <cell r="D2072">
            <v>1108000354</v>
          </cell>
          <cell r="E2072" t="str">
            <v>JEAN NGONA</v>
          </cell>
          <cell r="F2072" t="str">
            <v>D (MD)</v>
          </cell>
          <cell r="G2072">
            <v>340879</v>
          </cell>
          <cell r="H2072" t="str">
            <v>Mayday</v>
          </cell>
          <cell r="I2072">
            <v>0.58333333333333337</v>
          </cell>
          <cell r="J2072">
            <v>0.85416666666666663</v>
          </cell>
          <cell r="K2072">
            <v>6.1666666666666696</v>
          </cell>
          <cell r="L2072">
            <v>199.12</v>
          </cell>
          <cell r="O2072" t="str">
            <v>Y</v>
          </cell>
          <cell r="P2072" t="str">
            <v>N</v>
          </cell>
          <cell r="Q2072" t="str">
            <v>Nurse Moved</v>
          </cell>
          <cell r="S2072">
            <v>0.16</v>
          </cell>
        </row>
        <row r="2073">
          <cell r="D2073">
            <v>1008001223</v>
          </cell>
          <cell r="E2073" t="str">
            <v>JOANNE DUCKER</v>
          </cell>
          <cell r="F2073" t="str">
            <v>D / 5 General (</v>
          </cell>
          <cell r="G2073" t="str">
            <v>604-155564</v>
          </cell>
          <cell r="H2073" t="str">
            <v>Medacs</v>
          </cell>
          <cell r="I2073">
            <v>0.32291666666666669</v>
          </cell>
          <cell r="J2073">
            <v>0.54166666666666663</v>
          </cell>
          <cell r="K2073">
            <v>5.25</v>
          </cell>
          <cell r="L2073">
            <v>88.62</v>
          </cell>
          <cell r="O2073" t="str">
            <v>Y</v>
          </cell>
          <cell r="P2073" t="str">
            <v>N</v>
          </cell>
          <cell r="Q2073" t="str">
            <v>Vacancy</v>
          </cell>
          <cell r="S2073">
            <v>0.14000000000000001</v>
          </cell>
        </row>
        <row r="2074">
          <cell r="D2074">
            <v>1008003035</v>
          </cell>
          <cell r="E2074" t="str">
            <v>KAREN STRUDWICK</v>
          </cell>
          <cell r="F2074" t="str">
            <v>D (Ch)</v>
          </cell>
          <cell r="H2074" t="str">
            <v>Choice</v>
          </cell>
          <cell r="I2074">
            <v>0.84375</v>
          </cell>
          <cell r="J2074">
            <v>0.3125</v>
          </cell>
          <cell r="K2074">
            <v>10.25</v>
          </cell>
          <cell r="L2074">
            <v>324.73</v>
          </cell>
          <cell r="O2074" t="str">
            <v>Y</v>
          </cell>
          <cell r="P2074" t="str">
            <v>N</v>
          </cell>
          <cell r="Q2074" t="str">
            <v>Vacancy</v>
          </cell>
          <cell r="S2074">
            <v>0.27</v>
          </cell>
        </row>
        <row r="2075">
          <cell r="D2075">
            <v>1008007152</v>
          </cell>
          <cell r="E2075" t="str">
            <v>MARIA LINGAT</v>
          </cell>
          <cell r="F2075" t="str">
            <v>D (Ch)</v>
          </cell>
          <cell r="H2075" t="str">
            <v>Choice</v>
          </cell>
          <cell r="I2075">
            <v>0.3125</v>
          </cell>
          <cell r="J2075">
            <v>0.625</v>
          </cell>
          <cell r="K2075">
            <v>7.1666666666666696</v>
          </cell>
          <cell r="L2075">
            <v>174.65</v>
          </cell>
          <cell r="O2075" t="str">
            <v>Y</v>
          </cell>
          <cell r="P2075" t="str">
            <v>N</v>
          </cell>
          <cell r="Q2075" t="str">
            <v>Extra Capacity</v>
          </cell>
          <cell r="S2075">
            <v>0.19</v>
          </cell>
        </row>
        <row r="2076">
          <cell r="D2076">
            <v>1108000488</v>
          </cell>
          <cell r="E2076" t="str">
            <v>OMAR SENGHORE</v>
          </cell>
          <cell r="F2076" t="str">
            <v>D (MD)</v>
          </cell>
          <cell r="G2076">
            <v>342954</v>
          </cell>
          <cell r="H2076" t="str">
            <v>Mayday</v>
          </cell>
          <cell r="I2076">
            <v>0.83333333333333337</v>
          </cell>
          <cell r="J2076">
            <v>0.33333333333333331</v>
          </cell>
          <cell r="K2076">
            <v>11.3333333333333</v>
          </cell>
          <cell r="L2076">
            <v>475.74</v>
          </cell>
          <cell r="O2076" t="str">
            <v>Y</v>
          </cell>
          <cell r="P2076" t="str">
            <v>N</v>
          </cell>
          <cell r="Q2076" t="str">
            <v>Extra Capacity</v>
          </cell>
          <cell r="S2076">
            <v>0.3</v>
          </cell>
        </row>
        <row r="2077">
          <cell r="D2077">
            <v>1108000212</v>
          </cell>
          <cell r="E2077" t="str">
            <v>PEGGY MAPOGO</v>
          </cell>
          <cell r="F2077" t="str">
            <v>D (Ch)</v>
          </cell>
          <cell r="G2077">
            <v>17168</v>
          </cell>
          <cell r="H2077" t="str">
            <v>Choice</v>
          </cell>
          <cell r="I2077">
            <v>0.3125</v>
          </cell>
          <cell r="J2077">
            <v>0.60416666666666663</v>
          </cell>
          <cell r="K2077">
            <v>6.6666666666666696</v>
          </cell>
          <cell r="L2077">
            <v>162.47</v>
          </cell>
          <cell r="O2077" t="str">
            <v>Y</v>
          </cell>
          <cell r="P2077" t="str">
            <v>N</v>
          </cell>
          <cell r="Q2077" t="str">
            <v>Vacancy</v>
          </cell>
          <cell r="S2077">
            <v>0.18</v>
          </cell>
        </row>
        <row r="2078">
          <cell r="D2078">
            <v>1008007153</v>
          </cell>
          <cell r="E2078" t="str">
            <v>RODA RAMERIZ</v>
          </cell>
          <cell r="F2078" t="str">
            <v>D (Ch)</v>
          </cell>
          <cell r="H2078" t="str">
            <v>Choice</v>
          </cell>
          <cell r="I2078">
            <v>0.83333333333333337</v>
          </cell>
          <cell r="J2078">
            <v>0.33333333333333331</v>
          </cell>
          <cell r="K2078">
            <v>11.3333333333333</v>
          </cell>
          <cell r="L2078">
            <v>359.05</v>
          </cell>
          <cell r="O2078" t="str">
            <v>Y</v>
          </cell>
          <cell r="P2078" t="str">
            <v>N</v>
          </cell>
          <cell r="Q2078" t="str">
            <v>Extra Capacity</v>
          </cell>
          <cell r="S2078">
            <v>0.3</v>
          </cell>
        </row>
        <row r="2079">
          <cell r="D2079">
            <v>1108000213</v>
          </cell>
          <cell r="E2079" t="str">
            <v>SAM KELEM</v>
          </cell>
          <cell r="F2079" t="str">
            <v>D (Ch)</v>
          </cell>
          <cell r="H2079" t="str">
            <v>Choice</v>
          </cell>
          <cell r="I2079">
            <v>0.83333333333333337</v>
          </cell>
          <cell r="J2079">
            <v>0.33333333333333331</v>
          </cell>
          <cell r="K2079">
            <v>11.3333333333333</v>
          </cell>
          <cell r="L2079">
            <v>359.05</v>
          </cell>
          <cell r="O2079" t="str">
            <v>Y</v>
          </cell>
          <cell r="P2079" t="str">
            <v>N</v>
          </cell>
          <cell r="Q2079" t="str">
            <v>Vacancy</v>
          </cell>
          <cell r="S2079">
            <v>0.3</v>
          </cell>
        </row>
        <row r="2080">
          <cell r="D2080">
            <v>1108000489</v>
          </cell>
          <cell r="E2080" t="str">
            <v>TEMBE NGIDI</v>
          </cell>
          <cell r="F2080" t="str">
            <v>D (MD)</v>
          </cell>
          <cell r="G2080">
            <v>341584</v>
          </cell>
          <cell r="H2080" t="str">
            <v>Mayday</v>
          </cell>
          <cell r="I2080">
            <v>0.83333333333333337</v>
          </cell>
          <cell r="J2080">
            <v>0.33333333333333331</v>
          </cell>
          <cell r="K2080">
            <v>11.3333333333333</v>
          </cell>
          <cell r="L2080">
            <v>475.74</v>
          </cell>
          <cell r="O2080" t="str">
            <v>Y</v>
          </cell>
          <cell r="P2080" t="str">
            <v>N</v>
          </cell>
          <cell r="Q2080" t="str">
            <v>Extra Capacity</v>
          </cell>
          <cell r="S2080">
            <v>0.3</v>
          </cell>
        </row>
        <row r="2081">
          <cell r="D2081">
            <v>1008006011</v>
          </cell>
          <cell r="E2081" t="str">
            <v>TOM OSBOURNE</v>
          </cell>
          <cell r="F2081" t="str">
            <v>D General (Orio</v>
          </cell>
          <cell r="G2081">
            <v>17938</v>
          </cell>
          <cell r="H2081" t="str">
            <v>Orion</v>
          </cell>
          <cell r="I2081">
            <v>0.33333333333333331</v>
          </cell>
          <cell r="J2081">
            <v>0.75</v>
          </cell>
          <cell r="K2081">
            <v>9.5</v>
          </cell>
          <cell r="L2081">
            <v>172.14</v>
          </cell>
          <cell r="O2081" t="str">
            <v>Y</v>
          </cell>
          <cell r="P2081" t="str">
            <v>N</v>
          </cell>
          <cell r="Q2081" t="str">
            <v>Vacancy</v>
          </cell>
          <cell r="S2081">
            <v>0.25</v>
          </cell>
        </row>
        <row r="2082">
          <cell r="D2082">
            <v>1108000617</v>
          </cell>
          <cell r="E2082" t="str">
            <v>ATINUKE OKE-OLATUNDE</v>
          </cell>
          <cell r="F2082" t="str">
            <v>D (MD)</v>
          </cell>
          <cell r="G2082">
            <v>342703</v>
          </cell>
          <cell r="H2082" t="str">
            <v>Mayday</v>
          </cell>
          <cell r="I2082">
            <v>0.82291666666666663</v>
          </cell>
          <cell r="J2082">
            <v>0.33333333333333331</v>
          </cell>
          <cell r="K2082">
            <v>11.5833333333333</v>
          </cell>
          <cell r="L2082">
            <v>486.23</v>
          </cell>
          <cell r="O2082" t="str">
            <v>Y</v>
          </cell>
          <cell r="P2082" t="str">
            <v>N</v>
          </cell>
          <cell r="Q2082" t="str">
            <v>Extra Capacity</v>
          </cell>
          <cell r="S2082">
            <v>0.31</v>
          </cell>
        </row>
        <row r="2083">
          <cell r="D2083">
            <v>908006549</v>
          </cell>
          <cell r="E2083" t="str">
            <v>BERNADETTE SHINYA-NDUNUWANI</v>
          </cell>
          <cell r="F2083" t="str">
            <v>D (MD)</v>
          </cell>
          <cell r="G2083">
            <v>341989</v>
          </cell>
          <cell r="H2083" t="str">
            <v>Mayday</v>
          </cell>
          <cell r="I2083">
            <v>0.625</v>
          </cell>
          <cell r="J2083">
            <v>0.85416666666666663</v>
          </cell>
          <cell r="K2083">
            <v>5.5</v>
          </cell>
          <cell r="L2083">
            <v>177.59</v>
          </cell>
          <cell r="O2083" t="str">
            <v>Y</v>
          </cell>
          <cell r="P2083" t="str">
            <v>N</v>
          </cell>
          <cell r="Q2083" t="str">
            <v>Vacancy</v>
          </cell>
          <cell r="S2083">
            <v>0.15</v>
          </cell>
        </row>
        <row r="2084">
          <cell r="D2084">
            <v>1008005007</v>
          </cell>
          <cell r="E2084" t="str">
            <v>BRIGHTNESS NDEBELE</v>
          </cell>
          <cell r="F2084" t="str">
            <v>D (MD)</v>
          </cell>
          <cell r="G2084">
            <v>341565</v>
          </cell>
          <cell r="H2084" t="str">
            <v>Mayday</v>
          </cell>
          <cell r="I2084">
            <v>0.3125</v>
          </cell>
          <cell r="J2084">
            <v>0.54166666666666663</v>
          </cell>
          <cell r="K2084">
            <v>5.5</v>
          </cell>
          <cell r="L2084">
            <v>177.59</v>
          </cell>
          <cell r="O2084" t="str">
            <v>Y</v>
          </cell>
          <cell r="P2084" t="str">
            <v>N</v>
          </cell>
          <cell r="Q2084" t="str">
            <v>Vacancy</v>
          </cell>
          <cell r="S2084">
            <v>0.15</v>
          </cell>
        </row>
        <row r="2085">
          <cell r="D2085">
            <v>1008001032</v>
          </cell>
          <cell r="E2085" t="str">
            <v>CHRIS STULAR</v>
          </cell>
          <cell r="F2085" t="str">
            <v>D General (Orio</v>
          </cell>
          <cell r="G2085">
            <v>17917</v>
          </cell>
          <cell r="H2085" t="str">
            <v>Orion</v>
          </cell>
          <cell r="I2085">
            <v>0.33333333333333331</v>
          </cell>
          <cell r="J2085">
            <v>0.75</v>
          </cell>
          <cell r="K2085">
            <v>9.5</v>
          </cell>
          <cell r="L2085">
            <v>172.14</v>
          </cell>
          <cell r="O2085" t="str">
            <v>Y</v>
          </cell>
          <cell r="P2085" t="str">
            <v>N</v>
          </cell>
          <cell r="Q2085" t="str">
            <v>Backfill</v>
          </cell>
          <cell r="S2085">
            <v>0.25</v>
          </cell>
        </row>
        <row r="2086">
          <cell r="D2086">
            <v>1108000303</v>
          </cell>
          <cell r="E2086" t="str">
            <v>DIGRACIA  NAPE</v>
          </cell>
          <cell r="F2086" t="str">
            <v>D (MD)</v>
          </cell>
          <cell r="G2086">
            <v>340885</v>
          </cell>
          <cell r="H2086" t="str">
            <v>Mayday</v>
          </cell>
          <cell r="I2086">
            <v>0.375</v>
          </cell>
          <cell r="J2086">
            <v>0.58333333333333337</v>
          </cell>
          <cell r="K2086">
            <v>5</v>
          </cell>
          <cell r="L2086">
            <v>161.44999999999999</v>
          </cell>
          <cell r="O2086" t="str">
            <v>Y</v>
          </cell>
          <cell r="P2086" t="str">
            <v>N</v>
          </cell>
          <cell r="Q2086" t="str">
            <v>Short Term Sick</v>
          </cell>
          <cell r="S2086">
            <v>0.13</v>
          </cell>
        </row>
        <row r="2087">
          <cell r="D2087">
            <v>1108000446</v>
          </cell>
          <cell r="E2087" t="str">
            <v>GERTHY ALBANO</v>
          </cell>
          <cell r="F2087" t="str">
            <v>D (Ch)</v>
          </cell>
          <cell r="G2087">
            <v>17238</v>
          </cell>
          <cell r="H2087" t="str">
            <v>Choice</v>
          </cell>
          <cell r="I2087">
            <v>0.83333333333333337</v>
          </cell>
          <cell r="J2087">
            <v>0.33333333333333331</v>
          </cell>
          <cell r="K2087">
            <v>11.3333333333333</v>
          </cell>
          <cell r="L2087">
            <v>359.05</v>
          </cell>
          <cell r="O2087" t="str">
            <v>Y</v>
          </cell>
          <cell r="P2087" t="str">
            <v>N</v>
          </cell>
          <cell r="Q2087" t="str">
            <v>Extra Capacity</v>
          </cell>
          <cell r="S2087">
            <v>0.3</v>
          </cell>
        </row>
        <row r="2088">
          <cell r="D2088">
            <v>1008005395</v>
          </cell>
          <cell r="E2088" t="str">
            <v>JAKE BROOKES</v>
          </cell>
          <cell r="F2088" t="str">
            <v>D General (Orio</v>
          </cell>
          <cell r="G2088">
            <v>17973</v>
          </cell>
          <cell r="H2088" t="str">
            <v>Orion</v>
          </cell>
          <cell r="I2088">
            <v>0.33333333333333331</v>
          </cell>
          <cell r="J2088">
            <v>0.75</v>
          </cell>
          <cell r="K2088">
            <v>9.6666666666666696</v>
          </cell>
          <cell r="L2088">
            <v>175.16</v>
          </cell>
          <cell r="O2088" t="str">
            <v>Y</v>
          </cell>
          <cell r="P2088" t="str">
            <v>N</v>
          </cell>
          <cell r="Q2088" t="str">
            <v>Long Term Sick</v>
          </cell>
          <cell r="S2088">
            <v>0.26</v>
          </cell>
        </row>
        <row r="2089">
          <cell r="D2089">
            <v>1108001025</v>
          </cell>
          <cell r="E2089" t="str">
            <v>JAMES MCCLEMENTS</v>
          </cell>
          <cell r="F2089" t="str">
            <v>D (MD)</v>
          </cell>
          <cell r="G2089">
            <v>340876</v>
          </cell>
          <cell r="H2089" t="str">
            <v>Mayday</v>
          </cell>
          <cell r="I2089">
            <v>0.3125</v>
          </cell>
          <cell r="J2089">
            <v>0.85416666666666663</v>
          </cell>
          <cell r="K2089">
            <v>12.3333333333333</v>
          </cell>
          <cell r="L2089">
            <v>398.24</v>
          </cell>
          <cell r="O2089" t="str">
            <v>Y</v>
          </cell>
          <cell r="P2089" t="str">
            <v>N</v>
          </cell>
          <cell r="Q2089" t="str">
            <v>Long Term Sick</v>
          </cell>
          <cell r="S2089">
            <v>0.33</v>
          </cell>
        </row>
        <row r="2090">
          <cell r="D2090">
            <v>1108000109</v>
          </cell>
          <cell r="E2090" t="str">
            <v>JANE DUNSMURE</v>
          </cell>
          <cell r="F2090" t="str">
            <v>D/5 (PS)</v>
          </cell>
          <cell r="H2090" t="str">
            <v>Pinnacle Staffing</v>
          </cell>
          <cell r="I2090">
            <v>0.88541666666666663</v>
          </cell>
          <cell r="J2090">
            <v>0.3125</v>
          </cell>
          <cell r="K2090">
            <v>9.25</v>
          </cell>
          <cell r="L2090">
            <v>204.3</v>
          </cell>
          <cell r="O2090" t="str">
            <v>Y</v>
          </cell>
          <cell r="P2090" t="str">
            <v>N</v>
          </cell>
          <cell r="Q2090" t="str">
            <v>Short Term Sick</v>
          </cell>
          <cell r="S2090">
            <v>0.25</v>
          </cell>
        </row>
        <row r="2091">
          <cell r="D2091">
            <v>1108000773</v>
          </cell>
          <cell r="E2091" t="str">
            <v>JASMINE ESGUERRA</v>
          </cell>
          <cell r="F2091" t="str">
            <v>D (Ch)</v>
          </cell>
          <cell r="G2091">
            <v>17174</v>
          </cell>
          <cell r="H2091" t="str">
            <v>Choice</v>
          </cell>
          <cell r="I2091">
            <v>0.8125</v>
          </cell>
          <cell r="J2091">
            <v>0.33333333333333331</v>
          </cell>
          <cell r="K2091">
            <v>11.8333333333333</v>
          </cell>
          <cell r="L2091">
            <v>374.89</v>
          </cell>
          <cell r="O2091" t="str">
            <v>Y</v>
          </cell>
          <cell r="P2091" t="str">
            <v>N</v>
          </cell>
          <cell r="Q2091" t="str">
            <v>Vacancy</v>
          </cell>
          <cell r="S2091">
            <v>0.32</v>
          </cell>
        </row>
        <row r="2092">
          <cell r="D2092">
            <v>1008002044</v>
          </cell>
          <cell r="E2092" t="str">
            <v>JOANNE BUSS</v>
          </cell>
          <cell r="F2092" t="str">
            <v>D (MD)</v>
          </cell>
          <cell r="H2092" t="str">
            <v>Mayday</v>
          </cell>
          <cell r="I2092">
            <v>0.3125</v>
          </cell>
          <cell r="J2092">
            <v>0.54166666666666663</v>
          </cell>
          <cell r="K2092">
            <v>5.5</v>
          </cell>
          <cell r="L2092">
            <v>177.59</v>
          </cell>
          <cell r="O2092" t="str">
            <v>Y</v>
          </cell>
          <cell r="P2092" t="str">
            <v>N</v>
          </cell>
          <cell r="Q2092" t="str">
            <v>Vacancy</v>
          </cell>
          <cell r="S2092">
            <v>0.15</v>
          </cell>
        </row>
        <row r="2093">
          <cell r="D2093">
            <v>1108000700</v>
          </cell>
          <cell r="E2093" t="str">
            <v>JOY MABITLE</v>
          </cell>
          <cell r="F2093" t="str">
            <v>D (MD)</v>
          </cell>
          <cell r="G2093">
            <v>359102</v>
          </cell>
          <cell r="H2093" t="str">
            <v>Mayday</v>
          </cell>
          <cell r="I2093">
            <v>0.88541666666666663</v>
          </cell>
          <cell r="J2093">
            <v>0.3125</v>
          </cell>
          <cell r="K2093">
            <v>9.9166666666666696</v>
          </cell>
          <cell r="L2093">
            <v>416.27</v>
          </cell>
          <cell r="O2093" t="str">
            <v>Y</v>
          </cell>
          <cell r="P2093" t="str">
            <v>N</v>
          </cell>
          <cell r="Q2093" t="str">
            <v>Short Term Sick</v>
          </cell>
          <cell r="S2093">
            <v>0.26</v>
          </cell>
        </row>
        <row r="2094">
          <cell r="D2094">
            <v>1108000660</v>
          </cell>
          <cell r="E2094" t="str">
            <v>LETECIA MENIANO</v>
          </cell>
          <cell r="F2094" t="str">
            <v>D (MD)</v>
          </cell>
          <cell r="G2094">
            <v>341561</v>
          </cell>
          <cell r="H2094" t="str">
            <v>Mayday</v>
          </cell>
          <cell r="I2094">
            <v>0.8125</v>
          </cell>
          <cell r="J2094">
            <v>0.3125</v>
          </cell>
          <cell r="K2094">
            <v>11.3333333333333</v>
          </cell>
          <cell r="L2094">
            <v>475.74</v>
          </cell>
          <cell r="O2094" t="str">
            <v>Y</v>
          </cell>
          <cell r="P2094" t="str">
            <v>N</v>
          </cell>
          <cell r="Q2094" t="str">
            <v>Extra Capacity</v>
          </cell>
          <cell r="S2094">
            <v>0.3</v>
          </cell>
        </row>
        <row r="2095">
          <cell r="D2095">
            <v>1108000584</v>
          </cell>
          <cell r="E2095" t="str">
            <v>LIZ BAGGIO</v>
          </cell>
          <cell r="F2095" t="str">
            <v>A/2 (PS)</v>
          </cell>
          <cell r="H2095" t="str">
            <v>Pinnacle Staffing</v>
          </cell>
          <cell r="I2095">
            <v>0.82291666666666663</v>
          </cell>
          <cell r="J2095">
            <v>0.34375</v>
          </cell>
          <cell r="K2095">
            <v>10.5</v>
          </cell>
          <cell r="L2095">
            <v>131.32</v>
          </cell>
          <cell r="O2095" t="str">
            <v>Y</v>
          </cell>
          <cell r="P2095" t="str">
            <v>N</v>
          </cell>
          <cell r="Q2095" t="str">
            <v>Short Term Sick</v>
          </cell>
          <cell r="S2095">
            <v>0.28000000000000003</v>
          </cell>
        </row>
        <row r="2096">
          <cell r="D2096">
            <v>1108000447</v>
          </cell>
          <cell r="E2096" t="str">
            <v>MABEL MNISI</v>
          </cell>
          <cell r="F2096" t="str">
            <v>D (MD)</v>
          </cell>
          <cell r="G2096">
            <v>340894</v>
          </cell>
          <cell r="H2096" t="str">
            <v>Mayday</v>
          </cell>
          <cell r="I2096">
            <v>0.83333333333333337</v>
          </cell>
          <cell r="J2096">
            <v>0.33333333333333331</v>
          </cell>
          <cell r="K2096">
            <v>11.3333333333333</v>
          </cell>
          <cell r="L2096">
            <v>475.74</v>
          </cell>
          <cell r="O2096" t="str">
            <v>Y</v>
          </cell>
          <cell r="P2096" t="str">
            <v>N</v>
          </cell>
          <cell r="Q2096" t="str">
            <v>Extra Capacity</v>
          </cell>
          <cell r="S2096">
            <v>0.3</v>
          </cell>
        </row>
        <row r="2097">
          <cell r="D2097">
            <v>1008007155</v>
          </cell>
          <cell r="E2097" t="str">
            <v>MAGDALINE NGOMANE</v>
          </cell>
          <cell r="F2097" t="str">
            <v>D (Ch)</v>
          </cell>
          <cell r="G2097">
            <v>17182</v>
          </cell>
          <cell r="H2097" t="str">
            <v>Choice</v>
          </cell>
          <cell r="I2097">
            <v>0.83333333333333337</v>
          </cell>
          <cell r="J2097">
            <v>0.33333333333333331</v>
          </cell>
          <cell r="K2097">
            <v>11.3333333333333</v>
          </cell>
          <cell r="L2097">
            <v>359.05</v>
          </cell>
          <cell r="O2097" t="str">
            <v>Y</v>
          </cell>
          <cell r="P2097" t="str">
            <v>N</v>
          </cell>
          <cell r="Q2097" t="str">
            <v>Extra Capacity</v>
          </cell>
          <cell r="S2097">
            <v>0.3</v>
          </cell>
        </row>
        <row r="2098">
          <cell r="D2098">
            <v>1108000618</v>
          </cell>
          <cell r="E2098" t="str">
            <v>MARIA LINGAT</v>
          </cell>
          <cell r="F2098" t="str">
            <v>D (Ch)</v>
          </cell>
          <cell r="H2098" t="str">
            <v>Choice</v>
          </cell>
          <cell r="I2098">
            <v>0.82291666666666663</v>
          </cell>
          <cell r="J2098">
            <v>0.33333333333333331</v>
          </cell>
          <cell r="K2098">
            <v>11.5833333333333</v>
          </cell>
          <cell r="L2098">
            <v>366.97</v>
          </cell>
          <cell r="O2098" t="str">
            <v>Y</v>
          </cell>
          <cell r="P2098" t="str">
            <v>N</v>
          </cell>
          <cell r="Q2098" t="str">
            <v>Extra Capacity</v>
          </cell>
          <cell r="S2098">
            <v>0.31</v>
          </cell>
        </row>
        <row r="2099">
          <cell r="D2099">
            <v>1108000595</v>
          </cell>
          <cell r="E2099" t="str">
            <v>MERCY AFELE</v>
          </cell>
          <cell r="F2099" t="str">
            <v>D (MD)</v>
          </cell>
          <cell r="G2099">
            <v>341580</v>
          </cell>
          <cell r="H2099" t="str">
            <v>Mayday</v>
          </cell>
          <cell r="I2099">
            <v>0.5625</v>
          </cell>
          <cell r="J2099">
            <v>0.85416666666666663</v>
          </cell>
          <cell r="K2099">
            <v>6.6666666666666696</v>
          </cell>
          <cell r="L2099">
            <v>215.27</v>
          </cell>
          <cell r="O2099" t="str">
            <v>Y</v>
          </cell>
          <cell r="P2099" t="str">
            <v>N</v>
          </cell>
          <cell r="Q2099" t="str">
            <v>Short Term Sick</v>
          </cell>
          <cell r="S2099">
            <v>0.18</v>
          </cell>
        </row>
        <row r="2100">
          <cell r="D2100">
            <v>1108000598</v>
          </cell>
          <cell r="E2100" t="str">
            <v>MIHAELA CHIRIBAU</v>
          </cell>
          <cell r="F2100" t="str">
            <v>D (MD)</v>
          </cell>
          <cell r="G2100">
            <v>342097</v>
          </cell>
          <cell r="H2100" t="str">
            <v>Mayday</v>
          </cell>
          <cell r="I2100">
            <v>0.57291666666666663</v>
          </cell>
          <cell r="J2100">
            <v>0.875</v>
          </cell>
          <cell r="K2100">
            <v>6.9166666666666696</v>
          </cell>
          <cell r="L2100">
            <v>223.34</v>
          </cell>
          <cell r="O2100" t="str">
            <v>Y</v>
          </cell>
          <cell r="P2100" t="str">
            <v>N</v>
          </cell>
          <cell r="Q2100" t="str">
            <v>Vacancy</v>
          </cell>
          <cell r="S2100">
            <v>0.18</v>
          </cell>
        </row>
        <row r="2101">
          <cell r="D2101">
            <v>1008006281</v>
          </cell>
          <cell r="E2101" t="str">
            <v>NEIL WYLD</v>
          </cell>
          <cell r="F2101" t="str">
            <v>D (Amb)</v>
          </cell>
          <cell r="G2101">
            <v>754515</v>
          </cell>
          <cell r="H2101" t="str">
            <v>Ambition</v>
          </cell>
          <cell r="I2101">
            <v>0.625</v>
          </cell>
          <cell r="J2101">
            <v>0.875</v>
          </cell>
          <cell r="K2101">
            <v>5.75</v>
          </cell>
          <cell r="L2101">
            <v>224.83</v>
          </cell>
          <cell r="O2101" t="str">
            <v>Y</v>
          </cell>
          <cell r="P2101" t="str">
            <v>N</v>
          </cell>
          <cell r="Q2101" t="str">
            <v>Paternity Leave</v>
          </cell>
          <cell r="S2101">
            <v>0.15</v>
          </cell>
        </row>
        <row r="2102">
          <cell r="D2102">
            <v>1008002046</v>
          </cell>
          <cell r="E2102" t="str">
            <v>NOLIZWI MGANDELA</v>
          </cell>
          <cell r="F2102" t="str">
            <v>D (MD)</v>
          </cell>
          <cell r="G2102">
            <v>340895</v>
          </cell>
          <cell r="H2102" t="str">
            <v>Mayday</v>
          </cell>
          <cell r="I2102">
            <v>0.83333333333333337</v>
          </cell>
          <cell r="J2102">
            <v>0.33333333333333331</v>
          </cell>
          <cell r="K2102">
            <v>11.3333333333333</v>
          </cell>
          <cell r="L2102">
            <v>475.74</v>
          </cell>
          <cell r="O2102" t="str">
            <v>Y</v>
          </cell>
          <cell r="P2102" t="str">
            <v>N</v>
          </cell>
          <cell r="Q2102" t="str">
            <v>Vacancy</v>
          </cell>
          <cell r="S2102">
            <v>0.3</v>
          </cell>
        </row>
        <row r="2103">
          <cell r="D2103">
            <v>908006547</v>
          </cell>
          <cell r="E2103" t="str">
            <v>PAT DUBE</v>
          </cell>
          <cell r="F2103" t="str">
            <v>D (MD)</v>
          </cell>
          <cell r="G2103">
            <v>342012</v>
          </cell>
          <cell r="H2103" t="str">
            <v>Mayday</v>
          </cell>
          <cell r="I2103">
            <v>0.3125</v>
          </cell>
          <cell r="J2103">
            <v>0.58333333333333337</v>
          </cell>
          <cell r="K2103">
            <v>6.1666666666666696</v>
          </cell>
          <cell r="L2103">
            <v>199.12</v>
          </cell>
          <cell r="O2103" t="str">
            <v>Y</v>
          </cell>
          <cell r="P2103" t="str">
            <v>N</v>
          </cell>
          <cell r="Q2103" t="str">
            <v>Vacancy</v>
          </cell>
          <cell r="S2103">
            <v>0.16</v>
          </cell>
        </row>
        <row r="2104">
          <cell r="D2104">
            <v>1108000116</v>
          </cell>
          <cell r="E2104" t="str">
            <v>PAT MUGABZA</v>
          </cell>
          <cell r="F2104" t="str">
            <v>A (Ch)</v>
          </cell>
          <cell r="H2104" t="str">
            <v>Choice</v>
          </cell>
          <cell r="I2104">
            <v>0.29166666666666669</v>
          </cell>
          <cell r="J2104">
            <v>0.625</v>
          </cell>
          <cell r="K2104">
            <v>7.6666666666666696</v>
          </cell>
          <cell r="L2104">
            <v>85.02</v>
          </cell>
          <cell r="O2104" t="str">
            <v>Y</v>
          </cell>
          <cell r="P2104" t="str">
            <v>N</v>
          </cell>
          <cell r="Q2104" t="str">
            <v>Specials</v>
          </cell>
          <cell r="S2104">
            <v>0.2</v>
          </cell>
        </row>
        <row r="2105">
          <cell r="D2105">
            <v>1108000117</v>
          </cell>
          <cell r="E2105" t="str">
            <v>PAT MUGABZA</v>
          </cell>
          <cell r="F2105" t="str">
            <v>A (Ch)</v>
          </cell>
          <cell r="H2105" t="str">
            <v>Choice</v>
          </cell>
          <cell r="I2105">
            <v>0.625</v>
          </cell>
          <cell r="J2105">
            <v>0.88541666666666663</v>
          </cell>
          <cell r="K2105">
            <v>5.9166666666666696</v>
          </cell>
          <cell r="L2105">
            <v>65.62</v>
          </cell>
          <cell r="O2105" t="str">
            <v>Y</v>
          </cell>
          <cell r="P2105" t="str">
            <v>N</v>
          </cell>
          <cell r="Q2105" t="str">
            <v>Specials</v>
          </cell>
          <cell r="S2105">
            <v>0.16</v>
          </cell>
        </row>
        <row r="2106">
          <cell r="D2106">
            <v>908006757</v>
          </cell>
          <cell r="E2106" t="str">
            <v>PEGGY MAPOGO</v>
          </cell>
          <cell r="F2106" t="str">
            <v>D (Ch)</v>
          </cell>
          <cell r="H2106" t="str">
            <v>Choice</v>
          </cell>
          <cell r="I2106">
            <v>0.625</v>
          </cell>
          <cell r="J2106">
            <v>0.85416666666666663</v>
          </cell>
          <cell r="K2106">
            <v>5.5</v>
          </cell>
          <cell r="L2106">
            <v>134.03</v>
          </cell>
          <cell r="O2106" t="str">
            <v>Y</v>
          </cell>
          <cell r="P2106" t="str">
            <v>N</v>
          </cell>
          <cell r="Q2106" t="str">
            <v>Extra Capacity</v>
          </cell>
          <cell r="S2106">
            <v>0.15</v>
          </cell>
        </row>
        <row r="2107">
          <cell r="D2107">
            <v>1108000216</v>
          </cell>
          <cell r="E2107" t="str">
            <v>PEGGY MAPOGO</v>
          </cell>
          <cell r="F2107" t="str">
            <v>D (Ch)</v>
          </cell>
          <cell r="G2107">
            <v>17168</v>
          </cell>
          <cell r="H2107" t="str">
            <v>Choice</v>
          </cell>
          <cell r="I2107">
            <v>0.3125</v>
          </cell>
          <cell r="J2107">
            <v>0.60416666666666663</v>
          </cell>
          <cell r="K2107">
            <v>6.6666666666666696</v>
          </cell>
          <cell r="L2107">
            <v>162.47</v>
          </cell>
          <cell r="O2107" t="str">
            <v>Y</v>
          </cell>
          <cell r="P2107" t="str">
            <v>N</v>
          </cell>
          <cell r="Q2107" t="str">
            <v>Vacancy</v>
          </cell>
          <cell r="S2107">
            <v>0.18</v>
          </cell>
        </row>
        <row r="2108">
          <cell r="D2108">
            <v>1108000600</v>
          </cell>
          <cell r="E2108" t="str">
            <v>PRICILLA SONO</v>
          </cell>
          <cell r="F2108" t="str">
            <v>D (MD)</v>
          </cell>
          <cell r="G2108">
            <v>341614</v>
          </cell>
          <cell r="H2108" t="str">
            <v>Mayday</v>
          </cell>
          <cell r="I2108">
            <v>0.625</v>
          </cell>
          <cell r="J2108">
            <v>0.89583333333333337</v>
          </cell>
          <cell r="K2108">
            <v>6.1666666666666696</v>
          </cell>
          <cell r="L2108">
            <v>199.12</v>
          </cell>
          <cell r="O2108" t="str">
            <v>Y</v>
          </cell>
          <cell r="P2108" t="str">
            <v>N</v>
          </cell>
          <cell r="Q2108" t="str">
            <v>Vacancy</v>
          </cell>
          <cell r="S2108">
            <v>0.16</v>
          </cell>
        </row>
        <row r="2109">
          <cell r="D2109">
            <v>1108000118</v>
          </cell>
          <cell r="E2109" t="str">
            <v>RICHARD PUTLAND</v>
          </cell>
          <cell r="F2109" t="str">
            <v>A /2 General (B</v>
          </cell>
          <cell r="G2109" t="str">
            <v>604-155624</v>
          </cell>
          <cell r="H2109" t="str">
            <v>Blue Arrow</v>
          </cell>
          <cell r="I2109">
            <v>0.88541666666666663</v>
          </cell>
          <cell r="J2109">
            <v>0.3125</v>
          </cell>
          <cell r="K2109">
            <v>9.25</v>
          </cell>
          <cell r="L2109">
            <v>120.25</v>
          </cell>
          <cell r="O2109" t="str">
            <v>Y</v>
          </cell>
          <cell r="P2109" t="str">
            <v>N</v>
          </cell>
          <cell r="Q2109" t="str">
            <v>Specials</v>
          </cell>
          <cell r="S2109">
            <v>0.25</v>
          </cell>
        </row>
        <row r="2110">
          <cell r="D2110">
            <v>1008006322</v>
          </cell>
          <cell r="E2110" t="str">
            <v>SAM KELEM</v>
          </cell>
          <cell r="F2110" t="str">
            <v>D (Ch)</v>
          </cell>
          <cell r="G2110">
            <v>17164</v>
          </cell>
          <cell r="H2110" t="str">
            <v>Choice</v>
          </cell>
          <cell r="I2110">
            <v>0.875</v>
          </cell>
          <cell r="J2110">
            <v>0.32291666666666669</v>
          </cell>
          <cell r="K2110">
            <v>10</v>
          </cell>
          <cell r="L2110">
            <v>316.81</v>
          </cell>
          <cell r="O2110" t="str">
            <v>Y</v>
          </cell>
          <cell r="P2110" t="str">
            <v>N</v>
          </cell>
          <cell r="Q2110" t="str">
            <v>Specials</v>
          </cell>
          <cell r="S2110">
            <v>0.27</v>
          </cell>
        </row>
        <row r="2111">
          <cell r="D2111">
            <v>1108000661</v>
          </cell>
          <cell r="E2111" t="str">
            <v>SIBONGILE DOKOTERA</v>
          </cell>
          <cell r="F2111" t="str">
            <v>D (MD)</v>
          </cell>
          <cell r="G2111">
            <v>342034</v>
          </cell>
          <cell r="H2111" t="str">
            <v>Mayday</v>
          </cell>
          <cell r="I2111">
            <v>0.8125</v>
          </cell>
          <cell r="J2111">
            <v>0.3125</v>
          </cell>
          <cell r="K2111">
            <v>11.3333333333333</v>
          </cell>
          <cell r="L2111">
            <v>475.74</v>
          </cell>
          <cell r="O2111" t="str">
            <v>Y</v>
          </cell>
          <cell r="P2111" t="str">
            <v>N</v>
          </cell>
          <cell r="Q2111" t="str">
            <v>Extra Capacity</v>
          </cell>
          <cell r="S2111">
            <v>0.3</v>
          </cell>
        </row>
        <row r="2112">
          <cell r="D2112">
            <v>1108000662</v>
          </cell>
          <cell r="E2112" t="str">
            <v>SPECIAL DOKOTERA</v>
          </cell>
          <cell r="F2112" t="str">
            <v>D (MD)</v>
          </cell>
          <cell r="G2112">
            <v>342060</v>
          </cell>
          <cell r="H2112" t="str">
            <v>Mayday</v>
          </cell>
          <cell r="I2112">
            <v>0.8125</v>
          </cell>
          <cell r="J2112">
            <v>0.3125</v>
          </cell>
          <cell r="K2112">
            <v>11.3333333333333</v>
          </cell>
          <cell r="L2112">
            <v>475.74</v>
          </cell>
          <cell r="O2112" t="str">
            <v>Y</v>
          </cell>
          <cell r="P2112" t="str">
            <v>N</v>
          </cell>
          <cell r="Q2112" t="str">
            <v>Extra Capacity</v>
          </cell>
          <cell r="S2112">
            <v>0.3</v>
          </cell>
        </row>
        <row r="2113">
          <cell r="D2113">
            <v>1008007156</v>
          </cell>
          <cell r="E2113" t="str">
            <v>TAEL MHANGO</v>
          </cell>
          <cell r="F2113" t="str">
            <v>D (Ch)</v>
          </cell>
          <cell r="G2113">
            <v>17182</v>
          </cell>
          <cell r="H2113" t="str">
            <v>Choice</v>
          </cell>
          <cell r="I2113">
            <v>0.83333333333333337</v>
          </cell>
          <cell r="J2113">
            <v>0.33333333333333331</v>
          </cell>
          <cell r="K2113">
            <v>11.3333333333333</v>
          </cell>
          <cell r="L2113">
            <v>359.05</v>
          </cell>
          <cell r="O2113" t="str">
            <v>Y</v>
          </cell>
          <cell r="P2113" t="str">
            <v>N</v>
          </cell>
          <cell r="Q2113" t="str">
            <v>Extra Capacity</v>
          </cell>
          <cell r="S2113">
            <v>0.3</v>
          </cell>
        </row>
        <row r="2114">
          <cell r="D2114">
            <v>1108000068</v>
          </cell>
          <cell r="E2114" t="str">
            <v>TEMBE NGIDI</v>
          </cell>
          <cell r="F2114" t="str">
            <v>D (MD)</v>
          </cell>
          <cell r="G2114">
            <v>340872</v>
          </cell>
          <cell r="H2114" t="str">
            <v>Mayday</v>
          </cell>
          <cell r="I2114">
            <v>0.875</v>
          </cell>
          <cell r="J2114">
            <v>0.32291666666666669</v>
          </cell>
          <cell r="K2114">
            <v>10</v>
          </cell>
          <cell r="L2114">
            <v>419.77</v>
          </cell>
          <cell r="O2114" t="str">
            <v>Y</v>
          </cell>
          <cell r="P2114" t="str">
            <v>N</v>
          </cell>
          <cell r="Q2114" t="str">
            <v>Backfill</v>
          </cell>
          <cell r="S2114">
            <v>0.27</v>
          </cell>
        </row>
        <row r="2115">
          <cell r="D2115">
            <v>1008006013</v>
          </cell>
          <cell r="E2115" t="str">
            <v>TOM OSBOURNE</v>
          </cell>
          <cell r="F2115" t="str">
            <v>D General (Orio</v>
          </cell>
          <cell r="G2115">
            <v>17938</v>
          </cell>
          <cell r="H2115" t="str">
            <v>Orion</v>
          </cell>
          <cell r="I2115">
            <v>0.33333333333333331</v>
          </cell>
          <cell r="J2115">
            <v>0.75</v>
          </cell>
          <cell r="K2115">
            <v>9.5</v>
          </cell>
          <cell r="L2115">
            <v>172.14</v>
          </cell>
          <cell r="O2115" t="str">
            <v>Y</v>
          </cell>
          <cell r="P2115" t="str">
            <v>N</v>
          </cell>
          <cell r="Q2115" t="str">
            <v>Vacancy</v>
          </cell>
          <cell r="S2115">
            <v>0.25</v>
          </cell>
        </row>
        <row r="2116">
          <cell r="D2116">
            <v>1108000654</v>
          </cell>
          <cell r="E2116" t="str">
            <v>ALLI SUBRAMANIAM</v>
          </cell>
          <cell r="F2116" t="str">
            <v>D (MD)</v>
          </cell>
          <cell r="G2116">
            <v>342136</v>
          </cell>
          <cell r="H2116" t="str">
            <v>Mayday</v>
          </cell>
          <cell r="I2116">
            <v>0.625</v>
          </cell>
          <cell r="J2116">
            <v>0.84375</v>
          </cell>
          <cell r="K2116">
            <v>5.25</v>
          </cell>
          <cell r="L2116">
            <v>169.52</v>
          </cell>
          <cell r="O2116" t="str">
            <v>Y</v>
          </cell>
          <cell r="P2116" t="str">
            <v>N</v>
          </cell>
          <cell r="Q2116" t="str">
            <v>Short Term Sick</v>
          </cell>
          <cell r="S2116">
            <v>0.14000000000000001</v>
          </cell>
        </row>
        <row r="2117">
          <cell r="D2117">
            <v>1008001247</v>
          </cell>
          <cell r="E2117" t="str">
            <v>AMANDA YOUNG</v>
          </cell>
          <cell r="F2117" t="str">
            <v>D (MD)</v>
          </cell>
          <cell r="G2117">
            <v>341994</v>
          </cell>
          <cell r="H2117" t="str">
            <v>Mayday</v>
          </cell>
          <cell r="I2117">
            <v>0.58333333333333337</v>
          </cell>
          <cell r="J2117">
            <v>0.84375</v>
          </cell>
          <cell r="K2117">
            <v>6</v>
          </cell>
          <cell r="L2117">
            <v>193.74</v>
          </cell>
          <cell r="O2117" t="str">
            <v>Y</v>
          </cell>
          <cell r="P2117" t="str">
            <v>N</v>
          </cell>
          <cell r="Q2117" t="str">
            <v>Vacancy</v>
          </cell>
          <cell r="S2117">
            <v>0.16</v>
          </cell>
        </row>
        <row r="2118">
          <cell r="D2118">
            <v>1108000651</v>
          </cell>
          <cell r="E2118" t="str">
            <v>AMANDA YOUNG</v>
          </cell>
          <cell r="F2118" t="str">
            <v>D (MD)</v>
          </cell>
          <cell r="G2118">
            <v>341994</v>
          </cell>
          <cell r="H2118" t="str">
            <v>Mayday</v>
          </cell>
          <cell r="I2118">
            <v>0.32291666666666669</v>
          </cell>
          <cell r="J2118">
            <v>0.54166666666666663</v>
          </cell>
          <cell r="K2118">
            <v>5.25</v>
          </cell>
          <cell r="L2118">
            <v>169.52</v>
          </cell>
          <cell r="O2118" t="str">
            <v>Y</v>
          </cell>
          <cell r="P2118" t="str">
            <v>N</v>
          </cell>
          <cell r="Q2118" t="str">
            <v>Short Term Sick</v>
          </cell>
          <cell r="S2118">
            <v>0.14000000000000001</v>
          </cell>
        </row>
        <row r="2119">
          <cell r="D2119">
            <v>1008001395</v>
          </cell>
          <cell r="E2119" t="str">
            <v>BEAUTY NGIDI</v>
          </cell>
          <cell r="F2119" t="str">
            <v>D (MD)</v>
          </cell>
          <cell r="G2119">
            <v>341990</v>
          </cell>
          <cell r="H2119" t="str">
            <v>Mayday</v>
          </cell>
          <cell r="I2119">
            <v>0.83333333333333337</v>
          </cell>
          <cell r="J2119">
            <v>0.33333333333333331</v>
          </cell>
          <cell r="K2119">
            <v>11.3333333333333</v>
          </cell>
          <cell r="L2119">
            <v>475.74</v>
          </cell>
          <cell r="O2119" t="str">
            <v>Y</v>
          </cell>
          <cell r="P2119" t="str">
            <v>N</v>
          </cell>
          <cell r="Q2119" t="str">
            <v>Vacancy</v>
          </cell>
          <cell r="S2119">
            <v>0.3</v>
          </cell>
        </row>
        <row r="2120">
          <cell r="D2120">
            <v>908006550</v>
          </cell>
          <cell r="E2120" t="str">
            <v>BERNADETTE SHINYA-NDUNUWANI</v>
          </cell>
          <cell r="F2120" t="str">
            <v>D (MD)</v>
          </cell>
          <cell r="G2120">
            <v>341989</v>
          </cell>
          <cell r="H2120" t="str">
            <v>Mayday</v>
          </cell>
          <cell r="I2120">
            <v>0.3125</v>
          </cell>
          <cell r="J2120">
            <v>0.58333333333333337</v>
          </cell>
          <cell r="K2120">
            <v>6.1666666666666696</v>
          </cell>
          <cell r="L2120">
            <v>199.12</v>
          </cell>
          <cell r="O2120" t="str">
            <v>Y</v>
          </cell>
          <cell r="P2120" t="str">
            <v>N</v>
          </cell>
          <cell r="Q2120" t="str">
            <v>Vacancy</v>
          </cell>
          <cell r="S2120">
            <v>0.16</v>
          </cell>
        </row>
        <row r="2121">
          <cell r="D2121">
            <v>908006552</v>
          </cell>
          <cell r="E2121" t="str">
            <v>BERNADETTE SHINYA-NDUNUWANI</v>
          </cell>
          <cell r="F2121" t="str">
            <v>D (MD)</v>
          </cell>
          <cell r="G2121">
            <v>341989</v>
          </cell>
          <cell r="H2121" t="str">
            <v>Mayday</v>
          </cell>
          <cell r="I2121">
            <v>0.625</v>
          </cell>
          <cell r="J2121">
            <v>0.85416666666666663</v>
          </cell>
          <cell r="K2121">
            <v>5.5</v>
          </cell>
          <cell r="L2121">
            <v>177.59</v>
          </cell>
          <cell r="O2121" t="str">
            <v>Y</v>
          </cell>
          <cell r="P2121" t="str">
            <v>N</v>
          </cell>
          <cell r="Q2121" t="str">
            <v>Vacancy</v>
          </cell>
          <cell r="S2121">
            <v>0.15</v>
          </cell>
        </row>
        <row r="2122">
          <cell r="D2122">
            <v>1108000471</v>
          </cell>
          <cell r="E2122" t="str">
            <v>BONNIE TWALA</v>
          </cell>
          <cell r="F2122" t="str">
            <v>D (MD)</v>
          </cell>
          <cell r="G2122">
            <v>341616</v>
          </cell>
          <cell r="H2122" t="str">
            <v>Mayday</v>
          </cell>
          <cell r="I2122">
            <v>0.88541666666666663</v>
          </cell>
          <cell r="J2122">
            <v>0.3125</v>
          </cell>
          <cell r="K2122">
            <v>9.25</v>
          </cell>
          <cell r="L2122">
            <v>388.29</v>
          </cell>
          <cell r="O2122" t="str">
            <v>Y</v>
          </cell>
          <cell r="P2122" t="str">
            <v>N</v>
          </cell>
          <cell r="Q2122" t="str">
            <v>Short Term Sick</v>
          </cell>
          <cell r="S2122">
            <v>0.25</v>
          </cell>
        </row>
        <row r="2123">
          <cell r="D2123">
            <v>1008001418</v>
          </cell>
          <cell r="E2123" t="str">
            <v>BRIGHTNESS NDEBELE</v>
          </cell>
          <cell r="F2123" t="str">
            <v>D (MD)</v>
          </cell>
          <cell r="G2123">
            <v>341565</v>
          </cell>
          <cell r="H2123" t="str">
            <v>Mayday</v>
          </cell>
          <cell r="I2123">
            <v>0.625</v>
          </cell>
          <cell r="J2123">
            <v>0.85416666666666663</v>
          </cell>
          <cell r="K2123">
            <v>5.5</v>
          </cell>
          <cell r="L2123">
            <v>177.59</v>
          </cell>
          <cell r="O2123" t="str">
            <v>Y</v>
          </cell>
          <cell r="P2123" t="str">
            <v>N</v>
          </cell>
          <cell r="Q2123" t="str">
            <v>Vacancy</v>
          </cell>
          <cell r="S2123">
            <v>0.15</v>
          </cell>
        </row>
        <row r="2124">
          <cell r="D2124">
            <v>1108000453</v>
          </cell>
          <cell r="E2124" t="str">
            <v>CARL HIBBERT</v>
          </cell>
          <cell r="F2124" t="str">
            <v>D (Ch)</v>
          </cell>
          <cell r="H2124" t="str">
            <v>Choice</v>
          </cell>
          <cell r="I2124">
            <v>0.83333333333333337</v>
          </cell>
          <cell r="J2124">
            <v>0.33333333333333331</v>
          </cell>
          <cell r="K2124">
            <v>11.3333333333333</v>
          </cell>
          <cell r="L2124">
            <v>359.05</v>
          </cell>
          <cell r="O2124" t="str">
            <v>Y</v>
          </cell>
          <cell r="P2124" t="str">
            <v>N</v>
          </cell>
          <cell r="Q2124" t="str">
            <v>Extra Capacity</v>
          </cell>
          <cell r="S2124">
            <v>0.3</v>
          </cell>
        </row>
        <row r="2125">
          <cell r="D2125">
            <v>1108000946</v>
          </cell>
          <cell r="E2125" t="str">
            <v>CATH CHIDAVAYENZI</v>
          </cell>
          <cell r="F2125" t="str">
            <v>D (Ch)</v>
          </cell>
          <cell r="G2125">
            <v>17170</v>
          </cell>
          <cell r="H2125" t="str">
            <v>Choice</v>
          </cell>
          <cell r="I2125">
            <v>0.83333333333333337</v>
          </cell>
          <cell r="J2125">
            <v>0.33333333333333331</v>
          </cell>
          <cell r="K2125">
            <v>11</v>
          </cell>
          <cell r="L2125">
            <v>348.49</v>
          </cell>
          <cell r="O2125" t="str">
            <v>Y</v>
          </cell>
          <cell r="P2125" t="str">
            <v>N</v>
          </cell>
          <cell r="Q2125" t="str">
            <v>Extra Capacity</v>
          </cell>
          <cell r="S2125">
            <v>0.28999999999999998</v>
          </cell>
        </row>
        <row r="2126">
          <cell r="D2126">
            <v>1008001033</v>
          </cell>
          <cell r="E2126" t="str">
            <v>CHRIS STULAR</v>
          </cell>
          <cell r="F2126" t="str">
            <v>D General (Orio</v>
          </cell>
          <cell r="G2126">
            <v>17917</v>
          </cell>
          <cell r="H2126" t="str">
            <v>Orion</v>
          </cell>
          <cell r="I2126">
            <v>0.33333333333333331</v>
          </cell>
          <cell r="J2126">
            <v>0.75</v>
          </cell>
          <cell r="K2126">
            <v>9.5</v>
          </cell>
          <cell r="L2126">
            <v>172.14</v>
          </cell>
          <cell r="O2126" t="str">
            <v>Y</v>
          </cell>
          <cell r="P2126" t="str">
            <v>N</v>
          </cell>
          <cell r="Q2126" t="str">
            <v>Backfill</v>
          </cell>
          <cell r="S2126">
            <v>0.25</v>
          </cell>
        </row>
        <row r="2127">
          <cell r="D2127">
            <v>1108000449</v>
          </cell>
          <cell r="E2127" t="str">
            <v>DIGRACIA  NAPE</v>
          </cell>
          <cell r="F2127" t="str">
            <v>D (MD)</v>
          </cell>
          <cell r="G2127">
            <v>340892</v>
          </cell>
          <cell r="H2127" t="str">
            <v>Mayday</v>
          </cell>
          <cell r="I2127">
            <v>0.3125</v>
          </cell>
          <cell r="J2127">
            <v>0.60416666666666663</v>
          </cell>
          <cell r="K2127">
            <v>6.6666666666666696</v>
          </cell>
          <cell r="L2127">
            <v>215.27</v>
          </cell>
          <cell r="O2127" t="str">
            <v>Y</v>
          </cell>
          <cell r="P2127" t="str">
            <v>N</v>
          </cell>
          <cell r="Q2127" t="str">
            <v>Extra Capacity</v>
          </cell>
          <cell r="S2127">
            <v>0.18</v>
          </cell>
        </row>
        <row r="2128">
          <cell r="D2128">
            <v>1108000451</v>
          </cell>
          <cell r="E2128" t="str">
            <v>DIGRACIA  NAPE</v>
          </cell>
          <cell r="F2128" t="str">
            <v>D (MD)</v>
          </cell>
          <cell r="G2128">
            <v>340892</v>
          </cell>
          <cell r="H2128" t="str">
            <v>Mayday</v>
          </cell>
          <cell r="I2128">
            <v>0.60416666666666663</v>
          </cell>
          <cell r="J2128">
            <v>0.85416666666666663</v>
          </cell>
          <cell r="K2128">
            <v>5.6666666666666696</v>
          </cell>
          <cell r="L2128">
            <v>182.98</v>
          </cell>
          <cell r="O2128" t="str">
            <v>Y</v>
          </cell>
          <cell r="P2128" t="str">
            <v>N</v>
          </cell>
          <cell r="Q2128" t="str">
            <v>Extra Capacity</v>
          </cell>
          <cell r="S2128">
            <v>0.15</v>
          </cell>
        </row>
        <row r="2129">
          <cell r="D2129">
            <v>1108000753</v>
          </cell>
          <cell r="E2129" t="str">
            <v>EDMA ITALIA</v>
          </cell>
          <cell r="F2129" t="str">
            <v>D (Ch)</v>
          </cell>
          <cell r="H2129" t="str">
            <v>Choice</v>
          </cell>
          <cell r="I2129">
            <v>0.82291666666666663</v>
          </cell>
          <cell r="J2129">
            <v>0.33333333333333331</v>
          </cell>
          <cell r="K2129">
            <v>11.5833333333333</v>
          </cell>
          <cell r="L2129">
            <v>366.97</v>
          </cell>
          <cell r="O2129" t="str">
            <v>Y</v>
          </cell>
          <cell r="P2129" t="str">
            <v>N</v>
          </cell>
          <cell r="Q2129" t="str">
            <v>Extra Capacity</v>
          </cell>
          <cell r="S2129">
            <v>0.31</v>
          </cell>
        </row>
        <row r="2130">
          <cell r="D2130">
            <v>1008007257</v>
          </cell>
          <cell r="E2130" t="str">
            <v>FIONA DURKIN-GREER</v>
          </cell>
          <cell r="F2130" t="str">
            <v>D (MD)</v>
          </cell>
          <cell r="G2130">
            <v>341730</v>
          </cell>
          <cell r="H2130" t="str">
            <v>Mayday</v>
          </cell>
          <cell r="I2130">
            <v>0.5625</v>
          </cell>
          <cell r="J2130">
            <v>0.85416666666666663</v>
          </cell>
          <cell r="K2130">
            <v>6.6666666666666696</v>
          </cell>
          <cell r="L2130">
            <v>215.27</v>
          </cell>
          <cell r="O2130" t="str">
            <v>Y</v>
          </cell>
          <cell r="P2130" t="str">
            <v>N</v>
          </cell>
          <cell r="Q2130" t="str">
            <v>Short Term Sick</v>
          </cell>
          <cell r="S2130">
            <v>0.18</v>
          </cell>
        </row>
        <row r="2131">
          <cell r="D2131">
            <v>1108000452</v>
          </cell>
          <cell r="E2131" t="str">
            <v>GERTHY ALBANO</v>
          </cell>
          <cell r="F2131" t="str">
            <v>D (Ch)</v>
          </cell>
          <cell r="G2131">
            <v>17238</v>
          </cell>
          <cell r="H2131" t="str">
            <v>Choice</v>
          </cell>
          <cell r="I2131">
            <v>0.83333333333333337</v>
          </cell>
          <cell r="J2131">
            <v>0.33333333333333331</v>
          </cell>
          <cell r="K2131">
            <v>11.3333333333333</v>
          </cell>
          <cell r="L2131">
            <v>359.05</v>
          </cell>
          <cell r="O2131" t="str">
            <v>Y</v>
          </cell>
          <cell r="P2131" t="str">
            <v>N</v>
          </cell>
          <cell r="Q2131" t="str">
            <v>Extra Capacity</v>
          </cell>
          <cell r="S2131">
            <v>0.3</v>
          </cell>
        </row>
        <row r="2132">
          <cell r="D2132">
            <v>1108000752</v>
          </cell>
          <cell r="E2132" t="str">
            <v>GLENDA RONA</v>
          </cell>
          <cell r="F2132" t="str">
            <v>D (Ch)</v>
          </cell>
          <cell r="G2132">
            <v>17163</v>
          </cell>
          <cell r="H2132" t="str">
            <v>Choice</v>
          </cell>
          <cell r="I2132">
            <v>0.82291666666666663</v>
          </cell>
          <cell r="J2132">
            <v>0.33333333333333331</v>
          </cell>
          <cell r="K2132">
            <v>11.5833333333333</v>
          </cell>
          <cell r="L2132">
            <v>366.97</v>
          </cell>
          <cell r="O2132" t="str">
            <v>Y</v>
          </cell>
          <cell r="P2132" t="str">
            <v>N</v>
          </cell>
          <cell r="Q2132" t="str">
            <v>Extra Capacity</v>
          </cell>
          <cell r="S2132">
            <v>0.31</v>
          </cell>
        </row>
        <row r="2133">
          <cell r="D2133">
            <v>1108000704</v>
          </cell>
          <cell r="E2133" t="str">
            <v>JEAN NGONA</v>
          </cell>
          <cell r="F2133" t="str">
            <v>D (MD)</v>
          </cell>
          <cell r="G2133">
            <v>344589</v>
          </cell>
          <cell r="H2133" t="str">
            <v>Mayday</v>
          </cell>
          <cell r="I2133">
            <v>0.3125</v>
          </cell>
          <cell r="J2133">
            <v>0.5625</v>
          </cell>
          <cell r="K2133">
            <v>5.6666666666666696</v>
          </cell>
          <cell r="L2133">
            <v>182.98</v>
          </cell>
          <cell r="O2133" t="str">
            <v>Y</v>
          </cell>
          <cell r="P2133" t="str">
            <v>N</v>
          </cell>
          <cell r="Q2133" t="str">
            <v>Compassionate Leave</v>
          </cell>
          <cell r="S2133">
            <v>0.15</v>
          </cell>
        </row>
        <row r="2134">
          <cell r="D2134">
            <v>1008007158</v>
          </cell>
          <cell r="E2134" t="str">
            <v>KATE GUTHRIE</v>
          </cell>
          <cell r="F2134" t="str">
            <v>5 General (Adva</v>
          </cell>
          <cell r="H2134" t="str">
            <v>Advantage</v>
          </cell>
          <cell r="I2134">
            <v>0.83333333333333337</v>
          </cell>
          <cell r="J2134">
            <v>0.33333333333333331</v>
          </cell>
          <cell r="K2134">
            <v>11.3333333333333</v>
          </cell>
          <cell r="L2134">
            <v>236.32</v>
          </cell>
          <cell r="O2134" t="str">
            <v>Y</v>
          </cell>
          <cell r="P2134" t="str">
            <v>N</v>
          </cell>
          <cell r="Q2134" t="str">
            <v>Extra Capacity</v>
          </cell>
          <cell r="S2134">
            <v>0.3</v>
          </cell>
        </row>
        <row r="2135">
          <cell r="D2135">
            <v>1108001160</v>
          </cell>
          <cell r="E2135" t="str">
            <v>KATIE KEAVENEY</v>
          </cell>
          <cell r="F2135" t="str">
            <v>D (MD)</v>
          </cell>
          <cell r="G2135">
            <v>341619</v>
          </cell>
          <cell r="H2135" t="str">
            <v>Mayday</v>
          </cell>
          <cell r="I2135">
            <v>0.88541666666666663</v>
          </cell>
          <cell r="J2135">
            <v>0.3125</v>
          </cell>
          <cell r="K2135">
            <v>9.9166666666666696</v>
          </cell>
          <cell r="L2135">
            <v>416.27</v>
          </cell>
          <cell r="O2135" t="str">
            <v>Y</v>
          </cell>
          <cell r="P2135" t="str">
            <v>N</v>
          </cell>
          <cell r="Q2135" t="str">
            <v>Nurse Moved</v>
          </cell>
          <cell r="S2135">
            <v>0.26</v>
          </cell>
        </row>
        <row r="2136">
          <cell r="D2136">
            <v>1108000361</v>
          </cell>
          <cell r="E2136" t="str">
            <v>KERRI GALLOWAY</v>
          </cell>
          <cell r="F2136" t="str">
            <v>D (MD)</v>
          </cell>
          <cell r="G2136">
            <v>341617</v>
          </cell>
          <cell r="H2136" t="str">
            <v>Mayday</v>
          </cell>
          <cell r="I2136">
            <v>0.29166666666666669</v>
          </cell>
          <cell r="J2136">
            <v>0.54166666666666663</v>
          </cell>
          <cell r="K2136">
            <v>5.75</v>
          </cell>
          <cell r="L2136">
            <v>185.67</v>
          </cell>
          <cell r="O2136" t="str">
            <v>Y</v>
          </cell>
          <cell r="P2136" t="str">
            <v>N</v>
          </cell>
          <cell r="Q2136" t="str">
            <v>Short Term Sick</v>
          </cell>
          <cell r="S2136">
            <v>0.15</v>
          </cell>
        </row>
        <row r="2137">
          <cell r="D2137">
            <v>1108000652</v>
          </cell>
          <cell r="E2137" t="str">
            <v>LEONA CONTRERAS</v>
          </cell>
          <cell r="F2137" t="str">
            <v>D (MD)</v>
          </cell>
          <cell r="G2137">
            <v>341570</v>
          </cell>
          <cell r="H2137" t="str">
            <v>Mayday</v>
          </cell>
          <cell r="I2137">
            <v>0.625</v>
          </cell>
          <cell r="J2137">
            <v>0.84375</v>
          </cell>
          <cell r="K2137">
            <v>5.25</v>
          </cell>
          <cell r="L2137">
            <v>169.52</v>
          </cell>
          <cell r="O2137" t="str">
            <v>Y</v>
          </cell>
          <cell r="P2137" t="str">
            <v>N</v>
          </cell>
          <cell r="Q2137" t="str">
            <v>Short Term Sick</v>
          </cell>
          <cell r="S2137">
            <v>0.14000000000000001</v>
          </cell>
        </row>
        <row r="2138">
          <cell r="D2138">
            <v>1108000653</v>
          </cell>
          <cell r="E2138" t="str">
            <v>LEONA CONTRERAS</v>
          </cell>
          <cell r="F2138" t="str">
            <v>D (MD)</v>
          </cell>
          <cell r="G2138">
            <v>341570</v>
          </cell>
          <cell r="H2138" t="str">
            <v>Mayday</v>
          </cell>
          <cell r="I2138">
            <v>0.32291666666666669</v>
          </cell>
          <cell r="J2138">
            <v>0.54166666666666663</v>
          </cell>
          <cell r="K2138">
            <v>5.25</v>
          </cell>
          <cell r="L2138">
            <v>169.52</v>
          </cell>
          <cell r="O2138" t="str">
            <v>Y</v>
          </cell>
          <cell r="P2138" t="str">
            <v>N</v>
          </cell>
          <cell r="Q2138" t="str">
            <v>Short Term Sick</v>
          </cell>
          <cell r="S2138">
            <v>0.14000000000000001</v>
          </cell>
        </row>
        <row r="2139">
          <cell r="D2139">
            <v>1108001155</v>
          </cell>
          <cell r="E2139" t="str">
            <v>LETECIA MENIANO</v>
          </cell>
          <cell r="F2139" t="str">
            <v>D (MD)</v>
          </cell>
          <cell r="G2139">
            <v>341562</v>
          </cell>
          <cell r="H2139" t="str">
            <v>Mayday</v>
          </cell>
          <cell r="I2139">
            <v>0.8125</v>
          </cell>
          <cell r="J2139">
            <v>0.33333333333333331</v>
          </cell>
          <cell r="K2139">
            <v>11.8333333333333</v>
          </cell>
          <cell r="L2139">
            <v>496.73</v>
          </cell>
          <cell r="O2139" t="str">
            <v>Y</v>
          </cell>
          <cell r="P2139" t="str">
            <v>N</v>
          </cell>
          <cell r="Q2139" t="str">
            <v>Nurse Moved</v>
          </cell>
          <cell r="S2139">
            <v>0.32</v>
          </cell>
        </row>
        <row r="2140">
          <cell r="D2140">
            <v>1008002580</v>
          </cell>
          <cell r="E2140" t="str">
            <v>MAVIS SIBANDA</v>
          </cell>
          <cell r="F2140" t="str">
            <v>D (Ch)</v>
          </cell>
          <cell r="G2140">
            <v>17160</v>
          </cell>
          <cell r="H2140" t="str">
            <v>Choice</v>
          </cell>
          <cell r="I2140">
            <v>0.88541666666666663</v>
          </cell>
          <cell r="J2140">
            <v>0.3125</v>
          </cell>
          <cell r="K2140">
            <v>9.25</v>
          </cell>
          <cell r="L2140">
            <v>293.05</v>
          </cell>
          <cell r="O2140" t="str">
            <v>Y</v>
          </cell>
          <cell r="P2140" t="str">
            <v>N</v>
          </cell>
          <cell r="Q2140" t="str">
            <v>Vacancy</v>
          </cell>
          <cell r="S2140">
            <v>0.25</v>
          </cell>
        </row>
        <row r="2141">
          <cell r="D2141">
            <v>1008007157</v>
          </cell>
          <cell r="E2141" t="str">
            <v>MIHAELA CHIRIBAU</v>
          </cell>
          <cell r="F2141" t="str">
            <v>D (MD)</v>
          </cell>
          <cell r="G2141">
            <v>342098</v>
          </cell>
          <cell r="H2141" t="str">
            <v>Mayday</v>
          </cell>
          <cell r="I2141">
            <v>0.3125</v>
          </cell>
          <cell r="J2141">
            <v>0.625</v>
          </cell>
          <cell r="K2141">
            <v>7.1666666666666696</v>
          </cell>
          <cell r="L2141">
            <v>231.41</v>
          </cell>
          <cell r="O2141" t="str">
            <v>Y</v>
          </cell>
          <cell r="P2141" t="str">
            <v>N</v>
          </cell>
          <cell r="Q2141" t="str">
            <v>Extra Capacity</v>
          </cell>
          <cell r="S2141">
            <v>0.19</v>
          </cell>
        </row>
        <row r="2142">
          <cell r="D2142">
            <v>1108000858</v>
          </cell>
          <cell r="E2142" t="str">
            <v>MIHAELA CHIRIBAU</v>
          </cell>
          <cell r="F2142" t="str">
            <v>D (MD)</v>
          </cell>
          <cell r="G2142">
            <v>342098</v>
          </cell>
          <cell r="H2142" t="str">
            <v>Mayday</v>
          </cell>
          <cell r="I2142">
            <v>0.625</v>
          </cell>
          <cell r="J2142">
            <v>0.83333333333333337</v>
          </cell>
          <cell r="K2142">
            <v>5</v>
          </cell>
          <cell r="L2142">
            <v>161.44999999999999</v>
          </cell>
          <cell r="O2142" t="str">
            <v>Y</v>
          </cell>
          <cell r="P2142" t="str">
            <v>N</v>
          </cell>
          <cell r="Q2142" t="str">
            <v>Extra Capacity</v>
          </cell>
          <cell r="S2142">
            <v>0.13</v>
          </cell>
        </row>
        <row r="2143">
          <cell r="D2143">
            <v>1008005519</v>
          </cell>
          <cell r="E2143" t="str">
            <v>PAT DUBE</v>
          </cell>
          <cell r="F2143" t="str">
            <v>D (MD)</v>
          </cell>
          <cell r="G2143">
            <v>341532</v>
          </cell>
          <cell r="H2143" t="str">
            <v>Mayday</v>
          </cell>
          <cell r="I2143">
            <v>0.5625</v>
          </cell>
          <cell r="J2143">
            <v>0.875</v>
          </cell>
          <cell r="K2143">
            <v>7.1666666666666696</v>
          </cell>
          <cell r="L2143">
            <v>231.41</v>
          </cell>
          <cell r="O2143" t="str">
            <v>Y</v>
          </cell>
          <cell r="P2143" t="str">
            <v>N</v>
          </cell>
          <cell r="Q2143" t="str">
            <v>Vacancy</v>
          </cell>
          <cell r="S2143">
            <v>0.19</v>
          </cell>
        </row>
        <row r="2144">
          <cell r="D2144">
            <v>1108000572</v>
          </cell>
          <cell r="E2144" t="str">
            <v>PAT MUGABZA</v>
          </cell>
          <cell r="F2144" t="str">
            <v>A (Ch)</v>
          </cell>
          <cell r="G2144">
            <v>17176</v>
          </cell>
          <cell r="H2144" t="str">
            <v>Choice</v>
          </cell>
          <cell r="I2144">
            <v>0.29166666666666669</v>
          </cell>
          <cell r="J2144">
            <v>0.625</v>
          </cell>
          <cell r="K2144">
            <v>7.6666666666666696</v>
          </cell>
          <cell r="L2144">
            <v>85.02</v>
          </cell>
          <cell r="O2144" t="str">
            <v>Y</v>
          </cell>
          <cell r="P2144" t="str">
            <v>N</v>
          </cell>
          <cell r="Q2144" t="str">
            <v>Specials</v>
          </cell>
          <cell r="S2144">
            <v>0.2</v>
          </cell>
        </row>
        <row r="2145">
          <cell r="D2145">
            <v>1108000573</v>
          </cell>
          <cell r="E2145" t="str">
            <v>PAT MUGABZA</v>
          </cell>
          <cell r="F2145" t="str">
            <v>A (Ch)</v>
          </cell>
          <cell r="G2145">
            <v>17176</v>
          </cell>
          <cell r="H2145" t="str">
            <v>Choice</v>
          </cell>
          <cell r="I2145">
            <v>0.625</v>
          </cell>
          <cell r="J2145">
            <v>0.875</v>
          </cell>
          <cell r="K2145">
            <v>5.75</v>
          </cell>
          <cell r="L2145">
            <v>63.77</v>
          </cell>
          <cell r="O2145" t="str">
            <v>Y</v>
          </cell>
          <cell r="P2145" t="str">
            <v>N</v>
          </cell>
          <cell r="Q2145" t="str">
            <v>Specials</v>
          </cell>
          <cell r="S2145">
            <v>0.15</v>
          </cell>
        </row>
        <row r="2146">
          <cell r="D2146">
            <v>908006760</v>
          </cell>
          <cell r="E2146" t="str">
            <v>PEGGY MAPOGO</v>
          </cell>
          <cell r="F2146" t="str">
            <v>D (Ch)</v>
          </cell>
          <cell r="G2146">
            <v>17164</v>
          </cell>
          <cell r="H2146" t="str">
            <v>Choice</v>
          </cell>
          <cell r="I2146">
            <v>0.3125</v>
          </cell>
          <cell r="J2146">
            <v>0.54166666666666663</v>
          </cell>
          <cell r="K2146">
            <v>5.5</v>
          </cell>
          <cell r="L2146">
            <v>134.03</v>
          </cell>
          <cell r="O2146" t="str">
            <v>Y</v>
          </cell>
          <cell r="P2146" t="str">
            <v>N</v>
          </cell>
          <cell r="Q2146" t="str">
            <v>Vacancy</v>
          </cell>
          <cell r="S2146">
            <v>0.15</v>
          </cell>
        </row>
        <row r="2147">
          <cell r="D2147">
            <v>1108000769</v>
          </cell>
          <cell r="E2147" t="str">
            <v>PEGGY MAPOGO</v>
          </cell>
          <cell r="F2147" t="str">
            <v>D (Ch)</v>
          </cell>
          <cell r="G2147">
            <v>17164</v>
          </cell>
          <cell r="H2147" t="str">
            <v>Choice</v>
          </cell>
          <cell r="I2147">
            <v>0.625</v>
          </cell>
          <cell r="J2147">
            <v>0.85416666666666663</v>
          </cell>
          <cell r="K2147">
            <v>5.5</v>
          </cell>
          <cell r="L2147">
            <v>134.03</v>
          </cell>
          <cell r="O2147" t="str">
            <v>Y</v>
          </cell>
          <cell r="P2147" t="str">
            <v>N</v>
          </cell>
          <cell r="Q2147" t="str">
            <v>Short Term Sick</v>
          </cell>
          <cell r="S2147">
            <v>0.15</v>
          </cell>
        </row>
        <row r="2148">
          <cell r="D2148">
            <v>1008004561</v>
          </cell>
          <cell r="E2148" t="str">
            <v>PRICILLA SONO</v>
          </cell>
          <cell r="F2148" t="str">
            <v>D (MD)</v>
          </cell>
          <cell r="G2148">
            <v>341609</v>
          </cell>
          <cell r="H2148" t="str">
            <v>Mayday</v>
          </cell>
          <cell r="I2148">
            <v>0.58333333333333337</v>
          </cell>
          <cell r="J2148">
            <v>0.875</v>
          </cell>
          <cell r="K2148">
            <v>7</v>
          </cell>
          <cell r="L2148">
            <v>226.03</v>
          </cell>
          <cell r="O2148" t="str">
            <v>Y</v>
          </cell>
          <cell r="P2148" t="str">
            <v>N</v>
          </cell>
          <cell r="Q2148" t="str">
            <v>Vacancy</v>
          </cell>
          <cell r="S2148">
            <v>0.19</v>
          </cell>
        </row>
        <row r="2149">
          <cell r="D2149">
            <v>1008007182</v>
          </cell>
          <cell r="E2149" t="str">
            <v>PRICILLA SONO</v>
          </cell>
          <cell r="F2149" t="str">
            <v>D (MD)</v>
          </cell>
          <cell r="G2149">
            <v>341611</v>
          </cell>
          <cell r="H2149" t="str">
            <v>Mayday</v>
          </cell>
          <cell r="I2149">
            <v>0.29166666666666669</v>
          </cell>
          <cell r="J2149">
            <v>0.54166666666666663</v>
          </cell>
          <cell r="K2149">
            <v>5.75</v>
          </cell>
          <cell r="L2149">
            <v>185.67</v>
          </cell>
          <cell r="O2149" t="str">
            <v>Y</v>
          </cell>
          <cell r="P2149" t="str">
            <v>N</v>
          </cell>
          <cell r="Q2149" t="str">
            <v>Short Term Sick</v>
          </cell>
          <cell r="S2149">
            <v>0.15</v>
          </cell>
        </row>
        <row r="2150">
          <cell r="D2150">
            <v>1008005581</v>
          </cell>
          <cell r="E2150" t="str">
            <v>PURITY EHREUREICH</v>
          </cell>
          <cell r="F2150" t="str">
            <v>D (MD)</v>
          </cell>
          <cell r="G2150">
            <v>341992</v>
          </cell>
          <cell r="H2150" t="str">
            <v>Mayday</v>
          </cell>
          <cell r="I2150">
            <v>0.29166666666666669</v>
          </cell>
          <cell r="J2150">
            <v>0.625</v>
          </cell>
          <cell r="K2150">
            <v>7.5</v>
          </cell>
          <cell r="L2150">
            <v>242.17</v>
          </cell>
          <cell r="O2150" t="str">
            <v>Y</v>
          </cell>
          <cell r="P2150" t="str">
            <v>N</v>
          </cell>
          <cell r="Q2150" t="str">
            <v>Extra Capacity</v>
          </cell>
          <cell r="S2150">
            <v>0.2</v>
          </cell>
        </row>
        <row r="2151">
          <cell r="D2151">
            <v>1008005582</v>
          </cell>
          <cell r="E2151" t="str">
            <v>PURITY EHREUREICH</v>
          </cell>
          <cell r="F2151" t="str">
            <v>D (MD)</v>
          </cell>
          <cell r="G2151">
            <v>341992</v>
          </cell>
          <cell r="H2151" t="str">
            <v>Mayday</v>
          </cell>
          <cell r="I2151">
            <v>0.625</v>
          </cell>
          <cell r="J2151">
            <v>0.89583333333333337</v>
          </cell>
          <cell r="K2151">
            <v>6.1666666666666696</v>
          </cell>
          <cell r="L2151">
            <v>199.12</v>
          </cell>
          <cell r="O2151" t="str">
            <v>Y</v>
          </cell>
          <cell r="P2151" t="str">
            <v>N</v>
          </cell>
          <cell r="Q2151" t="str">
            <v>Extra Capacity</v>
          </cell>
          <cell r="S2151">
            <v>0.16</v>
          </cell>
        </row>
        <row r="2152">
          <cell r="D2152">
            <v>1108000574</v>
          </cell>
          <cell r="E2152" t="str">
            <v>RAY THWALA</v>
          </cell>
          <cell r="F2152" t="str">
            <v>A (Ch)</v>
          </cell>
          <cell r="G2152">
            <v>17176</v>
          </cell>
          <cell r="H2152" t="str">
            <v>Choice</v>
          </cell>
          <cell r="I2152">
            <v>0.88541666666666663</v>
          </cell>
          <cell r="J2152">
            <v>0.3125</v>
          </cell>
          <cell r="K2152">
            <v>9.25</v>
          </cell>
          <cell r="L2152">
            <v>136.78</v>
          </cell>
          <cell r="O2152" t="str">
            <v>Y</v>
          </cell>
          <cell r="P2152" t="str">
            <v>N</v>
          </cell>
          <cell r="Q2152" t="str">
            <v>Specials</v>
          </cell>
          <cell r="S2152">
            <v>0.25</v>
          </cell>
        </row>
        <row r="2153">
          <cell r="D2153">
            <v>1108000768</v>
          </cell>
          <cell r="E2153" t="str">
            <v>RICCA PARADA</v>
          </cell>
          <cell r="F2153" t="str">
            <v>D (Ch)</v>
          </cell>
          <cell r="H2153" t="str">
            <v>Choice</v>
          </cell>
          <cell r="I2153">
            <v>0.3125</v>
          </cell>
          <cell r="J2153">
            <v>0.54166666666666663</v>
          </cell>
          <cell r="K2153">
            <v>5.5</v>
          </cell>
          <cell r="L2153">
            <v>134.03</v>
          </cell>
          <cell r="O2153" t="str">
            <v>Y</v>
          </cell>
          <cell r="P2153" t="str">
            <v>N</v>
          </cell>
          <cell r="Q2153" t="str">
            <v>Short Term Sick</v>
          </cell>
          <cell r="S2153">
            <v>0.15</v>
          </cell>
        </row>
        <row r="2154">
          <cell r="D2154">
            <v>1008006323</v>
          </cell>
          <cell r="E2154" t="str">
            <v>SAM KELEM</v>
          </cell>
          <cell r="F2154" t="str">
            <v>D (Ch)</v>
          </cell>
          <cell r="G2154">
            <v>17180</v>
          </cell>
          <cell r="H2154" t="str">
            <v>Choice</v>
          </cell>
          <cell r="I2154">
            <v>0.875</v>
          </cell>
          <cell r="J2154">
            <v>0.32291666666666669</v>
          </cell>
          <cell r="K2154">
            <v>10</v>
          </cell>
          <cell r="L2154">
            <v>316.81</v>
          </cell>
          <cell r="O2154" t="str">
            <v>Y</v>
          </cell>
          <cell r="P2154" t="str">
            <v>N</v>
          </cell>
          <cell r="Q2154" t="str">
            <v>Specials</v>
          </cell>
          <cell r="S2154">
            <v>0.27</v>
          </cell>
        </row>
        <row r="2155">
          <cell r="D2155">
            <v>1008004560</v>
          </cell>
          <cell r="E2155" t="str">
            <v>SIPHIOISIWE NYONI</v>
          </cell>
          <cell r="F2155" t="str">
            <v>D (Amb)</v>
          </cell>
          <cell r="G2155">
            <v>754514</v>
          </cell>
          <cell r="H2155" t="str">
            <v>Ambition</v>
          </cell>
          <cell r="I2155">
            <v>0.58333333333333337</v>
          </cell>
          <cell r="J2155">
            <v>0.875</v>
          </cell>
          <cell r="K2155">
            <v>7</v>
          </cell>
          <cell r="L2155">
            <v>273.7</v>
          </cell>
          <cell r="O2155" t="str">
            <v>Y</v>
          </cell>
          <cell r="P2155" t="str">
            <v>N</v>
          </cell>
          <cell r="Q2155" t="str">
            <v>Vacancy</v>
          </cell>
          <cell r="S2155">
            <v>0.19</v>
          </cell>
        </row>
        <row r="2156">
          <cell r="D2156">
            <v>1108000936</v>
          </cell>
          <cell r="E2156" t="str">
            <v>TEMBE NGIDI</v>
          </cell>
          <cell r="F2156" t="str">
            <v>D (MD)</v>
          </cell>
          <cell r="G2156">
            <v>341585</v>
          </cell>
          <cell r="H2156" t="str">
            <v>Mayday</v>
          </cell>
          <cell r="I2156">
            <v>0.8125</v>
          </cell>
          <cell r="J2156">
            <v>0.33333333333333331</v>
          </cell>
          <cell r="K2156">
            <v>11.5</v>
          </cell>
          <cell r="L2156">
            <v>482.74</v>
          </cell>
          <cell r="O2156" t="str">
            <v>Y</v>
          </cell>
          <cell r="P2156" t="str">
            <v>N</v>
          </cell>
          <cell r="Q2156" t="str">
            <v>Under Established</v>
          </cell>
          <cell r="S2156">
            <v>0.31</v>
          </cell>
        </row>
        <row r="2157">
          <cell r="D2157">
            <v>1108000770</v>
          </cell>
          <cell r="E2157" t="str">
            <v>TRUST CHIWUNDURA</v>
          </cell>
          <cell r="F2157" t="str">
            <v>A (Ch)</v>
          </cell>
          <cell r="G2157">
            <v>17183</v>
          </cell>
          <cell r="H2157" t="str">
            <v>Choice</v>
          </cell>
          <cell r="I2157">
            <v>0.83333333333333337</v>
          </cell>
          <cell r="J2157">
            <v>0.33333333333333331</v>
          </cell>
          <cell r="K2157">
            <v>11.3333333333333</v>
          </cell>
          <cell r="L2157">
            <v>167.58</v>
          </cell>
          <cell r="O2157" t="str">
            <v>Y</v>
          </cell>
          <cell r="P2157" t="str">
            <v>N</v>
          </cell>
          <cell r="Q2157" t="str">
            <v>Short Term Sick</v>
          </cell>
          <cell r="S2157">
            <v>0.3</v>
          </cell>
        </row>
        <row r="2158">
          <cell r="D2158">
            <v>1108000980</v>
          </cell>
          <cell r="E2158" t="str">
            <v>VERLYN GANIR</v>
          </cell>
          <cell r="F2158" t="str">
            <v>D (Ch)</v>
          </cell>
          <cell r="G2158">
            <v>17391</v>
          </cell>
          <cell r="H2158" t="str">
            <v>Choice</v>
          </cell>
          <cell r="I2158">
            <v>0.875</v>
          </cell>
          <cell r="J2158">
            <v>0.3125</v>
          </cell>
          <cell r="K2158">
            <v>10.1666666666667</v>
          </cell>
          <cell r="L2158">
            <v>322.08999999999997</v>
          </cell>
          <cell r="O2158" t="str">
            <v>Y</v>
          </cell>
          <cell r="P2158" t="str">
            <v>N</v>
          </cell>
          <cell r="Q2158" t="str">
            <v>Extra Capacity</v>
          </cell>
          <cell r="S2158">
            <v>0.27</v>
          </cell>
        </row>
        <row r="2159">
          <cell r="D2159">
            <v>1108000448</v>
          </cell>
          <cell r="E2159" t="str">
            <v>WAKAMUZI MOYO</v>
          </cell>
          <cell r="F2159" t="str">
            <v>D (Ch)</v>
          </cell>
          <cell r="G2159">
            <v>17168</v>
          </cell>
          <cell r="H2159" t="str">
            <v>Choice</v>
          </cell>
          <cell r="I2159">
            <v>0.3125</v>
          </cell>
          <cell r="J2159">
            <v>0.60416666666666663</v>
          </cell>
          <cell r="K2159">
            <v>6.6666666666666696</v>
          </cell>
          <cell r="L2159">
            <v>162.47</v>
          </cell>
          <cell r="O2159" t="str">
            <v>Y</v>
          </cell>
          <cell r="P2159" t="str">
            <v>N</v>
          </cell>
          <cell r="Q2159" t="str">
            <v>Extra Capacity</v>
          </cell>
          <cell r="S2159">
            <v>0.18</v>
          </cell>
        </row>
        <row r="2160">
          <cell r="D2160">
            <v>1108000450</v>
          </cell>
          <cell r="E2160" t="str">
            <v>WAKAMUZI MOYO</v>
          </cell>
          <cell r="F2160" t="str">
            <v>D (Ch)</v>
          </cell>
          <cell r="G2160">
            <v>17168</v>
          </cell>
          <cell r="H2160" t="str">
            <v>Choice</v>
          </cell>
          <cell r="I2160">
            <v>0.60416666666666663</v>
          </cell>
          <cell r="J2160">
            <v>0.85416666666666663</v>
          </cell>
          <cell r="K2160">
            <v>5.6666666666666696</v>
          </cell>
          <cell r="L2160">
            <v>138.1</v>
          </cell>
          <cell r="O2160" t="str">
            <v>Y</v>
          </cell>
          <cell r="P2160" t="str">
            <v>N</v>
          </cell>
          <cell r="Q2160" t="str">
            <v>Extra Capacity</v>
          </cell>
          <cell r="S2160">
            <v>0.15</v>
          </cell>
        </row>
        <row r="2161">
          <cell r="D2161">
            <v>1108001123</v>
          </cell>
          <cell r="E2161" t="str">
            <v>ATINUKE OKE-OLATUNDE</v>
          </cell>
          <cell r="F2161" t="str">
            <v>D (MD)</v>
          </cell>
          <cell r="G2161">
            <v>344595</v>
          </cell>
          <cell r="H2161" t="str">
            <v>Mayday</v>
          </cell>
          <cell r="I2161">
            <v>0.82291666666666663</v>
          </cell>
          <cell r="J2161">
            <v>0.33333333333333331</v>
          </cell>
          <cell r="K2161">
            <v>11.5833333333333</v>
          </cell>
          <cell r="L2161">
            <v>486.23</v>
          </cell>
          <cell r="O2161" t="str">
            <v>Y</v>
          </cell>
          <cell r="P2161" t="str">
            <v>N</v>
          </cell>
          <cell r="Q2161" t="str">
            <v>Extra Capacity</v>
          </cell>
          <cell r="S2161">
            <v>0.31</v>
          </cell>
        </row>
        <row r="2162">
          <cell r="D2162">
            <v>1008005192</v>
          </cell>
          <cell r="E2162" t="str">
            <v>BERNADETTE SHINYA-NDUNUWANI</v>
          </cell>
          <cell r="F2162" t="str">
            <v>D (MD)</v>
          </cell>
          <cell r="G2162">
            <v>341986</v>
          </cell>
          <cell r="H2162" t="str">
            <v>Mayday</v>
          </cell>
          <cell r="I2162">
            <v>0.3125</v>
          </cell>
          <cell r="J2162">
            <v>0.58333333333333337</v>
          </cell>
          <cell r="K2162">
            <v>6</v>
          </cell>
          <cell r="L2162">
            <v>193.74</v>
          </cell>
          <cell r="O2162" t="str">
            <v>Y</v>
          </cell>
          <cell r="P2162" t="str">
            <v>N</v>
          </cell>
          <cell r="Q2162" t="str">
            <v>Vacancy</v>
          </cell>
          <cell r="S2162">
            <v>0.16</v>
          </cell>
        </row>
        <row r="2163">
          <cell r="D2163">
            <v>1008005584</v>
          </cell>
          <cell r="E2163" t="str">
            <v>BIDDY CHAFESUKA</v>
          </cell>
          <cell r="F2163" t="str">
            <v>D (Ch)</v>
          </cell>
          <cell r="H2163" t="str">
            <v>Choice</v>
          </cell>
          <cell r="I2163">
            <v>0.5625</v>
          </cell>
          <cell r="J2163">
            <v>0.89583333333333337</v>
          </cell>
          <cell r="K2163">
            <v>7.5</v>
          </cell>
          <cell r="L2163">
            <v>182.78</v>
          </cell>
          <cell r="O2163" t="str">
            <v>Y</v>
          </cell>
          <cell r="P2163" t="str">
            <v>N</v>
          </cell>
          <cell r="Q2163" t="str">
            <v>Extra Capacity</v>
          </cell>
          <cell r="S2163">
            <v>0.2</v>
          </cell>
        </row>
        <row r="2164">
          <cell r="D2164">
            <v>1008005008</v>
          </cell>
          <cell r="E2164" t="str">
            <v>BRIGHTNESS NDEBELE</v>
          </cell>
          <cell r="F2164" t="str">
            <v>D (MD)</v>
          </cell>
          <cell r="G2164">
            <v>341565</v>
          </cell>
          <cell r="H2164" t="str">
            <v>Mayday</v>
          </cell>
          <cell r="I2164">
            <v>0.625</v>
          </cell>
          <cell r="J2164">
            <v>0.85416666666666663</v>
          </cell>
          <cell r="K2164">
            <v>5.5</v>
          </cell>
          <cell r="L2164">
            <v>177.59</v>
          </cell>
          <cell r="O2164" t="str">
            <v>Y</v>
          </cell>
          <cell r="P2164" t="str">
            <v>N</v>
          </cell>
          <cell r="Q2164" t="str">
            <v>Vacancy</v>
          </cell>
          <cell r="S2164">
            <v>0.15</v>
          </cell>
        </row>
        <row r="2165">
          <cell r="D2165">
            <v>1108001107</v>
          </cell>
          <cell r="E2165" t="str">
            <v>CATH CHIDAVAYENZI</v>
          </cell>
          <cell r="F2165" t="str">
            <v>D (Ch)</v>
          </cell>
          <cell r="G2165">
            <v>17168</v>
          </cell>
          <cell r="H2165" t="str">
            <v>Choice</v>
          </cell>
          <cell r="I2165">
            <v>0.83333333333333337</v>
          </cell>
          <cell r="J2165">
            <v>0.33333333333333331</v>
          </cell>
          <cell r="K2165">
            <v>11.3333333333333</v>
          </cell>
          <cell r="L2165">
            <v>359.05</v>
          </cell>
          <cell r="O2165" t="str">
            <v>Y</v>
          </cell>
          <cell r="P2165" t="str">
            <v>N</v>
          </cell>
          <cell r="Q2165" t="str">
            <v>Extra Capacity</v>
          </cell>
          <cell r="S2165">
            <v>0.3</v>
          </cell>
        </row>
        <row r="2166">
          <cell r="D2166">
            <v>1108000478</v>
          </cell>
          <cell r="E2166" t="str">
            <v>CLAIRE WOODHAM</v>
          </cell>
          <cell r="F2166" t="str">
            <v>D (Amb)</v>
          </cell>
          <cell r="G2166">
            <v>757735</v>
          </cell>
          <cell r="H2166" t="str">
            <v>Ambition</v>
          </cell>
          <cell r="I2166">
            <v>0.54166666666666663</v>
          </cell>
          <cell r="J2166">
            <v>0.72916666666666663</v>
          </cell>
          <cell r="K2166">
            <v>4.5</v>
          </cell>
          <cell r="L2166">
            <v>175.95</v>
          </cell>
          <cell r="O2166" t="str">
            <v>Y</v>
          </cell>
          <cell r="P2166" t="str">
            <v>N</v>
          </cell>
          <cell r="Q2166" t="str">
            <v>Under Established</v>
          </cell>
          <cell r="S2166">
            <v>0.12</v>
          </cell>
        </row>
        <row r="2167">
          <cell r="D2167">
            <v>1008005593</v>
          </cell>
          <cell r="E2167" t="str">
            <v>COLLEN SIBANDA</v>
          </cell>
          <cell r="F2167" t="str">
            <v>D (Ch)</v>
          </cell>
          <cell r="G2167">
            <v>17164</v>
          </cell>
          <cell r="H2167" t="str">
            <v>Choice</v>
          </cell>
          <cell r="I2167">
            <v>0.3125</v>
          </cell>
          <cell r="J2167">
            <v>0.5625</v>
          </cell>
          <cell r="K2167">
            <v>5.6666666666666696</v>
          </cell>
          <cell r="L2167">
            <v>138.1</v>
          </cell>
          <cell r="O2167" t="str">
            <v>Y</v>
          </cell>
          <cell r="P2167" t="str">
            <v>N</v>
          </cell>
          <cell r="Q2167" t="str">
            <v>Vacancy</v>
          </cell>
          <cell r="S2167">
            <v>0.15</v>
          </cell>
        </row>
        <row r="2168">
          <cell r="D2168">
            <v>1008005597</v>
          </cell>
          <cell r="E2168" t="str">
            <v>COLLEN SIBANDA</v>
          </cell>
          <cell r="F2168" t="str">
            <v>D (Ch)</v>
          </cell>
          <cell r="G2168">
            <v>17164</v>
          </cell>
          <cell r="H2168" t="str">
            <v>Choice</v>
          </cell>
          <cell r="I2168">
            <v>0.5625</v>
          </cell>
          <cell r="J2168">
            <v>0.875</v>
          </cell>
          <cell r="K2168">
            <v>7.1666666666666696</v>
          </cell>
          <cell r="L2168">
            <v>174.65</v>
          </cell>
          <cell r="O2168" t="str">
            <v>Y</v>
          </cell>
          <cell r="P2168" t="str">
            <v>N</v>
          </cell>
          <cell r="Q2168" t="str">
            <v>Vacancy</v>
          </cell>
          <cell r="S2168">
            <v>0.19</v>
          </cell>
        </row>
        <row r="2169">
          <cell r="D2169">
            <v>1108000455</v>
          </cell>
          <cell r="E2169" t="str">
            <v>DIGRACIA  NAPE</v>
          </cell>
          <cell r="F2169" t="str">
            <v>D (MD)</v>
          </cell>
          <cell r="G2169">
            <v>340890</v>
          </cell>
          <cell r="H2169" t="str">
            <v>Mayday</v>
          </cell>
          <cell r="I2169">
            <v>0.3125</v>
          </cell>
          <cell r="J2169">
            <v>0.60416666666666663</v>
          </cell>
          <cell r="K2169">
            <v>6.6666666666666696</v>
          </cell>
          <cell r="L2169">
            <v>215.27</v>
          </cell>
          <cell r="O2169" t="str">
            <v>Y</v>
          </cell>
          <cell r="P2169" t="str">
            <v>N</v>
          </cell>
          <cell r="Q2169" t="str">
            <v>Extra Capacity</v>
          </cell>
          <cell r="S2169">
            <v>0.18</v>
          </cell>
        </row>
        <row r="2170">
          <cell r="D2170">
            <v>1108001104</v>
          </cell>
          <cell r="E2170" t="str">
            <v>DIGRACIA  NAPE</v>
          </cell>
          <cell r="F2170" t="str">
            <v>D (MD)</v>
          </cell>
          <cell r="G2170">
            <v>340890</v>
          </cell>
          <cell r="H2170" t="str">
            <v>Mayday</v>
          </cell>
          <cell r="I2170">
            <v>0.60416666666666663</v>
          </cell>
          <cell r="J2170">
            <v>0.85416666666666663</v>
          </cell>
          <cell r="K2170">
            <v>5.6666666666666696</v>
          </cell>
          <cell r="L2170">
            <v>182.98</v>
          </cell>
          <cell r="O2170" t="str">
            <v>Y</v>
          </cell>
          <cell r="P2170" t="str">
            <v>N</v>
          </cell>
          <cell r="Q2170" t="str">
            <v>Extra Capacity</v>
          </cell>
          <cell r="S2170">
            <v>0.15</v>
          </cell>
        </row>
        <row r="2171">
          <cell r="D2171">
            <v>1108000997</v>
          </cell>
          <cell r="E2171" t="str">
            <v>DONALD YANZA</v>
          </cell>
          <cell r="F2171" t="str">
            <v>D (Ch)</v>
          </cell>
          <cell r="G2171">
            <v>17170</v>
          </cell>
          <cell r="H2171" t="str">
            <v>Choice</v>
          </cell>
          <cell r="I2171">
            <v>0.83333333333333337</v>
          </cell>
          <cell r="J2171">
            <v>0.33333333333333331</v>
          </cell>
          <cell r="K2171">
            <v>11</v>
          </cell>
          <cell r="L2171">
            <v>348.49</v>
          </cell>
          <cell r="O2171" t="str">
            <v>Y</v>
          </cell>
          <cell r="P2171" t="str">
            <v>N</v>
          </cell>
          <cell r="Q2171" t="str">
            <v>Short Term Sick</v>
          </cell>
          <cell r="S2171">
            <v>0.28999999999999998</v>
          </cell>
        </row>
        <row r="2172">
          <cell r="D2172">
            <v>1008007264</v>
          </cell>
          <cell r="E2172" t="str">
            <v>DOROTHY MUTHWA</v>
          </cell>
          <cell r="F2172" t="str">
            <v>A (Ch)</v>
          </cell>
          <cell r="G2172">
            <v>17164</v>
          </cell>
          <cell r="H2172" t="str">
            <v>Choice</v>
          </cell>
          <cell r="I2172">
            <v>0.3125</v>
          </cell>
          <cell r="J2172">
            <v>0.5625</v>
          </cell>
          <cell r="K2172">
            <v>5.6666666666666696</v>
          </cell>
          <cell r="L2172">
            <v>62.84</v>
          </cell>
          <cell r="O2172" t="str">
            <v>Y</v>
          </cell>
          <cell r="P2172" t="str">
            <v>N</v>
          </cell>
          <cell r="Q2172" t="str">
            <v>Under Established</v>
          </cell>
          <cell r="S2172">
            <v>0.15</v>
          </cell>
        </row>
        <row r="2173">
          <cell r="D2173">
            <v>1108000950</v>
          </cell>
          <cell r="E2173" t="str">
            <v>ELSIE CHIKUKWA</v>
          </cell>
          <cell r="F2173" t="str">
            <v>D (MD)</v>
          </cell>
          <cell r="G2173">
            <v>341599</v>
          </cell>
          <cell r="H2173" t="str">
            <v>Mayday</v>
          </cell>
          <cell r="I2173">
            <v>0.625</v>
          </cell>
          <cell r="J2173">
            <v>0.89583333333333337</v>
          </cell>
          <cell r="K2173">
            <v>6.1666666666666696</v>
          </cell>
          <cell r="L2173">
            <v>199.12</v>
          </cell>
          <cell r="O2173" t="str">
            <v>Y</v>
          </cell>
          <cell r="P2173" t="str">
            <v>N</v>
          </cell>
          <cell r="Q2173" t="str">
            <v>Short Term Sick</v>
          </cell>
          <cell r="S2173">
            <v>0.16</v>
          </cell>
        </row>
        <row r="2174">
          <cell r="D2174">
            <v>1008001396</v>
          </cell>
          <cell r="E2174" t="str">
            <v>EUNICE ADEBANJO</v>
          </cell>
          <cell r="F2174" t="str">
            <v>D (Ch)</v>
          </cell>
          <cell r="G2174">
            <v>17172</v>
          </cell>
          <cell r="H2174" t="str">
            <v>Choice</v>
          </cell>
          <cell r="I2174">
            <v>0.83333333333333337</v>
          </cell>
          <cell r="J2174">
            <v>0.33333333333333331</v>
          </cell>
          <cell r="K2174">
            <v>11.3333333333333</v>
          </cell>
          <cell r="L2174">
            <v>359.05</v>
          </cell>
          <cell r="O2174" t="str">
            <v>Y</v>
          </cell>
          <cell r="P2174" t="str">
            <v>N</v>
          </cell>
          <cell r="Q2174" t="str">
            <v>Vacancy</v>
          </cell>
          <cell r="S2174">
            <v>0.3</v>
          </cell>
        </row>
        <row r="2175">
          <cell r="D2175">
            <v>1108000459</v>
          </cell>
          <cell r="E2175" t="str">
            <v>FIONA DURKIN-GREER</v>
          </cell>
          <cell r="F2175" t="str">
            <v>D (MD)</v>
          </cell>
          <cell r="G2175">
            <v>341730</v>
          </cell>
          <cell r="H2175" t="str">
            <v>Mayday</v>
          </cell>
          <cell r="I2175">
            <v>0.3125</v>
          </cell>
          <cell r="J2175">
            <v>0.5625</v>
          </cell>
          <cell r="K2175">
            <v>5.6666666666666696</v>
          </cell>
          <cell r="L2175">
            <v>182.98</v>
          </cell>
          <cell r="O2175" t="str">
            <v>Y</v>
          </cell>
          <cell r="P2175" t="str">
            <v>N</v>
          </cell>
          <cell r="Q2175" t="str">
            <v>Vacancy</v>
          </cell>
          <cell r="S2175">
            <v>0.15</v>
          </cell>
        </row>
        <row r="2176">
          <cell r="D2176">
            <v>1008005397</v>
          </cell>
          <cell r="E2176" t="str">
            <v>JAKE BROOKES</v>
          </cell>
          <cell r="F2176" t="str">
            <v>D General (Orio</v>
          </cell>
          <cell r="G2176">
            <v>17973</v>
          </cell>
          <cell r="H2176" t="str">
            <v>Orion</v>
          </cell>
          <cell r="I2176">
            <v>0.33333333333333331</v>
          </cell>
          <cell r="J2176">
            <v>0.75</v>
          </cell>
          <cell r="K2176">
            <v>9.6666666666666696</v>
          </cell>
          <cell r="L2176">
            <v>175.16</v>
          </cell>
          <cell r="O2176" t="str">
            <v>Y</v>
          </cell>
          <cell r="P2176" t="str">
            <v>N</v>
          </cell>
          <cell r="Q2176" t="str">
            <v>Long Term Sick</v>
          </cell>
          <cell r="S2176">
            <v>0.26</v>
          </cell>
        </row>
        <row r="2177">
          <cell r="D2177">
            <v>1008003599</v>
          </cell>
          <cell r="E2177" t="str">
            <v>JASMINE ESGUERRA</v>
          </cell>
          <cell r="F2177" t="str">
            <v>D (Ch)</v>
          </cell>
          <cell r="H2177" t="str">
            <v>Choice</v>
          </cell>
          <cell r="I2177">
            <v>0.36458333333333331</v>
          </cell>
          <cell r="J2177">
            <v>0.66666666666666663</v>
          </cell>
          <cell r="K2177">
            <v>6.9166666666666696</v>
          </cell>
          <cell r="L2177">
            <v>168.56</v>
          </cell>
          <cell r="O2177" t="str">
            <v>Y</v>
          </cell>
          <cell r="P2177" t="str">
            <v>N</v>
          </cell>
          <cell r="Q2177" t="str">
            <v>Annual Leave</v>
          </cell>
          <cell r="S2177">
            <v>0.18</v>
          </cell>
        </row>
        <row r="2178">
          <cell r="D2178">
            <v>1108001101</v>
          </cell>
          <cell r="E2178" t="str">
            <v>JASMINE ESGUERRA</v>
          </cell>
          <cell r="F2178" t="str">
            <v>D (Ch)</v>
          </cell>
          <cell r="G2178">
            <v>17167</v>
          </cell>
          <cell r="H2178" t="str">
            <v>Choice</v>
          </cell>
          <cell r="I2178">
            <v>0.67708333333333337</v>
          </cell>
          <cell r="J2178">
            <v>0.85416666666666663</v>
          </cell>
          <cell r="K2178">
            <v>3.5</v>
          </cell>
          <cell r="L2178">
            <v>85.3</v>
          </cell>
          <cell r="O2178" t="str">
            <v>Y</v>
          </cell>
          <cell r="P2178" t="str">
            <v>N</v>
          </cell>
          <cell r="Q2178" t="str">
            <v>Vacancy</v>
          </cell>
          <cell r="S2178">
            <v>0.09</v>
          </cell>
        </row>
        <row r="2179">
          <cell r="D2179">
            <v>1108001164</v>
          </cell>
          <cell r="E2179" t="str">
            <v>JO BRADY</v>
          </cell>
          <cell r="F2179" t="str">
            <v>D (MD)</v>
          </cell>
          <cell r="H2179" t="str">
            <v>Mayday</v>
          </cell>
          <cell r="I2179">
            <v>0.3125</v>
          </cell>
          <cell r="J2179">
            <v>0.54166666666666663</v>
          </cell>
          <cell r="K2179">
            <v>5.5</v>
          </cell>
          <cell r="L2179">
            <v>177.59</v>
          </cell>
          <cell r="O2179" t="str">
            <v>Y</v>
          </cell>
          <cell r="P2179" t="str">
            <v>N</v>
          </cell>
          <cell r="Q2179" t="str">
            <v>On-Call</v>
          </cell>
          <cell r="S2179">
            <v>0.15</v>
          </cell>
        </row>
        <row r="2180">
          <cell r="D2180">
            <v>1008002880</v>
          </cell>
          <cell r="E2180" t="str">
            <v>JOANNA TAYLOR</v>
          </cell>
          <cell r="F2180" t="str">
            <v>5 Mental (Advan</v>
          </cell>
          <cell r="G2180">
            <v>1407088</v>
          </cell>
          <cell r="H2180" t="str">
            <v>Advantage</v>
          </cell>
          <cell r="I2180">
            <v>0.32291666666666669</v>
          </cell>
          <cell r="J2180">
            <v>0.57291666666666663</v>
          </cell>
          <cell r="K2180">
            <v>5.6666666666666696</v>
          </cell>
          <cell r="L2180">
            <v>100.3</v>
          </cell>
          <cell r="O2180" t="str">
            <v>Y</v>
          </cell>
          <cell r="P2180" t="str">
            <v>N</v>
          </cell>
          <cell r="Q2180" t="str">
            <v>Maternity Leave</v>
          </cell>
          <cell r="S2180">
            <v>0.15</v>
          </cell>
        </row>
        <row r="2181">
          <cell r="D2181">
            <v>1108001243</v>
          </cell>
          <cell r="E2181" t="str">
            <v>KATE GUTHRIE</v>
          </cell>
          <cell r="F2181" t="str">
            <v>5 General (Adva</v>
          </cell>
          <cell r="G2181">
            <v>1407087</v>
          </cell>
          <cell r="H2181" t="str">
            <v>Advantage</v>
          </cell>
          <cell r="I2181">
            <v>0.83333333333333337</v>
          </cell>
          <cell r="J2181">
            <v>0.33333333333333331</v>
          </cell>
          <cell r="K2181">
            <v>11.3333333333333</v>
          </cell>
          <cell r="L2181">
            <v>236.32</v>
          </cell>
          <cell r="O2181" t="str">
            <v>Y</v>
          </cell>
          <cell r="P2181" t="str">
            <v>N</v>
          </cell>
          <cell r="Q2181" t="str">
            <v>Extra Capacity</v>
          </cell>
          <cell r="S2181">
            <v>0.3</v>
          </cell>
        </row>
        <row r="2182">
          <cell r="D2182">
            <v>1108001030</v>
          </cell>
          <cell r="E2182" t="str">
            <v>LAURA SUMMERS</v>
          </cell>
          <cell r="F2182" t="str">
            <v>D Midwife (Amb)</v>
          </cell>
          <cell r="G2182">
            <v>754450</v>
          </cell>
          <cell r="H2182" t="str">
            <v>Ambition</v>
          </cell>
          <cell r="I2182">
            <v>0.30208333333333331</v>
          </cell>
          <cell r="J2182">
            <v>0.8125</v>
          </cell>
          <cell r="K2182">
            <v>10.75</v>
          </cell>
          <cell r="L2182">
            <v>551.26</v>
          </cell>
          <cell r="O2182" t="str">
            <v>Y</v>
          </cell>
          <cell r="P2182" t="str">
            <v>N</v>
          </cell>
          <cell r="Q2182" t="str">
            <v>Short Term Sick</v>
          </cell>
          <cell r="S2182">
            <v>0.28999999999999998</v>
          </cell>
        </row>
        <row r="2183">
          <cell r="D2183">
            <v>1108000570</v>
          </cell>
          <cell r="E2183" t="str">
            <v>LEONA CONTRERAS</v>
          </cell>
          <cell r="F2183" t="str">
            <v>D (MD)</v>
          </cell>
          <cell r="G2183">
            <v>341571</v>
          </cell>
          <cell r="H2183" t="str">
            <v>Mayday</v>
          </cell>
          <cell r="I2183">
            <v>0.625</v>
          </cell>
          <cell r="J2183">
            <v>0.90625</v>
          </cell>
          <cell r="K2183">
            <v>6.75</v>
          </cell>
          <cell r="L2183">
            <v>217.96</v>
          </cell>
          <cell r="O2183" t="str">
            <v>Y</v>
          </cell>
          <cell r="P2183" t="str">
            <v>N</v>
          </cell>
          <cell r="Q2183" t="str">
            <v>Vacancy</v>
          </cell>
          <cell r="S2183">
            <v>0.18</v>
          </cell>
        </row>
        <row r="2184">
          <cell r="D2184">
            <v>1108001145</v>
          </cell>
          <cell r="E2184" t="str">
            <v>LEONA CONTRERAS</v>
          </cell>
          <cell r="F2184" t="str">
            <v>D (MD)</v>
          </cell>
          <cell r="G2184">
            <v>341572</v>
          </cell>
          <cell r="H2184" t="str">
            <v>Mayday</v>
          </cell>
          <cell r="I2184">
            <v>0.3125</v>
          </cell>
          <cell r="J2184">
            <v>0.625</v>
          </cell>
          <cell r="K2184">
            <v>7.1666666666666696</v>
          </cell>
          <cell r="L2184">
            <v>231.41</v>
          </cell>
          <cell r="O2184" t="str">
            <v>Y</v>
          </cell>
          <cell r="P2184" t="str">
            <v>N</v>
          </cell>
          <cell r="Q2184" t="str">
            <v>Nurse Moved</v>
          </cell>
          <cell r="S2184">
            <v>0.19</v>
          </cell>
        </row>
        <row r="2185">
          <cell r="D2185">
            <v>1008004565</v>
          </cell>
          <cell r="E2185" t="str">
            <v>MERCY AFELE</v>
          </cell>
          <cell r="F2185" t="str">
            <v>D (MD)</v>
          </cell>
          <cell r="G2185">
            <v>341579</v>
          </cell>
          <cell r="H2185" t="str">
            <v>Mayday</v>
          </cell>
          <cell r="I2185">
            <v>0.58333333333333337</v>
          </cell>
          <cell r="J2185">
            <v>0.875</v>
          </cell>
          <cell r="K2185">
            <v>7</v>
          </cell>
          <cell r="L2185">
            <v>226.03</v>
          </cell>
          <cell r="O2185" t="str">
            <v>Y</v>
          </cell>
          <cell r="P2185" t="str">
            <v>N</v>
          </cell>
          <cell r="Q2185" t="str">
            <v>Vacancy</v>
          </cell>
          <cell r="S2185">
            <v>0.19</v>
          </cell>
        </row>
        <row r="2186">
          <cell r="D2186">
            <v>1108000981</v>
          </cell>
          <cell r="E2186" t="str">
            <v>MERCY AFELE</v>
          </cell>
          <cell r="F2186" t="str">
            <v>D (MD)</v>
          </cell>
          <cell r="G2186">
            <v>341578</v>
          </cell>
          <cell r="H2186" t="str">
            <v>Mayday</v>
          </cell>
          <cell r="I2186">
            <v>0.29166666666666669</v>
          </cell>
          <cell r="J2186">
            <v>0.54166666666666663</v>
          </cell>
          <cell r="K2186">
            <v>5.75</v>
          </cell>
          <cell r="L2186">
            <v>185.67</v>
          </cell>
          <cell r="O2186" t="str">
            <v>Y</v>
          </cell>
          <cell r="P2186" t="str">
            <v>N</v>
          </cell>
          <cell r="Q2186" t="str">
            <v>Short Term Sick</v>
          </cell>
          <cell r="S2186">
            <v>0.15</v>
          </cell>
        </row>
        <row r="2187">
          <cell r="D2187">
            <v>1008005596</v>
          </cell>
          <cell r="E2187" t="str">
            <v>MIHAELA CHIRIBAU</v>
          </cell>
          <cell r="F2187" t="str">
            <v>D (MD)</v>
          </cell>
          <cell r="G2187">
            <v>341386</v>
          </cell>
          <cell r="H2187" t="str">
            <v>Mayday</v>
          </cell>
          <cell r="I2187">
            <v>0.5625</v>
          </cell>
          <cell r="J2187">
            <v>0.875</v>
          </cell>
          <cell r="K2187">
            <v>7.1666666666666696</v>
          </cell>
          <cell r="L2187">
            <v>231.41</v>
          </cell>
          <cell r="O2187" t="str">
            <v>Y</v>
          </cell>
          <cell r="P2187" t="str">
            <v>N</v>
          </cell>
          <cell r="Q2187" t="str">
            <v>Vacancy</v>
          </cell>
          <cell r="S2187">
            <v>0.19</v>
          </cell>
        </row>
        <row r="2188">
          <cell r="D2188">
            <v>1108001246</v>
          </cell>
          <cell r="E2188" t="str">
            <v>NILO DANUGO</v>
          </cell>
          <cell r="F2188" t="str">
            <v>D (Ch)</v>
          </cell>
          <cell r="G2188">
            <v>17161</v>
          </cell>
          <cell r="H2188" t="str">
            <v>Choice</v>
          </cell>
          <cell r="I2188">
            <v>0.83333333333333337</v>
          </cell>
          <cell r="J2188">
            <v>0.33333333333333331</v>
          </cell>
          <cell r="K2188">
            <v>11.3333333333333</v>
          </cell>
          <cell r="L2188">
            <v>359.05</v>
          </cell>
          <cell r="O2188" t="str">
            <v>Y</v>
          </cell>
          <cell r="P2188" t="str">
            <v>N</v>
          </cell>
          <cell r="Q2188" t="str">
            <v>Extra Capacity</v>
          </cell>
          <cell r="S2188">
            <v>0.3</v>
          </cell>
        </row>
        <row r="2189">
          <cell r="D2189">
            <v>908006553</v>
          </cell>
          <cell r="E2189" t="str">
            <v>PAT DUBE</v>
          </cell>
          <cell r="F2189" t="str">
            <v>D (MD)</v>
          </cell>
          <cell r="G2189">
            <v>342992</v>
          </cell>
          <cell r="H2189" t="str">
            <v>Mayday</v>
          </cell>
          <cell r="I2189">
            <v>0.3125</v>
          </cell>
          <cell r="J2189">
            <v>0.58333333333333337</v>
          </cell>
          <cell r="K2189">
            <v>6.1666666666666696</v>
          </cell>
          <cell r="L2189">
            <v>199.12</v>
          </cell>
          <cell r="O2189" t="str">
            <v>Y</v>
          </cell>
          <cell r="P2189" t="str">
            <v>N</v>
          </cell>
          <cell r="Q2189" t="str">
            <v>Vacancy</v>
          </cell>
          <cell r="S2189">
            <v>0.16</v>
          </cell>
        </row>
        <row r="2190">
          <cell r="D2190">
            <v>908006555</v>
          </cell>
          <cell r="E2190" t="str">
            <v>PAT DUBE</v>
          </cell>
          <cell r="F2190" t="str">
            <v>D (MD)</v>
          </cell>
          <cell r="G2190">
            <v>342992</v>
          </cell>
          <cell r="H2190" t="str">
            <v>Mayday</v>
          </cell>
          <cell r="I2190">
            <v>0.625</v>
          </cell>
          <cell r="J2190">
            <v>0.85416666666666663</v>
          </cell>
          <cell r="K2190">
            <v>5.5</v>
          </cell>
          <cell r="L2190">
            <v>177.59</v>
          </cell>
          <cell r="O2190" t="str">
            <v>Y</v>
          </cell>
          <cell r="P2190" t="str">
            <v>N</v>
          </cell>
          <cell r="Q2190" t="str">
            <v>Vacancy</v>
          </cell>
          <cell r="S2190">
            <v>0.15</v>
          </cell>
        </row>
        <row r="2191">
          <cell r="D2191">
            <v>1108000575</v>
          </cell>
          <cell r="E2191" t="str">
            <v>PAT MUGABZA</v>
          </cell>
          <cell r="F2191" t="str">
            <v>A (Ch)</v>
          </cell>
          <cell r="G2191">
            <v>17176</v>
          </cell>
          <cell r="H2191" t="str">
            <v>Choice</v>
          </cell>
          <cell r="I2191">
            <v>0.29166666666666669</v>
          </cell>
          <cell r="J2191">
            <v>0.625</v>
          </cell>
          <cell r="K2191">
            <v>7.6666666666666696</v>
          </cell>
          <cell r="L2191">
            <v>85.02</v>
          </cell>
          <cell r="O2191" t="str">
            <v>Y</v>
          </cell>
          <cell r="P2191" t="str">
            <v>N</v>
          </cell>
          <cell r="Q2191" t="str">
            <v>Specials</v>
          </cell>
          <cell r="S2191">
            <v>0.2</v>
          </cell>
        </row>
        <row r="2192">
          <cell r="D2192">
            <v>1108000576</v>
          </cell>
          <cell r="E2192" t="str">
            <v>PAT MUGABZA</v>
          </cell>
          <cell r="F2192" t="str">
            <v>A (Ch)</v>
          </cell>
          <cell r="G2192">
            <v>17176</v>
          </cell>
          <cell r="H2192" t="str">
            <v>Choice</v>
          </cell>
          <cell r="I2192">
            <v>0.625</v>
          </cell>
          <cell r="J2192">
            <v>0.875</v>
          </cell>
          <cell r="K2192">
            <v>5.75</v>
          </cell>
          <cell r="L2192">
            <v>63.77</v>
          </cell>
          <cell r="O2192" t="str">
            <v>Y</v>
          </cell>
          <cell r="P2192" t="str">
            <v>N</v>
          </cell>
          <cell r="Q2192" t="str">
            <v>Specials</v>
          </cell>
          <cell r="S2192">
            <v>0.15</v>
          </cell>
        </row>
        <row r="2193">
          <cell r="D2193">
            <v>1008003583</v>
          </cell>
          <cell r="E2193" t="str">
            <v>PEGGY MAPOGO</v>
          </cell>
          <cell r="F2193" t="str">
            <v>D (Ch)</v>
          </cell>
          <cell r="H2193" t="str">
            <v>Choice</v>
          </cell>
          <cell r="I2193">
            <v>0.625</v>
          </cell>
          <cell r="J2193">
            <v>0.875</v>
          </cell>
          <cell r="K2193">
            <v>5.6666666666666696</v>
          </cell>
          <cell r="L2193">
            <v>138.1</v>
          </cell>
          <cell r="O2193" t="str">
            <v>Y</v>
          </cell>
          <cell r="P2193" t="str">
            <v>N</v>
          </cell>
          <cell r="Q2193" t="str">
            <v>Productive Ward</v>
          </cell>
          <cell r="S2193">
            <v>0.15</v>
          </cell>
        </row>
        <row r="2194">
          <cell r="D2194">
            <v>1108000454</v>
          </cell>
          <cell r="E2194" t="str">
            <v>PEGGY MAPOGO</v>
          </cell>
          <cell r="F2194" t="str">
            <v>D (Ch)</v>
          </cell>
          <cell r="G2194">
            <v>17168</v>
          </cell>
          <cell r="H2194" t="str">
            <v>Choice</v>
          </cell>
          <cell r="I2194">
            <v>0.3125</v>
          </cell>
          <cell r="J2194">
            <v>0.60416666666666663</v>
          </cell>
          <cell r="K2194">
            <v>6.6666666666666696</v>
          </cell>
          <cell r="L2194">
            <v>162.47</v>
          </cell>
          <cell r="O2194" t="str">
            <v>Y</v>
          </cell>
          <cell r="P2194" t="str">
            <v>N</v>
          </cell>
          <cell r="Q2194" t="str">
            <v>Extra Capacity</v>
          </cell>
          <cell r="S2194">
            <v>0.18</v>
          </cell>
        </row>
        <row r="2195">
          <cell r="D2195">
            <v>1108001162</v>
          </cell>
          <cell r="E2195" t="str">
            <v>PRICILLA SONO</v>
          </cell>
          <cell r="F2195" t="str">
            <v>D (MD)</v>
          </cell>
          <cell r="G2195">
            <v>341608</v>
          </cell>
          <cell r="H2195" t="str">
            <v>Mayday</v>
          </cell>
          <cell r="I2195">
            <v>0.3125</v>
          </cell>
          <cell r="J2195">
            <v>0.83333333333333337</v>
          </cell>
          <cell r="K2195">
            <v>11.8333333333333</v>
          </cell>
          <cell r="L2195">
            <v>382.1</v>
          </cell>
          <cell r="O2195" t="str">
            <v>Y</v>
          </cell>
          <cell r="P2195" t="str">
            <v>N</v>
          </cell>
          <cell r="Q2195" t="str">
            <v>Short Term Sick</v>
          </cell>
          <cell r="S2195">
            <v>0.32</v>
          </cell>
        </row>
        <row r="2196">
          <cell r="D2196">
            <v>1108001000</v>
          </cell>
          <cell r="E2196" t="str">
            <v>PRUDENCE MAJOZI</v>
          </cell>
          <cell r="F2196" t="str">
            <v>D (MD)</v>
          </cell>
          <cell r="G2196">
            <v>342014</v>
          </cell>
          <cell r="H2196" t="str">
            <v>Mayday</v>
          </cell>
          <cell r="I2196">
            <v>0.3125</v>
          </cell>
          <cell r="J2196">
            <v>0.58333333333333337</v>
          </cell>
          <cell r="K2196">
            <v>6</v>
          </cell>
          <cell r="L2196">
            <v>193.74</v>
          </cell>
          <cell r="O2196" t="str">
            <v>Y</v>
          </cell>
          <cell r="P2196" t="str">
            <v>N</v>
          </cell>
          <cell r="Q2196" t="str">
            <v>Short Term Sick</v>
          </cell>
          <cell r="S2196">
            <v>0.16</v>
          </cell>
        </row>
        <row r="2197">
          <cell r="D2197">
            <v>1008006453</v>
          </cell>
          <cell r="E2197" t="str">
            <v>RICCA PARADA</v>
          </cell>
          <cell r="F2197" t="str">
            <v>D (Ch)</v>
          </cell>
          <cell r="G2197">
            <v>17161</v>
          </cell>
          <cell r="H2197" t="str">
            <v>Choice</v>
          </cell>
          <cell r="I2197">
            <v>0.3125</v>
          </cell>
          <cell r="J2197">
            <v>0.85416666666666663</v>
          </cell>
          <cell r="K2197">
            <v>12.5</v>
          </cell>
          <cell r="L2197">
            <v>304.63</v>
          </cell>
          <cell r="O2197" t="str">
            <v>Y</v>
          </cell>
          <cell r="P2197" t="str">
            <v>N</v>
          </cell>
          <cell r="Q2197" t="str">
            <v>Under Established</v>
          </cell>
          <cell r="S2197">
            <v>0.33</v>
          </cell>
        </row>
        <row r="2198">
          <cell r="D2198">
            <v>1108001106</v>
          </cell>
          <cell r="E2198" t="str">
            <v>SAM KELEM</v>
          </cell>
          <cell r="F2198" t="str">
            <v>D (Ch)</v>
          </cell>
          <cell r="G2198">
            <v>17163</v>
          </cell>
          <cell r="H2198" t="str">
            <v>Choice</v>
          </cell>
          <cell r="I2198">
            <v>0.83333333333333337</v>
          </cell>
          <cell r="J2198">
            <v>0.33333333333333331</v>
          </cell>
          <cell r="K2198">
            <v>11.3333333333333</v>
          </cell>
          <cell r="L2198">
            <v>359.05</v>
          </cell>
          <cell r="O2198" t="str">
            <v>Y</v>
          </cell>
          <cell r="P2198" t="str">
            <v>N</v>
          </cell>
          <cell r="Q2198" t="str">
            <v>Extra Capacity</v>
          </cell>
          <cell r="S2198">
            <v>0.3</v>
          </cell>
        </row>
        <row r="2199">
          <cell r="D2199">
            <v>1108001244</v>
          </cell>
          <cell r="E2199" t="str">
            <v>SAMSON BARACENA</v>
          </cell>
          <cell r="F2199" t="str">
            <v>D (Ch)</v>
          </cell>
          <cell r="G2199">
            <v>17182</v>
          </cell>
          <cell r="H2199" t="str">
            <v>Choice</v>
          </cell>
          <cell r="I2199">
            <v>0.83333333333333337</v>
          </cell>
          <cell r="J2199">
            <v>0.33333333333333331</v>
          </cell>
          <cell r="K2199">
            <v>11.3333333333333</v>
          </cell>
          <cell r="L2199">
            <v>359.05</v>
          </cell>
          <cell r="O2199" t="str">
            <v>Y</v>
          </cell>
          <cell r="P2199" t="str">
            <v>N</v>
          </cell>
          <cell r="Q2199" t="str">
            <v>Extra Capacity</v>
          </cell>
          <cell r="S2199">
            <v>0.3</v>
          </cell>
        </row>
        <row r="2200">
          <cell r="D2200">
            <v>1008002266</v>
          </cell>
          <cell r="E2200" t="str">
            <v>TAEL MHANGO</v>
          </cell>
          <cell r="F2200" t="str">
            <v>D (Ch)</v>
          </cell>
          <cell r="G2200">
            <v>17160</v>
          </cell>
          <cell r="H2200" t="str">
            <v>Choice</v>
          </cell>
          <cell r="I2200">
            <v>0.88541666666666663</v>
          </cell>
          <cell r="J2200">
            <v>0.30208333333333331</v>
          </cell>
          <cell r="K2200">
            <v>9</v>
          </cell>
          <cell r="L2200">
            <v>285.13</v>
          </cell>
          <cell r="O2200" t="str">
            <v>Y</v>
          </cell>
          <cell r="P2200" t="str">
            <v>N</v>
          </cell>
          <cell r="Q2200" t="str">
            <v>Vacancy</v>
          </cell>
          <cell r="S2200">
            <v>0.24</v>
          </cell>
        </row>
        <row r="2201">
          <cell r="D2201">
            <v>1108000933</v>
          </cell>
          <cell r="E2201" t="str">
            <v>TAMBU JENA</v>
          </cell>
          <cell r="F2201" t="str">
            <v>D (Ch)</v>
          </cell>
          <cell r="G2201">
            <v>17172</v>
          </cell>
          <cell r="H2201" t="str">
            <v>Choice</v>
          </cell>
          <cell r="I2201">
            <v>0.29166666666666669</v>
          </cell>
          <cell r="J2201">
            <v>0.5625</v>
          </cell>
          <cell r="K2201">
            <v>6.1666666666666696</v>
          </cell>
          <cell r="L2201">
            <v>150.28</v>
          </cell>
          <cell r="O2201" t="str">
            <v>Y</v>
          </cell>
          <cell r="P2201" t="str">
            <v>N</v>
          </cell>
          <cell r="Q2201" t="str">
            <v>Vacancy</v>
          </cell>
          <cell r="S2201">
            <v>0.16</v>
          </cell>
        </row>
        <row r="2202">
          <cell r="D2202">
            <v>1108001039</v>
          </cell>
          <cell r="E2202" t="str">
            <v>TAMBU JENA</v>
          </cell>
          <cell r="F2202" t="str">
            <v>D (Ch)</v>
          </cell>
          <cell r="G2202">
            <v>17173</v>
          </cell>
          <cell r="H2202" t="str">
            <v>Choice</v>
          </cell>
          <cell r="I2202">
            <v>0.58333333333333337</v>
          </cell>
          <cell r="J2202">
            <v>0.83333333333333337</v>
          </cell>
          <cell r="K2202">
            <v>5.5</v>
          </cell>
          <cell r="L2202">
            <v>134.03</v>
          </cell>
          <cell r="O2202" t="str">
            <v>Y</v>
          </cell>
          <cell r="P2202" t="str">
            <v>N</v>
          </cell>
          <cell r="Q2202" t="str">
            <v>Short Term Sick</v>
          </cell>
          <cell r="S2202">
            <v>0.15</v>
          </cell>
        </row>
        <row r="2203">
          <cell r="D2203">
            <v>1108001126</v>
          </cell>
          <cell r="E2203" t="str">
            <v>TEMBE NGIDI</v>
          </cell>
          <cell r="F2203" t="str">
            <v>D (MD)</v>
          </cell>
          <cell r="H2203" t="str">
            <v>Mayday</v>
          </cell>
          <cell r="I2203">
            <v>0.82291666666666663</v>
          </cell>
          <cell r="J2203">
            <v>0.33333333333333331</v>
          </cell>
          <cell r="K2203">
            <v>11.5833333333333</v>
          </cell>
          <cell r="L2203">
            <v>486.23</v>
          </cell>
          <cell r="O2203" t="str">
            <v>Y</v>
          </cell>
          <cell r="P2203" t="str">
            <v>N</v>
          </cell>
          <cell r="Q2203" t="str">
            <v>Extra Capacity</v>
          </cell>
          <cell r="S2203">
            <v>0.31</v>
          </cell>
        </row>
        <row r="2204">
          <cell r="D2204">
            <v>1008006014</v>
          </cell>
          <cell r="E2204" t="str">
            <v>TOM OSBOURNE</v>
          </cell>
          <cell r="F2204" t="str">
            <v>D General (Orio</v>
          </cell>
          <cell r="G2204">
            <v>17938</v>
          </cell>
          <cell r="H2204" t="str">
            <v>Orion</v>
          </cell>
          <cell r="I2204">
            <v>0.33333333333333331</v>
          </cell>
          <cell r="J2204">
            <v>0.75</v>
          </cell>
          <cell r="K2204">
            <v>9.5</v>
          </cell>
          <cell r="L2204">
            <v>172.14</v>
          </cell>
          <cell r="O2204" t="str">
            <v>Y</v>
          </cell>
          <cell r="P2204" t="str">
            <v>N</v>
          </cell>
          <cell r="Q2204" t="str">
            <v>Vacancy</v>
          </cell>
          <cell r="S2204">
            <v>0.25</v>
          </cell>
        </row>
        <row r="2205">
          <cell r="D2205">
            <v>1108001113</v>
          </cell>
          <cell r="E2205" t="str">
            <v>ATINUKE OKE-OLATUNDE</v>
          </cell>
          <cell r="F2205" t="str">
            <v>D (MD)</v>
          </cell>
          <cell r="G2205">
            <v>344597</v>
          </cell>
          <cell r="H2205" t="str">
            <v>Mayday</v>
          </cell>
          <cell r="I2205">
            <v>0.83333333333333337</v>
          </cell>
          <cell r="J2205">
            <v>0.33333333333333331</v>
          </cell>
          <cell r="K2205">
            <v>11.3333333333333</v>
          </cell>
          <cell r="L2205">
            <v>475.74</v>
          </cell>
          <cell r="O2205" t="str">
            <v>Y</v>
          </cell>
          <cell r="P2205" t="str">
            <v>N</v>
          </cell>
          <cell r="Q2205" t="str">
            <v>Extra Capacity</v>
          </cell>
          <cell r="S2205">
            <v>0.3</v>
          </cell>
        </row>
        <row r="2206">
          <cell r="D2206">
            <v>1008006325</v>
          </cell>
          <cell r="E2206" t="str">
            <v>CARL HIBBERT</v>
          </cell>
          <cell r="F2206" t="str">
            <v>D (Ch)</v>
          </cell>
          <cell r="H2206" t="str">
            <v>Choice</v>
          </cell>
          <cell r="I2206">
            <v>0.875</v>
          </cell>
          <cell r="J2206">
            <v>0.32291666666666669</v>
          </cell>
          <cell r="K2206">
            <v>10</v>
          </cell>
          <cell r="L2206">
            <v>316.81</v>
          </cell>
          <cell r="O2206" t="str">
            <v>Y</v>
          </cell>
          <cell r="P2206" t="str">
            <v>N</v>
          </cell>
          <cell r="Q2206" t="str">
            <v>Specials</v>
          </cell>
          <cell r="S2206">
            <v>0.27</v>
          </cell>
        </row>
        <row r="2207">
          <cell r="D2207">
            <v>1108000716</v>
          </cell>
          <cell r="E2207" t="str">
            <v>DONALD YANZA</v>
          </cell>
          <cell r="F2207" t="str">
            <v>D (Ch)</v>
          </cell>
          <cell r="G2207">
            <v>17163</v>
          </cell>
          <cell r="H2207" t="str">
            <v>Choice</v>
          </cell>
          <cell r="I2207">
            <v>0.82291666666666663</v>
          </cell>
          <cell r="J2207">
            <v>0.33333333333333331</v>
          </cell>
          <cell r="K2207">
            <v>11.5833333333333</v>
          </cell>
          <cell r="L2207">
            <v>366.97</v>
          </cell>
          <cell r="O2207" t="str">
            <v>Y</v>
          </cell>
          <cell r="P2207" t="str">
            <v>N</v>
          </cell>
          <cell r="Q2207" t="str">
            <v>Extra Capacity</v>
          </cell>
          <cell r="S2207">
            <v>0.31</v>
          </cell>
        </row>
        <row r="2208">
          <cell r="D2208">
            <v>1108000717</v>
          </cell>
          <cell r="E2208" t="str">
            <v>EDMA ITALIA</v>
          </cell>
          <cell r="F2208" t="str">
            <v>D (Ch)</v>
          </cell>
          <cell r="H2208" t="str">
            <v>Choice</v>
          </cell>
          <cell r="I2208">
            <v>0.82291666666666663</v>
          </cell>
          <cell r="J2208">
            <v>0.33333333333333331</v>
          </cell>
          <cell r="K2208">
            <v>11.5833333333333</v>
          </cell>
          <cell r="L2208">
            <v>366.97</v>
          </cell>
          <cell r="O2208" t="str">
            <v>Y</v>
          </cell>
          <cell r="P2208" t="str">
            <v>N</v>
          </cell>
          <cell r="Q2208" t="str">
            <v>Extra Capacity</v>
          </cell>
          <cell r="S2208">
            <v>0.31</v>
          </cell>
        </row>
        <row r="2209">
          <cell r="D2209">
            <v>1108001071</v>
          </cell>
          <cell r="E2209" t="str">
            <v>JANE DUNSMURE</v>
          </cell>
          <cell r="F2209" t="str">
            <v>D/5 (PS)</v>
          </cell>
          <cell r="H2209" t="str">
            <v>Pinnacle Staffing</v>
          </cell>
          <cell r="I2209">
            <v>0.88541666666666663</v>
          </cell>
          <cell r="J2209">
            <v>0.3125</v>
          </cell>
          <cell r="K2209">
            <v>9.25</v>
          </cell>
          <cell r="L2209">
            <v>204.3</v>
          </cell>
          <cell r="O2209" t="str">
            <v>Y</v>
          </cell>
          <cell r="P2209" t="str">
            <v>N</v>
          </cell>
          <cell r="Q2209" t="str">
            <v>Short Term Sick</v>
          </cell>
          <cell r="S2209">
            <v>0.25</v>
          </cell>
        </row>
        <row r="2210">
          <cell r="D2210">
            <v>1108001066</v>
          </cell>
          <cell r="E2210" t="str">
            <v>JOANNE BUSS</v>
          </cell>
          <cell r="F2210" t="str">
            <v>D (MD)</v>
          </cell>
          <cell r="G2210">
            <v>341603</v>
          </cell>
          <cell r="H2210" t="str">
            <v>Mayday</v>
          </cell>
          <cell r="I2210">
            <v>0.32291666666666669</v>
          </cell>
          <cell r="J2210">
            <v>0.54166666666666663</v>
          </cell>
          <cell r="K2210">
            <v>5.25</v>
          </cell>
          <cell r="L2210">
            <v>220.38</v>
          </cell>
          <cell r="O2210" t="str">
            <v>Y</v>
          </cell>
          <cell r="P2210" t="str">
            <v>N</v>
          </cell>
          <cell r="Q2210" t="str">
            <v>Vacancy</v>
          </cell>
          <cell r="S2210">
            <v>0.14000000000000001</v>
          </cell>
        </row>
        <row r="2211">
          <cell r="D2211">
            <v>1108001112</v>
          </cell>
          <cell r="E2211" t="str">
            <v>KAREN STRUDWICK</v>
          </cell>
          <cell r="F2211" t="str">
            <v>D (Ch)</v>
          </cell>
          <cell r="G2211">
            <v>17163</v>
          </cell>
          <cell r="H2211" t="str">
            <v>Choice</v>
          </cell>
          <cell r="I2211">
            <v>0.83333333333333337</v>
          </cell>
          <cell r="J2211">
            <v>0.33333333333333331</v>
          </cell>
          <cell r="K2211">
            <v>11.3333333333333</v>
          </cell>
          <cell r="L2211">
            <v>359.05</v>
          </cell>
          <cell r="O2211" t="str">
            <v>Y</v>
          </cell>
          <cell r="P2211" t="str">
            <v>N</v>
          </cell>
          <cell r="Q2211" t="str">
            <v>Extra Capacity</v>
          </cell>
          <cell r="S2211">
            <v>0.3</v>
          </cell>
        </row>
        <row r="2212">
          <cell r="D2212">
            <v>1108001231</v>
          </cell>
          <cell r="E2212" t="str">
            <v>LAURA SUMMERS</v>
          </cell>
          <cell r="F2212" t="str">
            <v>D Midwife (Amb)</v>
          </cell>
          <cell r="G2212">
            <v>754449</v>
          </cell>
          <cell r="H2212" t="str">
            <v>Ambition</v>
          </cell>
          <cell r="I2212">
            <v>0.8125</v>
          </cell>
          <cell r="J2212">
            <v>0.33333333333333331</v>
          </cell>
          <cell r="K2212">
            <v>11.8333333333333</v>
          </cell>
          <cell r="L2212">
            <v>788.86</v>
          </cell>
          <cell r="O2212" t="str">
            <v>Y</v>
          </cell>
          <cell r="P2212" t="str">
            <v>N</v>
          </cell>
          <cell r="Q2212" t="str">
            <v>Short Term Sick</v>
          </cell>
          <cell r="S2212">
            <v>0.32</v>
          </cell>
        </row>
        <row r="2213">
          <cell r="D2213">
            <v>1108001332</v>
          </cell>
          <cell r="E2213" t="str">
            <v>MAVIS SIBANDA</v>
          </cell>
          <cell r="F2213" t="str">
            <v>D (Ch)</v>
          </cell>
          <cell r="H2213" t="str">
            <v>Choice</v>
          </cell>
          <cell r="I2213">
            <v>0.82291666666666663</v>
          </cell>
          <cell r="J2213">
            <v>0.34375</v>
          </cell>
          <cell r="K2213">
            <v>11.5</v>
          </cell>
          <cell r="L2213">
            <v>364.33</v>
          </cell>
          <cell r="O2213" t="str">
            <v>Y</v>
          </cell>
          <cell r="P2213" t="str">
            <v>N</v>
          </cell>
          <cell r="Q2213" t="str">
            <v>Vacancy</v>
          </cell>
          <cell r="S2213">
            <v>0.31</v>
          </cell>
        </row>
        <row r="2214">
          <cell r="D2214">
            <v>1108001108</v>
          </cell>
          <cell r="E2214" t="str">
            <v>MIRIAM NGWERUME</v>
          </cell>
          <cell r="F2214" t="str">
            <v>D (Ch)</v>
          </cell>
          <cell r="H2214" t="str">
            <v>Choice</v>
          </cell>
          <cell r="I2214">
            <v>0.3125</v>
          </cell>
          <cell r="J2214">
            <v>0.60416666666666663</v>
          </cell>
          <cell r="K2214">
            <v>6.6666666666666696</v>
          </cell>
          <cell r="L2214">
            <v>211.21</v>
          </cell>
          <cell r="O2214" t="str">
            <v>Y</v>
          </cell>
          <cell r="P2214" t="str">
            <v>N</v>
          </cell>
          <cell r="Q2214" t="str">
            <v>Extra Capacity</v>
          </cell>
          <cell r="S2214">
            <v>0.18</v>
          </cell>
        </row>
        <row r="2215">
          <cell r="D2215">
            <v>1108001110</v>
          </cell>
          <cell r="E2215" t="str">
            <v>MIRIAM NGWERUME</v>
          </cell>
          <cell r="F2215" t="str">
            <v>D (Ch)</v>
          </cell>
          <cell r="H2215" t="str">
            <v>Choice</v>
          </cell>
          <cell r="I2215">
            <v>0.60416666666666663</v>
          </cell>
          <cell r="J2215">
            <v>0.85416666666666663</v>
          </cell>
          <cell r="K2215">
            <v>5.6666666666666696</v>
          </cell>
          <cell r="L2215">
            <v>179.53</v>
          </cell>
          <cell r="O2215" t="str">
            <v>Y</v>
          </cell>
          <cell r="P2215" t="str">
            <v>N</v>
          </cell>
          <cell r="Q2215" t="str">
            <v>Extra Capacity</v>
          </cell>
          <cell r="S2215">
            <v>0.15</v>
          </cell>
        </row>
        <row r="2216">
          <cell r="D2216">
            <v>1108001109</v>
          </cell>
          <cell r="E2216" t="str">
            <v>PAT DUBE</v>
          </cell>
          <cell r="F2216" t="str">
            <v>D (MD)</v>
          </cell>
          <cell r="G2216">
            <v>342701</v>
          </cell>
          <cell r="H2216" t="str">
            <v>Mayday</v>
          </cell>
          <cell r="I2216">
            <v>0.3125</v>
          </cell>
          <cell r="J2216">
            <v>0.60416666666666663</v>
          </cell>
          <cell r="K2216">
            <v>6.6666666666666696</v>
          </cell>
          <cell r="L2216">
            <v>279.85000000000002</v>
          </cell>
          <cell r="O2216" t="str">
            <v>Y</v>
          </cell>
          <cell r="P2216" t="str">
            <v>N</v>
          </cell>
          <cell r="Q2216" t="str">
            <v>Extra Capacity</v>
          </cell>
          <cell r="S2216">
            <v>0.18</v>
          </cell>
        </row>
        <row r="2217">
          <cell r="D2217">
            <v>1108001111</v>
          </cell>
          <cell r="E2217" t="str">
            <v>PAT DUBE</v>
          </cell>
          <cell r="F2217" t="str">
            <v>D (MD)</v>
          </cell>
          <cell r="G2217">
            <v>342701</v>
          </cell>
          <cell r="H2217" t="str">
            <v>Mayday</v>
          </cell>
          <cell r="I2217">
            <v>0.60416666666666663</v>
          </cell>
          <cell r="J2217">
            <v>0.85416666666666663</v>
          </cell>
          <cell r="K2217">
            <v>5.6666666666666696</v>
          </cell>
          <cell r="L2217">
            <v>237.87</v>
          </cell>
          <cell r="O2217" t="str">
            <v>Y</v>
          </cell>
          <cell r="P2217" t="str">
            <v>N</v>
          </cell>
          <cell r="Q2217" t="str">
            <v>Extra Capacity</v>
          </cell>
          <cell r="S2217">
            <v>0.15</v>
          </cell>
        </row>
        <row r="2218">
          <cell r="D2218">
            <v>1108001248</v>
          </cell>
          <cell r="E2218" t="str">
            <v>PEGGY CHIRIKURE</v>
          </cell>
          <cell r="F2218" t="str">
            <v>D (Ch)</v>
          </cell>
          <cell r="G2218">
            <v>17182</v>
          </cell>
          <cell r="H2218" t="str">
            <v>Choice</v>
          </cell>
          <cell r="I2218">
            <v>0.3125</v>
          </cell>
          <cell r="J2218">
            <v>0.625</v>
          </cell>
          <cell r="K2218">
            <v>7.1666666666666696</v>
          </cell>
          <cell r="L2218">
            <v>227.05</v>
          </cell>
          <cell r="O2218" t="str">
            <v>Y</v>
          </cell>
          <cell r="P2218" t="str">
            <v>N</v>
          </cell>
          <cell r="Q2218" t="str">
            <v>Extra Capacity</v>
          </cell>
          <cell r="S2218">
            <v>0.19</v>
          </cell>
        </row>
        <row r="2219">
          <cell r="D2219">
            <v>1108001249</v>
          </cell>
          <cell r="E2219" t="str">
            <v>PEGGY CHIRIKURE</v>
          </cell>
          <cell r="F2219" t="str">
            <v>D (Ch)</v>
          </cell>
          <cell r="G2219">
            <v>17182</v>
          </cell>
          <cell r="H2219" t="str">
            <v>Choice</v>
          </cell>
          <cell r="I2219">
            <v>0.625</v>
          </cell>
          <cell r="J2219">
            <v>0.83333333333333337</v>
          </cell>
          <cell r="K2219">
            <v>5</v>
          </cell>
          <cell r="L2219">
            <v>158.41</v>
          </cell>
          <cell r="O2219" t="str">
            <v>Y</v>
          </cell>
          <cell r="P2219" t="str">
            <v>N</v>
          </cell>
          <cell r="Q2219" t="str">
            <v>Extra Capacity</v>
          </cell>
          <cell r="S2219">
            <v>0.13</v>
          </cell>
        </row>
        <row r="2220">
          <cell r="D2220">
            <v>1108001247</v>
          </cell>
          <cell r="E2220" t="str">
            <v>RICCA PARADA</v>
          </cell>
          <cell r="F2220" t="str">
            <v>D (Ch)</v>
          </cell>
          <cell r="G2220">
            <v>17182</v>
          </cell>
          <cell r="H2220" t="str">
            <v>Choice</v>
          </cell>
          <cell r="I2220">
            <v>0.3125</v>
          </cell>
          <cell r="J2220">
            <v>0.625</v>
          </cell>
          <cell r="K2220">
            <v>7.1666666666666696</v>
          </cell>
          <cell r="L2220">
            <v>227.05</v>
          </cell>
          <cell r="O2220" t="str">
            <v>Y</v>
          </cell>
          <cell r="P2220" t="str">
            <v>N</v>
          </cell>
          <cell r="Q2220" t="str">
            <v>Extra Capacity</v>
          </cell>
          <cell r="S2220">
            <v>0.19</v>
          </cell>
        </row>
        <row r="2221">
          <cell r="D2221">
            <v>1108001253</v>
          </cell>
          <cell r="E2221" t="str">
            <v>SAMSON BARACENA</v>
          </cell>
          <cell r="F2221" t="str">
            <v>D (Ch)</v>
          </cell>
          <cell r="H2221" t="str">
            <v>Choice</v>
          </cell>
          <cell r="I2221">
            <v>0.83333333333333337</v>
          </cell>
          <cell r="J2221">
            <v>0.33333333333333331</v>
          </cell>
          <cell r="K2221">
            <v>11.3333333333333</v>
          </cell>
          <cell r="L2221">
            <v>359.05</v>
          </cell>
          <cell r="O2221" t="str">
            <v>Y</v>
          </cell>
          <cell r="P2221" t="str">
            <v>N</v>
          </cell>
          <cell r="Q2221" t="str">
            <v>Extra Capacity</v>
          </cell>
          <cell r="S2221">
            <v>0.3</v>
          </cell>
        </row>
        <row r="2222">
          <cell r="D2222">
            <v>1108001252</v>
          </cell>
          <cell r="E2222" t="str">
            <v>VERLYN GANIR</v>
          </cell>
          <cell r="F2222" t="str">
            <v>D (Ch)</v>
          </cell>
          <cell r="G2222">
            <v>17182</v>
          </cell>
          <cell r="H2222" t="str">
            <v>Choice</v>
          </cell>
          <cell r="I2222">
            <v>0.83333333333333337</v>
          </cell>
          <cell r="J2222">
            <v>0.33333333333333331</v>
          </cell>
          <cell r="K2222">
            <v>11.3333333333333</v>
          </cell>
          <cell r="L2222">
            <v>359.05</v>
          </cell>
          <cell r="O2222" t="str">
            <v>Y</v>
          </cell>
          <cell r="P2222" t="str">
            <v>N</v>
          </cell>
          <cell r="Q2222" t="str">
            <v>Extra Capacity</v>
          </cell>
          <cell r="S2222">
            <v>0.3</v>
          </cell>
        </row>
        <row r="2223">
          <cell r="D2223">
            <v>1108001637</v>
          </cell>
          <cell r="E2223" t="str">
            <v>ALLI SUBRAMANIAM</v>
          </cell>
          <cell r="F2223" t="str">
            <v>D (MD)</v>
          </cell>
          <cell r="H2223" t="str">
            <v>Mayday</v>
          </cell>
          <cell r="I2223">
            <v>0.33333333333333331</v>
          </cell>
          <cell r="J2223">
            <v>0.45833333333333331</v>
          </cell>
          <cell r="K2223">
            <v>4</v>
          </cell>
          <cell r="L2223">
            <v>206.66</v>
          </cell>
          <cell r="O2223" t="str">
            <v>Y</v>
          </cell>
          <cell r="P2223" t="str">
            <v>N</v>
          </cell>
          <cell r="Q2223" t="str">
            <v>On-Call</v>
          </cell>
          <cell r="S2223">
            <v>0.11</v>
          </cell>
        </row>
        <row r="2224">
          <cell r="D2224">
            <v>1108001638</v>
          </cell>
          <cell r="E2224" t="str">
            <v>ALLI SUBRAMANIAM</v>
          </cell>
          <cell r="F2224" t="str">
            <v>D (MD)</v>
          </cell>
          <cell r="H2224" t="str">
            <v>Mayday</v>
          </cell>
          <cell r="I2224">
            <v>0.58333333333333337</v>
          </cell>
          <cell r="J2224">
            <v>0.85416666666666663</v>
          </cell>
          <cell r="K2224">
            <v>5.6666666666666696</v>
          </cell>
          <cell r="L2224">
            <v>292.76</v>
          </cell>
          <cell r="O2224" t="str">
            <v>Y</v>
          </cell>
          <cell r="P2224" t="str">
            <v>N</v>
          </cell>
          <cell r="Q2224" t="str">
            <v>On-Call</v>
          </cell>
          <cell r="S2224">
            <v>0.15</v>
          </cell>
        </row>
        <row r="2225">
          <cell r="D2225">
            <v>1008002066</v>
          </cell>
          <cell r="E2225" t="str">
            <v>ANNA BONNERUP</v>
          </cell>
          <cell r="F2225" t="str">
            <v>D / 5 General (</v>
          </cell>
          <cell r="H2225" t="str">
            <v>Blue Arrow</v>
          </cell>
          <cell r="I2225">
            <v>0.3125</v>
          </cell>
          <cell r="J2225">
            <v>0.54166666666666663</v>
          </cell>
          <cell r="K2225">
            <v>5.5</v>
          </cell>
          <cell r="L2225">
            <v>148.54</v>
          </cell>
          <cell r="O2225" t="str">
            <v>Y</v>
          </cell>
          <cell r="P2225" t="str">
            <v>N</v>
          </cell>
          <cell r="Q2225" t="str">
            <v>Vacancy</v>
          </cell>
          <cell r="S2225">
            <v>0.15</v>
          </cell>
        </row>
        <row r="2226">
          <cell r="D2226">
            <v>1108001255</v>
          </cell>
          <cell r="E2226" t="str">
            <v>BIDDY CHAFESUKA</v>
          </cell>
          <cell r="F2226" t="str">
            <v>D (Ch)</v>
          </cell>
          <cell r="G2226">
            <v>17182</v>
          </cell>
          <cell r="H2226" t="str">
            <v>Choice</v>
          </cell>
          <cell r="I2226">
            <v>0.3125</v>
          </cell>
          <cell r="J2226">
            <v>0.625</v>
          </cell>
          <cell r="K2226">
            <v>7.1666666666666696</v>
          </cell>
          <cell r="L2226">
            <v>279.44</v>
          </cell>
          <cell r="O2226" t="str">
            <v>Y</v>
          </cell>
          <cell r="P2226" t="str">
            <v>N</v>
          </cell>
          <cell r="Q2226" t="str">
            <v>Extra Capacity</v>
          </cell>
          <cell r="S2226">
            <v>0.19</v>
          </cell>
        </row>
        <row r="2227">
          <cell r="D2227">
            <v>1108001256</v>
          </cell>
          <cell r="E2227" t="str">
            <v>BIDDY CHAFESUKA</v>
          </cell>
          <cell r="F2227" t="str">
            <v>D (Ch)</v>
          </cell>
          <cell r="G2227">
            <v>17182</v>
          </cell>
          <cell r="H2227" t="str">
            <v>Choice</v>
          </cell>
          <cell r="I2227">
            <v>0.625</v>
          </cell>
          <cell r="J2227">
            <v>0.83333333333333337</v>
          </cell>
          <cell r="K2227">
            <v>5</v>
          </cell>
          <cell r="L2227">
            <v>194.96</v>
          </cell>
          <cell r="O2227" t="str">
            <v>Y</v>
          </cell>
          <cell r="P2227" t="str">
            <v>N</v>
          </cell>
          <cell r="Q2227" t="str">
            <v>Extra Capacity</v>
          </cell>
          <cell r="S2227">
            <v>0.13</v>
          </cell>
        </row>
        <row r="2228">
          <cell r="D2228">
            <v>1108001118</v>
          </cell>
          <cell r="E2228" t="str">
            <v>CARL HIBBERT</v>
          </cell>
          <cell r="F2228" t="str">
            <v>D (Ch)</v>
          </cell>
          <cell r="G2228">
            <v>17238</v>
          </cell>
          <cell r="H2228" t="str">
            <v>Choice</v>
          </cell>
          <cell r="I2228">
            <v>0.83333333333333337</v>
          </cell>
          <cell r="J2228">
            <v>0.33333333333333331</v>
          </cell>
          <cell r="K2228">
            <v>11.3333333333333</v>
          </cell>
          <cell r="L2228">
            <v>441.91</v>
          </cell>
          <cell r="O2228" t="str">
            <v>Y</v>
          </cell>
          <cell r="P2228" t="str">
            <v>N</v>
          </cell>
          <cell r="Q2228" t="str">
            <v>Extra Capacity</v>
          </cell>
          <cell r="S2228">
            <v>0.3</v>
          </cell>
        </row>
        <row r="2229">
          <cell r="D2229">
            <v>1008001027</v>
          </cell>
          <cell r="E2229" t="str">
            <v>CHRIS STULAR</v>
          </cell>
          <cell r="F2229" t="str">
            <v>D General (Orio</v>
          </cell>
          <cell r="G2229">
            <v>17917</v>
          </cell>
          <cell r="H2229" t="str">
            <v>Orion</v>
          </cell>
          <cell r="I2229">
            <v>0.875</v>
          </cell>
          <cell r="J2229">
            <v>0.33333333333333331</v>
          </cell>
          <cell r="K2229">
            <v>10</v>
          </cell>
          <cell r="L2229">
            <v>289.92</v>
          </cell>
          <cell r="O2229" t="str">
            <v>Y</v>
          </cell>
          <cell r="P2229" t="str">
            <v>N</v>
          </cell>
          <cell r="Q2229" t="str">
            <v>Backfill</v>
          </cell>
          <cell r="S2229">
            <v>0.27</v>
          </cell>
        </row>
        <row r="2230">
          <cell r="D2230">
            <v>1108001726</v>
          </cell>
          <cell r="E2230" t="str">
            <v>DEBBIE HARRIS</v>
          </cell>
          <cell r="F2230" t="str">
            <v>D (MD)</v>
          </cell>
          <cell r="G2230">
            <v>342959</v>
          </cell>
          <cell r="H2230" t="str">
            <v>Mayday</v>
          </cell>
          <cell r="I2230">
            <v>0.8125</v>
          </cell>
          <cell r="J2230">
            <v>0.33333333333333331</v>
          </cell>
          <cell r="K2230">
            <v>11.8333333333333</v>
          </cell>
          <cell r="L2230">
            <v>611.36</v>
          </cell>
          <cell r="O2230" t="str">
            <v>Y</v>
          </cell>
          <cell r="P2230" t="str">
            <v>N</v>
          </cell>
          <cell r="Q2230" t="str">
            <v>Short Term Sick</v>
          </cell>
          <cell r="S2230">
            <v>0.32</v>
          </cell>
        </row>
        <row r="2231">
          <cell r="D2231">
            <v>1108001115</v>
          </cell>
          <cell r="E2231" t="str">
            <v>DIGRACIA  NAPE</v>
          </cell>
          <cell r="F2231" t="str">
            <v>D (MD)</v>
          </cell>
          <cell r="G2231">
            <v>340888</v>
          </cell>
          <cell r="H2231" t="str">
            <v>Mayday</v>
          </cell>
          <cell r="I2231">
            <v>0.3125</v>
          </cell>
          <cell r="J2231">
            <v>0.60416666666666663</v>
          </cell>
          <cell r="K2231">
            <v>6.6666666666666696</v>
          </cell>
          <cell r="L2231">
            <v>344.43</v>
          </cell>
          <cell r="O2231" t="str">
            <v>Y</v>
          </cell>
          <cell r="P2231" t="str">
            <v>N</v>
          </cell>
          <cell r="Q2231" t="str">
            <v>Extra Capacity</v>
          </cell>
          <cell r="S2231">
            <v>0.18</v>
          </cell>
        </row>
        <row r="2232">
          <cell r="D2232">
            <v>1108001117</v>
          </cell>
          <cell r="E2232" t="str">
            <v>DIGRACIA  NAPE</v>
          </cell>
          <cell r="F2232" t="str">
            <v>D (MD)</v>
          </cell>
          <cell r="G2232">
            <v>340888</v>
          </cell>
          <cell r="H2232" t="str">
            <v>Mayday</v>
          </cell>
          <cell r="I2232">
            <v>0.60416666666666663</v>
          </cell>
          <cell r="J2232">
            <v>0.85416666666666663</v>
          </cell>
          <cell r="K2232">
            <v>5.6666666666666696</v>
          </cell>
          <cell r="L2232">
            <v>292.76</v>
          </cell>
          <cell r="O2232" t="str">
            <v>Y</v>
          </cell>
          <cell r="P2232" t="str">
            <v>N</v>
          </cell>
          <cell r="Q2232" t="str">
            <v>Extra Capacity</v>
          </cell>
          <cell r="S2232">
            <v>0.15</v>
          </cell>
        </row>
        <row r="2233">
          <cell r="D2233">
            <v>1008006887</v>
          </cell>
          <cell r="E2233" t="str">
            <v>DONALD YANZA</v>
          </cell>
          <cell r="F2233" t="str">
            <v>D (Ch)</v>
          </cell>
          <cell r="G2233">
            <v>17177</v>
          </cell>
          <cell r="H2233" t="str">
            <v>Choice</v>
          </cell>
          <cell r="I2233">
            <v>0.83333333333333337</v>
          </cell>
          <cell r="J2233">
            <v>0.33333333333333331</v>
          </cell>
          <cell r="K2233">
            <v>11.3333333333333</v>
          </cell>
          <cell r="L2233">
            <v>441.91</v>
          </cell>
          <cell r="O2233" t="str">
            <v>Y</v>
          </cell>
          <cell r="P2233" t="str">
            <v>N</v>
          </cell>
          <cell r="Q2233" t="str">
            <v>Under Established</v>
          </cell>
          <cell r="S2233">
            <v>0.3</v>
          </cell>
        </row>
        <row r="2234">
          <cell r="D2234">
            <v>1008001398</v>
          </cell>
          <cell r="E2234" t="str">
            <v>EUNICE ADEBANJO</v>
          </cell>
          <cell r="F2234" t="str">
            <v>D (Ch)</v>
          </cell>
          <cell r="G2234">
            <v>17172</v>
          </cell>
          <cell r="H2234" t="str">
            <v>Choice</v>
          </cell>
          <cell r="I2234">
            <v>0.83333333333333337</v>
          </cell>
          <cell r="J2234">
            <v>0.33333333333333331</v>
          </cell>
          <cell r="K2234">
            <v>11.3333333333333</v>
          </cell>
          <cell r="L2234">
            <v>441.91</v>
          </cell>
          <cell r="O2234" t="str">
            <v>Y</v>
          </cell>
          <cell r="P2234" t="str">
            <v>N</v>
          </cell>
          <cell r="Q2234" t="str">
            <v>Vacancy</v>
          </cell>
          <cell r="S2234">
            <v>0.3</v>
          </cell>
        </row>
        <row r="2235">
          <cell r="D2235">
            <v>1108001260</v>
          </cell>
          <cell r="E2235" t="str">
            <v>GLENDA RONA</v>
          </cell>
          <cell r="F2235" t="str">
            <v>D (Ch)</v>
          </cell>
          <cell r="G2235">
            <v>17182</v>
          </cell>
          <cell r="H2235" t="str">
            <v>Choice</v>
          </cell>
          <cell r="I2235">
            <v>0.83333333333333337</v>
          </cell>
          <cell r="J2235">
            <v>0.33333333333333331</v>
          </cell>
          <cell r="K2235">
            <v>11.3333333333333</v>
          </cell>
          <cell r="L2235">
            <v>441.91</v>
          </cell>
          <cell r="O2235" t="str">
            <v>Y</v>
          </cell>
          <cell r="P2235" t="str">
            <v>N</v>
          </cell>
          <cell r="Q2235" t="str">
            <v>Extra Capacity</v>
          </cell>
          <cell r="S2235">
            <v>0.3</v>
          </cell>
        </row>
        <row r="2236">
          <cell r="D2236">
            <v>908006530</v>
          </cell>
          <cell r="E2236" t="str">
            <v>JANE DUNSMURE</v>
          </cell>
          <cell r="F2236" t="str">
            <v>D/5 (PS)</v>
          </cell>
          <cell r="H2236" t="str">
            <v>Pinnacle Staffing</v>
          </cell>
          <cell r="I2236">
            <v>0.83333333333333337</v>
          </cell>
          <cell r="J2236">
            <v>0.33333333333333331</v>
          </cell>
          <cell r="K2236">
            <v>11.3333333333333</v>
          </cell>
          <cell r="L2236">
            <v>308.08999999999997</v>
          </cell>
          <cell r="O2236" t="str">
            <v>Y</v>
          </cell>
          <cell r="P2236" t="str">
            <v>N</v>
          </cell>
          <cell r="Q2236" t="str">
            <v>Vacancy</v>
          </cell>
          <cell r="S2236">
            <v>0.3</v>
          </cell>
        </row>
        <row r="2237">
          <cell r="D2237">
            <v>1108001258</v>
          </cell>
          <cell r="E2237" t="str">
            <v>JASMINE ESGUERRA</v>
          </cell>
          <cell r="F2237" t="str">
            <v>D (Ch)</v>
          </cell>
          <cell r="G2237">
            <v>17182</v>
          </cell>
          <cell r="H2237" t="str">
            <v>Choice</v>
          </cell>
          <cell r="I2237">
            <v>0.83333333333333337</v>
          </cell>
          <cell r="J2237">
            <v>0.33333333333333331</v>
          </cell>
          <cell r="K2237">
            <v>11.3333333333333</v>
          </cell>
          <cell r="L2237">
            <v>441.91</v>
          </cell>
          <cell r="O2237" t="str">
            <v>Y</v>
          </cell>
          <cell r="P2237" t="str">
            <v>N</v>
          </cell>
          <cell r="Q2237" t="str">
            <v>Extra Capacity</v>
          </cell>
          <cell r="S2237">
            <v>0.3</v>
          </cell>
        </row>
        <row r="2238">
          <cell r="D2238">
            <v>1108001127</v>
          </cell>
          <cell r="E2238" t="str">
            <v>MAVIS SIBANDA</v>
          </cell>
          <cell r="F2238" t="str">
            <v>D (Ch)</v>
          </cell>
          <cell r="H2238" t="str">
            <v>Choice</v>
          </cell>
          <cell r="I2238">
            <v>0.82291666666666663</v>
          </cell>
          <cell r="J2238">
            <v>0.33333333333333331</v>
          </cell>
          <cell r="K2238">
            <v>11.5833333333333</v>
          </cell>
          <cell r="L2238">
            <v>451.66</v>
          </cell>
          <cell r="O2238" t="str">
            <v>Y</v>
          </cell>
          <cell r="P2238" t="str">
            <v>N</v>
          </cell>
          <cell r="Q2238" t="str">
            <v>Extra Capacity</v>
          </cell>
          <cell r="S2238">
            <v>0.31</v>
          </cell>
        </row>
        <row r="2239">
          <cell r="D2239">
            <v>1108001114</v>
          </cell>
          <cell r="E2239" t="str">
            <v>MIRIAM NGWERUME</v>
          </cell>
          <cell r="F2239" t="str">
            <v>D (Ch)</v>
          </cell>
          <cell r="H2239" t="str">
            <v>Choice</v>
          </cell>
          <cell r="I2239">
            <v>0.3125</v>
          </cell>
          <cell r="J2239">
            <v>0.60416666666666663</v>
          </cell>
          <cell r="K2239">
            <v>6.6666666666666696</v>
          </cell>
          <cell r="L2239">
            <v>259.95</v>
          </cell>
          <cell r="O2239" t="str">
            <v>Y</v>
          </cell>
          <cell r="P2239" t="str">
            <v>N</v>
          </cell>
          <cell r="Q2239" t="str">
            <v>Extra Capacity</v>
          </cell>
          <cell r="S2239">
            <v>0.18</v>
          </cell>
        </row>
        <row r="2240">
          <cell r="D2240">
            <v>1108001116</v>
          </cell>
          <cell r="E2240" t="str">
            <v>MIRIAM NGWERUME</v>
          </cell>
          <cell r="F2240" t="str">
            <v>D (Ch)</v>
          </cell>
          <cell r="H2240" t="str">
            <v>Choice</v>
          </cell>
          <cell r="I2240">
            <v>0.60416666666666663</v>
          </cell>
          <cell r="J2240">
            <v>0.85416666666666663</v>
          </cell>
          <cell r="K2240">
            <v>5.6666666666666696</v>
          </cell>
          <cell r="L2240">
            <v>220.95</v>
          </cell>
          <cell r="O2240" t="str">
            <v>Y</v>
          </cell>
          <cell r="P2240" t="str">
            <v>N</v>
          </cell>
          <cell r="Q2240" t="str">
            <v>Extra Capacity</v>
          </cell>
          <cell r="S2240">
            <v>0.15</v>
          </cell>
        </row>
        <row r="2241">
          <cell r="D2241">
            <v>1108001259</v>
          </cell>
          <cell r="E2241" t="str">
            <v>NILO DANUGO</v>
          </cell>
          <cell r="F2241" t="str">
            <v>D (Ch)</v>
          </cell>
          <cell r="G2241">
            <v>17161</v>
          </cell>
          <cell r="H2241" t="str">
            <v>Choice</v>
          </cell>
          <cell r="I2241">
            <v>0.83333333333333337</v>
          </cell>
          <cell r="J2241">
            <v>0.33333333333333331</v>
          </cell>
          <cell r="K2241">
            <v>11.3333333333333</v>
          </cell>
          <cell r="L2241">
            <v>441.91</v>
          </cell>
          <cell r="O2241" t="str">
            <v>Y</v>
          </cell>
          <cell r="P2241" t="str">
            <v>N</v>
          </cell>
          <cell r="Q2241" t="str">
            <v>Extra Capacity</v>
          </cell>
          <cell r="S2241">
            <v>0.3</v>
          </cell>
        </row>
        <row r="2242">
          <cell r="D2242">
            <v>1108000760</v>
          </cell>
          <cell r="E2242" t="str">
            <v>PEGGY CHIRIKURE</v>
          </cell>
          <cell r="F2242" t="str">
            <v>D (Ch)</v>
          </cell>
          <cell r="G2242">
            <v>17516</v>
          </cell>
          <cell r="H2242" t="str">
            <v>Choice</v>
          </cell>
          <cell r="I2242">
            <v>0.29166666666666669</v>
          </cell>
          <cell r="J2242">
            <v>0.79166666666666663</v>
          </cell>
          <cell r="K2242">
            <v>11.3333333333333</v>
          </cell>
          <cell r="L2242">
            <v>441.91</v>
          </cell>
          <cell r="O2242" t="str">
            <v>Y</v>
          </cell>
          <cell r="P2242" t="str">
            <v>N</v>
          </cell>
          <cell r="Q2242" t="str">
            <v>Extra Capacity</v>
          </cell>
          <cell r="S2242">
            <v>0.3</v>
          </cell>
        </row>
        <row r="2243">
          <cell r="D2243">
            <v>1008006885</v>
          </cell>
          <cell r="E2243" t="str">
            <v>RAYMOND TEKILE</v>
          </cell>
          <cell r="F2243" t="str">
            <v>D (Ch)</v>
          </cell>
          <cell r="G2243">
            <v>17177</v>
          </cell>
          <cell r="H2243" t="str">
            <v>Choice</v>
          </cell>
          <cell r="I2243">
            <v>0.83333333333333337</v>
          </cell>
          <cell r="J2243">
            <v>0.33333333333333331</v>
          </cell>
          <cell r="K2243">
            <v>11.3333333333333</v>
          </cell>
          <cell r="L2243">
            <v>441.91</v>
          </cell>
          <cell r="O2243" t="str">
            <v>Y</v>
          </cell>
          <cell r="P2243" t="str">
            <v>N</v>
          </cell>
          <cell r="Q2243" t="str">
            <v>Under Established</v>
          </cell>
          <cell r="S2243">
            <v>0.3</v>
          </cell>
        </row>
        <row r="2244">
          <cell r="D2244">
            <v>1108001254</v>
          </cell>
          <cell r="E2244" t="str">
            <v>RICCA PARADA</v>
          </cell>
          <cell r="F2244" t="str">
            <v>D (Ch)</v>
          </cell>
          <cell r="G2244">
            <v>17182</v>
          </cell>
          <cell r="H2244" t="str">
            <v>Choice</v>
          </cell>
          <cell r="I2244">
            <v>0.3125</v>
          </cell>
          <cell r="J2244">
            <v>0.625</v>
          </cell>
          <cell r="K2244">
            <v>7.1666666666666696</v>
          </cell>
          <cell r="L2244">
            <v>279.44</v>
          </cell>
          <cell r="O2244" t="str">
            <v>Y</v>
          </cell>
          <cell r="P2244" t="str">
            <v>N</v>
          </cell>
          <cell r="Q2244" t="str">
            <v>Extra Capacity</v>
          </cell>
          <cell r="S2244">
            <v>0.19</v>
          </cell>
        </row>
        <row r="2245">
          <cell r="D2245">
            <v>1108001128</v>
          </cell>
          <cell r="E2245" t="str">
            <v>TAEL MHANGO</v>
          </cell>
          <cell r="F2245" t="str">
            <v>D (Ch)</v>
          </cell>
          <cell r="H2245" t="str">
            <v>Choice</v>
          </cell>
          <cell r="I2245">
            <v>0.82291666666666663</v>
          </cell>
          <cell r="J2245">
            <v>0.33333333333333331</v>
          </cell>
          <cell r="K2245">
            <v>11.5833333333333</v>
          </cell>
          <cell r="L2245">
            <v>451.66</v>
          </cell>
          <cell r="O2245" t="str">
            <v>Y</v>
          </cell>
          <cell r="P2245" t="str">
            <v>N</v>
          </cell>
          <cell r="Q2245" t="str">
            <v>Extra Capacity</v>
          </cell>
          <cell r="S2245">
            <v>0.31</v>
          </cell>
        </row>
        <row r="2246">
          <cell r="D2246">
            <v>1108000935</v>
          </cell>
          <cell r="E2246" t="str">
            <v>TAMBU JENA</v>
          </cell>
          <cell r="F2246" t="str">
            <v>D (Ch)</v>
          </cell>
          <cell r="G2246">
            <v>17170</v>
          </cell>
          <cell r="H2246" t="str">
            <v>Choice</v>
          </cell>
          <cell r="I2246">
            <v>0.3125</v>
          </cell>
          <cell r="J2246">
            <v>0.54166666666666663</v>
          </cell>
          <cell r="K2246">
            <v>5.5</v>
          </cell>
          <cell r="L2246">
            <v>214.46</v>
          </cell>
          <cell r="O2246" t="str">
            <v>Y</v>
          </cell>
          <cell r="P2246" t="str">
            <v>N</v>
          </cell>
          <cell r="Q2246" t="str">
            <v>Vacancy</v>
          </cell>
          <cell r="S2246">
            <v>0.15</v>
          </cell>
        </row>
        <row r="2247">
          <cell r="D2247">
            <v>1008001405</v>
          </cell>
          <cell r="E2247" t="str">
            <v>TERRY MANWAIRE</v>
          </cell>
          <cell r="F2247" t="str">
            <v>D (Ch)</v>
          </cell>
          <cell r="H2247" t="str">
            <v>Choice</v>
          </cell>
          <cell r="I2247">
            <v>0.83333333333333337</v>
          </cell>
          <cell r="J2247">
            <v>0.33333333333333331</v>
          </cell>
          <cell r="K2247">
            <v>11.3333333333333</v>
          </cell>
          <cell r="L2247">
            <v>441.91</v>
          </cell>
          <cell r="O2247" t="str">
            <v>Y</v>
          </cell>
          <cell r="P2247" t="str">
            <v>N</v>
          </cell>
          <cell r="Q2247" t="str">
            <v>Vacancy</v>
          </cell>
          <cell r="S2247">
            <v>0.3</v>
          </cell>
        </row>
        <row r="2248">
          <cell r="D2248">
            <v>1108001904</v>
          </cell>
          <cell r="E2248" t="str">
            <v>ARLENA RUBEN</v>
          </cell>
          <cell r="F2248" t="str">
            <v>D (MD)</v>
          </cell>
          <cell r="G2248">
            <v>342983</v>
          </cell>
          <cell r="H2248" t="str">
            <v>Mayday</v>
          </cell>
          <cell r="I2248">
            <v>0.625</v>
          </cell>
          <cell r="J2248">
            <v>0.875</v>
          </cell>
          <cell r="K2248">
            <v>5.75</v>
          </cell>
          <cell r="L2248">
            <v>185.67</v>
          </cell>
          <cell r="O2248" t="str">
            <v>Y</v>
          </cell>
          <cell r="P2248" t="str">
            <v>N</v>
          </cell>
          <cell r="Q2248" t="str">
            <v>Specials</v>
          </cell>
          <cell r="S2248">
            <v>0.15</v>
          </cell>
        </row>
        <row r="2249">
          <cell r="D2249">
            <v>1108001265</v>
          </cell>
          <cell r="E2249" t="str">
            <v>BRIGHTNESS NDEBELE</v>
          </cell>
          <cell r="F2249" t="str">
            <v>D (MD)</v>
          </cell>
          <cell r="G2249">
            <v>342977</v>
          </cell>
          <cell r="H2249" t="str">
            <v>Mayday</v>
          </cell>
          <cell r="I2249">
            <v>0.70833333333333337</v>
          </cell>
          <cell r="J2249">
            <v>0.875</v>
          </cell>
          <cell r="K2249">
            <v>4</v>
          </cell>
          <cell r="L2249">
            <v>167.91</v>
          </cell>
          <cell r="O2249" t="str">
            <v>Y</v>
          </cell>
          <cell r="P2249" t="str">
            <v>N</v>
          </cell>
          <cell r="Q2249" t="str">
            <v>Extra Capacity</v>
          </cell>
          <cell r="S2249">
            <v>0.11</v>
          </cell>
        </row>
        <row r="2250">
          <cell r="D2250">
            <v>1008001028</v>
          </cell>
          <cell r="E2250" t="str">
            <v>CHRIS STULAR</v>
          </cell>
          <cell r="F2250" t="str">
            <v>D General (Orio</v>
          </cell>
          <cell r="G2250" t="str">
            <v>Invsd Smt checked</v>
          </cell>
          <cell r="H2250" t="str">
            <v>Orion</v>
          </cell>
          <cell r="I2250">
            <v>0.875</v>
          </cell>
          <cell r="J2250">
            <v>0.33333333333333331</v>
          </cell>
          <cell r="K2250">
            <v>10</v>
          </cell>
          <cell r="L2250">
            <v>235.56</v>
          </cell>
          <cell r="O2250" t="str">
            <v>Y</v>
          </cell>
          <cell r="P2250" t="str">
            <v>N</v>
          </cell>
          <cell r="Q2250" t="str">
            <v>Backfill</v>
          </cell>
          <cell r="S2250">
            <v>0.27</v>
          </cell>
        </row>
        <row r="2251">
          <cell r="D2251">
            <v>1108000881</v>
          </cell>
          <cell r="E2251" t="str">
            <v>COLLEN SIBANDA</v>
          </cell>
          <cell r="F2251" t="str">
            <v>D (Ch)</v>
          </cell>
          <cell r="G2251">
            <v>17235</v>
          </cell>
          <cell r="H2251" t="str">
            <v>Choice</v>
          </cell>
          <cell r="I2251">
            <v>0.5625</v>
          </cell>
          <cell r="J2251">
            <v>0.89583333333333337</v>
          </cell>
          <cell r="K2251">
            <v>6.6666666666666696</v>
          </cell>
          <cell r="L2251">
            <v>162.47</v>
          </cell>
          <cell r="O2251" t="str">
            <v>Y</v>
          </cell>
          <cell r="P2251" t="str">
            <v>N</v>
          </cell>
          <cell r="Q2251" t="str">
            <v>Annual Leave</v>
          </cell>
          <cell r="S2251">
            <v>0.18</v>
          </cell>
        </row>
        <row r="2252">
          <cell r="D2252">
            <v>1108001120</v>
          </cell>
          <cell r="E2252" t="str">
            <v>DIGRACIA  NAPE</v>
          </cell>
          <cell r="F2252" t="str">
            <v>D (MD)</v>
          </cell>
          <cell r="G2252">
            <v>343713</v>
          </cell>
          <cell r="H2252" t="str">
            <v>Mayday</v>
          </cell>
          <cell r="I2252">
            <v>0.3125</v>
          </cell>
          <cell r="J2252">
            <v>0.60416666666666663</v>
          </cell>
          <cell r="K2252">
            <v>6.6666666666666696</v>
          </cell>
          <cell r="L2252">
            <v>215.27</v>
          </cell>
          <cell r="O2252" t="str">
            <v>Y</v>
          </cell>
          <cell r="P2252" t="str">
            <v>N</v>
          </cell>
          <cell r="Q2252" t="str">
            <v>Extra Capacity</v>
          </cell>
          <cell r="S2252">
            <v>0.18</v>
          </cell>
        </row>
        <row r="2253">
          <cell r="D2253">
            <v>1108001612</v>
          </cell>
          <cell r="E2253" t="str">
            <v>GLENDA RONA</v>
          </cell>
          <cell r="F2253" t="str">
            <v>D (Ch)</v>
          </cell>
          <cell r="G2253">
            <v>17238</v>
          </cell>
          <cell r="H2253" t="str">
            <v>Choice</v>
          </cell>
          <cell r="I2253">
            <v>0.83333333333333337</v>
          </cell>
          <cell r="J2253">
            <v>0.33333333333333331</v>
          </cell>
          <cell r="K2253">
            <v>11.3333333333333</v>
          </cell>
          <cell r="L2253">
            <v>359.05</v>
          </cell>
          <cell r="O2253" t="str">
            <v>Y</v>
          </cell>
          <cell r="P2253" t="str">
            <v>N</v>
          </cell>
          <cell r="Q2253" t="str">
            <v>Extra Capacity</v>
          </cell>
          <cell r="S2253">
            <v>0.3</v>
          </cell>
        </row>
        <row r="2254">
          <cell r="D2254">
            <v>1008006327</v>
          </cell>
          <cell r="E2254" t="str">
            <v>GRACE PANDARAOAM</v>
          </cell>
          <cell r="F2254" t="str">
            <v>D (Ch)</v>
          </cell>
          <cell r="G2254">
            <v>17247</v>
          </cell>
          <cell r="H2254" t="str">
            <v>Choice</v>
          </cell>
          <cell r="I2254">
            <v>0.875</v>
          </cell>
          <cell r="J2254">
            <v>0.32291666666666669</v>
          </cell>
          <cell r="K2254">
            <v>10</v>
          </cell>
          <cell r="L2254">
            <v>316.81</v>
          </cell>
          <cell r="O2254" t="str">
            <v>Y</v>
          </cell>
          <cell r="P2254" t="str">
            <v>N</v>
          </cell>
          <cell r="Q2254" t="str">
            <v>Specials</v>
          </cell>
          <cell r="S2254">
            <v>0.27</v>
          </cell>
        </row>
        <row r="2255">
          <cell r="D2255">
            <v>1008005405</v>
          </cell>
          <cell r="E2255" t="str">
            <v>JAKE BROOKES</v>
          </cell>
          <cell r="F2255" t="str">
            <v>D General (Orio</v>
          </cell>
          <cell r="G2255">
            <v>18308</v>
          </cell>
          <cell r="H2255" t="str">
            <v>Orion</v>
          </cell>
          <cell r="I2255">
            <v>0.33333333333333331</v>
          </cell>
          <cell r="J2255">
            <v>0.75</v>
          </cell>
          <cell r="K2255">
            <v>9.6666666666666696</v>
          </cell>
          <cell r="L2255">
            <v>175.16</v>
          </cell>
          <cell r="O2255" t="str">
            <v>Y</v>
          </cell>
          <cell r="P2255" t="str">
            <v>N</v>
          </cell>
          <cell r="Q2255" t="str">
            <v>Long Term Sick</v>
          </cell>
          <cell r="S2255">
            <v>0.26</v>
          </cell>
        </row>
        <row r="2256">
          <cell r="D2256">
            <v>1108001121</v>
          </cell>
          <cell r="E2256" t="str">
            <v>JAMES MCCLEMENTS</v>
          </cell>
          <cell r="F2256" t="str">
            <v>D (MD)</v>
          </cell>
          <cell r="H2256" t="str">
            <v>Mayday</v>
          </cell>
          <cell r="I2256">
            <v>0.3125</v>
          </cell>
          <cell r="J2256">
            <v>0.60416666666666663</v>
          </cell>
          <cell r="K2256">
            <v>6.6666666666666696</v>
          </cell>
          <cell r="L2256">
            <v>215.27</v>
          </cell>
          <cell r="O2256" t="str">
            <v>Y</v>
          </cell>
          <cell r="P2256" t="str">
            <v>N</v>
          </cell>
          <cell r="Q2256" t="str">
            <v>Extra Capacity</v>
          </cell>
          <cell r="S2256">
            <v>0.18</v>
          </cell>
        </row>
        <row r="2257">
          <cell r="D2257">
            <v>1108001266</v>
          </cell>
          <cell r="E2257" t="str">
            <v>JASMINE ESGUERRA</v>
          </cell>
          <cell r="F2257" t="str">
            <v>D (Ch)</v>
          </cell>
          <cell r="H2257" t="str">
            <v>Choice</v>
          </cell>
          <cell r="I2257">
            <v>0.83333333333333337</v>
          </cell>
          <cell r="J2257">
            <v>0.33333333333333331</v>
          </cell>
          <cell r="K2257">
            <v>11.3333333333333</v>
          </cell>
          <cell r="L2257">
            <v>359.05</v>
          </cell>
          <cell r="O2257" t="str">
            <v>Y</v>
          </cell>
          <cell r="P2257" t="str">
            <v>N</v>
          </cell>
          <cell r="Q2257" t="str">
            <v>Extra Capacity</v>
          </cell>
          <cell r="S2257">
            <v>0.3</v>
          </cell>
        </row>
        <row r="2258">
          <cell r="D2258">
            <v>1008000750</v>
          </cell>
          <cell r="E2258" t="str">
            <v>JOANNE DUCKER</v>
          </cell>
          <cell r="F2258" t="str">
            <v>D / 5 General (</v>
          </cell>
          <cell r="G2258" t="str">
            <v>604-156830</v>
          </cell>
          <cell r="H2258" t="str">
            <v>Medacs</v>
          </cell>
          <cell r="I2258">
            <v>0.625</v>
          </cell>
          <cell r="J2258">
            <v>0.85416666666666663</v>
          </cell>
          <cell r="K2258">
            <v>5.5</v>
          </cell>
          <cell r="L2258">
            <v>92.84</v>
          </cell>
          <cell r="O2258" t="str">
            <v>Y</v>
          </cell>
          <cell r="P2258" t="str">
            <v>N</v>
          </cell>
          <cell r="Q2258" t="str">
            <v>Vacancy</v>
          </cell>
          <cell r="S2258">
            <v>0.15</v>
          </cell>
        </row>
        <row r="2259">
          <cell r="D2259">
            <v>1108003335</v>
          </cell>
          <cell r="E2259" t="str">
            <v>LAURA SUMMERS</v>
          </cell>
          <cell r="F2259" t="str">
            <v>D Midwife (Amb)</v>
          </cell>
          <cell r="G2259">
            <v>758954</v>
          </cell>
          <cell r="H2259" t="str">
            <v>Ambition</v>
          </cell>
          <cell r="I2259">
            <v>0.8125</v>
          </cell>
          <cell r="J2259">
            <v>0.33333333333333331</v>
          </cell>
          <cell r="K2259">
            <v>11.8333333333333</v>
          </cell>
          <cell r="L2259">
            <v>788.86</v>
          </cell>
          <cell r="O2259" t="str">
            <v>Y</v>
          </cell>
          <cell r="P2259" t="str">
            <v>N</v>
          </cell>
          <cell r="Q2259" t="str">
            <v>Extra Capacity</v>
          </cell>
          <cell r="S2259">
            <v>0.32</v>
          </cell>
        </row>
        <row r="2260">
          <cell r="D2260">
            <v>1108001989</v>
          </cell>
          <cell r="E2260" t="str">
            <v>LETECIA MENIANO</v>
          </cell>
          <cell r="F2260" t="str">
            <v>D (MD)</v>
          </cell>
          <cell r="G2260">
            <v>344343</v>
          </cell>
          <cell r="H2260" t="str">
            <v>Mayday</v>
          </cell>
          <cell r="I2260">
            <v>0.83333333333333337</v>
          </cell>
          <cell r="J2260">
            <v>0.33333333333333331</v>
          </cell>
          <cell r="K2260">
            <v>11.3333333333333</v>
          </cell>
          <cell r="L2260">
            <v>475.74</v>
          </cell>
          <cell r="O2260" t="str">
            <v>Y</v>
          </cell>
          <cell r="P2260" t="str">
            <v>N</v>
          </cell>
          <cell r="Q2260" t="str">
            <v>Extra Capacity</v>
          </cell>
          <cell r="S2260">
            <v>0.3</v>
          </cell>
        </row>
        <row r="2261">
          <cell r="D2261">
            <v>1008005404</v>
          </cell>
          <cell r="E2261" t="str">
            <v>LUKE HONEY</v>
          </cell>
          <cell r="F2261" t="str">
            <v>D General (Orio</v>
          </cell>
          <cell r="G2261">
            <v>18148</v>
          </cell>
          <cell r="H2261" t="str">
            <v>Orion</v>
          </cell>
          <cell r="I2261">
            <v>0.33333333333333331</v>
          </cell>
          <cell r="J2261">
            <v>0.75</v>
          </cell>
          <cell r="K2261">
            <v>9.6666666666666696</v>
          </cell>
          <cell r="L2261">
            <v>175.16</v>
          </cell>
          <cell r="O2261" t="str">
            <v>Y</v>
          </cell>
          <cell r="P2261" t="str">
            <v>N</v>
          </cell>
          <cell r="Q2261" t="str">
            <v>Long Term Sick</v>
          </cell>
          <cell r="S2261">
            <v>0.26</v>
          </cell>
        </row>
        <row r="2262">
          <cell r="D2262">
            <v>1108001605</v>
          </cell>
          <cell r="E2262" t="str">
            <v>MARIA LINGAT</v>
          </cell>
          <cell r="F2262" t="str">
            <v>D (Ch)</v>
          </cell>
          <cell r="H2262" t="str">
            <v>Choice</v>
          </cell>
          <cell r="I2262">
            <v>0.82291666666666663</v>
          </cell>
          <cell r="J2262">
            <v>0.33333333333333331</v>
          </cell>
          <cell r="K2262">
            <v>11.5833333333333</v>
          </cell>
          <cell r="L2262">
            <v>366.97</v>
          </cell>
          <cell r="O2262" t="str">
            <v>Y</v>
          </cell>
          <cell r="P2262" t="str">
            <v>N</v>
          </cell>
          <cell r="Q2262" t="str">
            <v>Extra Capacity</v>
          </cell>
          <cell r="S2262">
            <v>0.31</v>
          </cell>
        </row>
        <row r="2263">
          <cell r="D2263">
            <v>1108001988</v>
          </cell>
          <cell r="E2263" t="str">
            <v>MICHELLE BYLETT</v>
          </cell>
          <cell r="F2263" t="str">
            <v>D/5 (PS)</v>
          </cell>
          <cell r="H2263" t="str">
            <v>Pinnacle Staffing</v>
          </cell>
          <cell r="I2263">
            <v>0.83333333333333337</v>
          </cell>
          <cell r="J2263">
            <v>0.33333333333333331</v>
          </cell>
          <cell r="K2263">
            <v>11.3333333333333</v>
          </cell>
          <cell r="L2263">
            <v>250.32</v>
          </cell>
          <cell r="O2263" t="str">
            <v>Y</v>
          </cell>
          <cell r="P2263" t="str">
            <v>N</v>
          </cell>
          <cell r="Q2263" t="str">
            <v>Extra Capacity</v>
          </cell>
          <cell r="S2263">
            <v>0.3</v>
          </cell>
        </row>
        <row r="2264">
          <cell r="D2264">
            <v>1108001609</v>
          </cell>
          <cell r="E2264" t="str">
            <v>NOLIZWI MGANDELA</v>
          </cell>
          <cell r="F2264" t="str">
            <v>D (MD)</v>
          </cell>
          <cell r="G2264">
            <v>343708</v>
          </cell>
          <cell r="H2264" t="str">
            <v>Mayday</v>
          </cell>
          <cell r="I2264">
            <v>0.60416666666666663</v>
          </cell>
          <cell r="J2264">
            <v>0.85416666666666663</v>
          </cell>
          <cell r="K2264">
            <v>5.6666666666666696</v>
          </cell>
          <cell r="L2264">
            <v>182.98</v>
          </cell>
          <cell r="O2264" t="str">
            <v>Y</v>
          </cell>
          <cell r="P2264" t="str">
            <v>N</v>
          </cell>
          <cell r="Q2264" t="str">
            <v>Extra Capacity</v>
          </cell>
          <cell r="S2264">
            <v>0.15</v>
          </cell>
        </row>
        <row r="2265">
          <cell r="D2265">
            <v>1108000880</v>
          </cell>
          <cell r="E2265" t="str">
            <v>RICCA PARADA</v>
          </cell>
          <cell r="F2265" t="str">
            <v>D (Ch)</v>
          </cell>
          <cell r="G2265">
            <v>17164</v>
          </cell>
          <cell r="H2265" t="str">
            <v>Choice</v>
          </cell>
          <cell r="I2265">
            <v>0.3125</v>
          </cell>
          <cell r="J2265">
            <v>0.5625</v>
          </cell>
          <cell r="K2265">
            <v>5.6666666666666696</v>
          </cell>
          <cell r="L2265">
            <v>138.1</v>
          </cell>
          <cell r="O2265" t="str">
            <v>Y</v>
          </cell>
          <cell r="P2265" t="str">
            <v>N</v>
          </cell>
          <cell r="Q2265" t="str">
            <v>Annual Leave</v>
          </cell>
          <cell r="S2265">
            <v>0.15</v>
          </cell>
        </row>
        <row r="2266">
          <cell r="D2266">
            <v>1108001613</v>
          </cell>
          <cell r="E2266" t="str">
            <v>RODA RAMERIZ</v>
          </cell>
          <cell r="F2266" t="str">
            <v>D (Ch)</v>
          </cell>
          <cell r="G2266">
            <v>17240</v>
          </cell>
          <cell r="H2266" t="str">
            <v>Choice</v>
          </cell>
          <cell r="I2266">
            <v>0.83333333333333337</v>
          </cell>
          <cell r="J2266">
            <v>0.33333333333333331</v>
          </cell>
          <cell r="K2266">
            <v>11.3333333333333</v>
          </cell>
          <cell r="L2266">
            <v>359.05</v>
          </cell>
          <cell r="O2266" t="str">
            <v>Y</v>
          </cell>
          <cell r="P2266" t="str">
            <v>N</v>
          </cell>
          <cell r="Q2266" t="str">
            <v>Extra Capacity</v>
          </cell>
          <cell r="S2266">
            <v>0.3</v>
          </cell>
        </row>
        <row r="2267">
          <cell r="D2267">
            <v>1108001991</v>
          </cell>
          <cell r="E2267" t="str">
            <v>THEMBE NHOSE</v>
          </cell>
          <cell r="F2267" t="str">
            <v>D (MD)</v>
          </cell>
          <cell r="G2267">
            <v>344643</v>
          </cell>
          <cell r="H2267" t="str">
            <v>Mayday</v>
          </cell>
          <cell r="I2267">
            <v>0.8125</v>
          </cell>
          <cell r="J2267">
            <v>0.33333333333333331</v>
          </cell>
          <cell r="K2267">
            <v>11.8333333333333</v>
          </cell>
          <cell r="L2267">
            <v>496.73</v>
          </cell>
          <cell r="O2267" t="str">
            <v>Y</v>
          </cell>
          <cell r="P2267" t="str">
            <v>N</v>
          </cell>
          <cell r="Q2267" t="str">
            <v>Vacancy</v>
          </cell>
          <cell r="S2267">
            <v>0.32</v>
          </cell>
        </row>
        <row r="2268">
          <cell r="D2268">
            <v>1008004028</v>
          </cell>
          <cell r="E2268" t="str">
            <v>VAL ZUNGA</v>
          </cell>
          <cell r="F2268" t="str">
            <v>D (Ch)</v>
          </cell>
          <cell r="H2268" t="str">
            <v>Choice</v>
          </cell>
          <cell r="I2268">
            <v>0.3125</v>
          </cell>
          <cell r="J2268">
            <v>0.54166666666666663</v>
          </cell>
          <cell r="K2268">
            <v>5.5</v>
          </cell>
          <cell r="L2268">
            <v>134.03</v>
          </cell>
          <cell r="O2268" t="str">
            <v>Y</v>
          </cell>
          <cell r="P2268" t="str">
            <v>N</v>
          </cell>
          <cell r="Q2268" t="str">
            <v>Vacancy</v>
          </cell>
          <cell r="S2268">
            <v>0.15</v>
          </cell>
        </row>
        <row r="2269">
          <cell r="D2269">
            <v>1108001905</v>
          </cell>
          <cell r="E2269" t="str">
            <v>WINNIE MUROMBE</v>
          </cell>
          <cell r="F2269" t="str">
            <v>D (MD)</v>
          </cell>
          <cell r="G2269">
            <v>343842</v>
          </cell>
          <cell r="H2269" t="str">
            <v>Mayday</v>
          </cell>
          <cell r="I2269">
            <v>0.875</v>
          </cell>
          <cell r="J2269">
            <v>0.29166666666666669</v>
          </cell>
          <cell r="K2269">
            <v>9.6666666666666696</v>
          </cell>
          <cell r="L2269">
            <v>405.78</v>
          </cell>
          <cell r="O2269" t="str">
            <v>Y</v>
          </cell>
          <cell r="P2269" t="str">
            <v>N</v>
          </cell>
          <cell r="Q2269" t="str">
            <v>Specials</v>
          </cell>
          <cell r="S2269">
            <v>0.26</v>
          </cell>
        </row>
        <row r="2270">
          <cell r="D2270">
            <v>1108001616</v>
          </cell>
          <cell r="E2270" t="str">
            <v>ADEOLA SOGBESAN</v>
          </cell>
          <cell r="F2270" t="str">
            <v>D (MD)</v>
          </cell>
          <cell r="G2270">
            <v>346619</v>
          </cell>
          <cell r="H2270" t="str">
            <v>Mayday</v>
          </cell>
          <cell r="I2270">
            <v>0.3125</v>
          </cell>
          <cell r="J2270">
            <v>0.60416666666666663</v>
          </cell>
          <cell r="K2270">
            <v>6.6666666666666696</v>
          </cell>
          <cell r="L2270">
            <v>215.27</v>
          </cell>
          <cell r="O2270" t="str">
            <v>Y</v>
          </cell>
          <cell r="P2270" t="str">
            <v>N</v>
          </cell>
          <cell r="Q2270" t="str">
            <v>Extra Capacity</v>
          </cell>
          <cell r="S2270">
            <v>0.18</v>
          </cell>
        </row>
        <row r="2271">
          <cell r="D2271">
            <v>1108001364</v>
          </cell>
          <cell r="E2271" t="str">
            <v>ALLI SUBRAMANIAM</v>
          </cell>
          <cell r="F2271" t="str">
            <v>D (MD)</v>
          </cell>
          <cell r="G2271">
            <v>343958</v>
          </cell>
          <cell r="H2271" t="str">
            <v>Mayday</v>
          </cell>
          <cell r="I2271">
            <v>0.3125</v>
          </cell>
          <cell r="J2271">
            <v>0.625</v>
          </cell>
          <cell r="K2271">
            <v>7.1666666666666696</v>
          </cell>
          <cell r="L2271">
            <v>231.41</v>
          </cell>
          <cell r="O2271" t="str">
            <v>Y</v>
          </cell>
          <cell r="P2271" t="str">
            <v>N</v>
          </cell>
          <cell r="Q2271" t="str">
            <v>Extra Capacity</v>
          </cell>
          <cell r="S2271">
            <v>0.19</v>
          </cell>
        </row>
        <row r="2272">
          <cell r="D2272">
            <v>1108001366</v>
          </cell>
          <cell r="E2272" t="str">
            <v>ALMA DEPENA</v>
          </cell>
          <cell r="F2272" t="str">
            <v>D (Ch)</v>
          </cell>
          <cell r="H2272" t="str">
            <v>Choice</v>
          </cell>
          <cell r="I2272">
            <v>0.83333333333333337</v>
          </cell>
          <cell r="J2272">
            <v>0.33333333333333331</v>
          </cell>
          <cell r="K2272">
            <v>11.3333333333333</v>
          </cell>
          <cell r="L2272">
            <v>359.05</v>
          </cell>
          <cell r="O2272" t="str">
            <v>Y</v>
          </cell>
          <cell r="P2272" t="str">
            <v>N</v>
          </cell>
          <cell r="Q2272" t="str">
            <v>Extra Capacity</v>
          </cell>
          <cell r="S2272">
            <v>0.3</v>
          </cell>
        </row>
        <row r="2273">
          <cell r="D2273">
            <v>1108001906</v>
          </cell>
          <cell r="E2273" t="str">
            <v>BECKY NDLOVU</v>
          </cell>
          <cell r="F2273" t="str">
            <v>D (MD)</v>
          </cell>
          <cell r="G2273">
            <v>342968</v>
          </cell>
          <cell r="H2273" t="str">
            <v>Mayday</v>
          </cell>
          <cell r="I2273">
            <v>0.29166666666666669</v>
          </cell>
          <cell r="J2273">
            <v>0.625</v>
          </cell>
          <cell r="K2273">
            <v>7.6666666666666696</v>
          </cell>
          <cell r="L2273">
            <v>247.56</v>
          </cell>
          <cell r="O2273" t="str">
            <v>Y</v>
          </cell>
          <cell r="P2273" t="str">
            <v>N</v>
          </cell>
          <cell r="Q2273" t="str">
            <v>Specials</v>
          </cell>
          <cell r="S2273">
            <v>0.2</v>
          </cell>
        </row>
        <row r="2274">
          <cell r="D2274">
            <v>1108002011</v>
          </cell>
          <cell r="E2274" t="str">
            <v>BIDDY CHAFESUKA</v>
          </cell>
          <cell r="F2274" t="str">
            <v>D (Ch)</v>
          </cell>
          <cell r="H2274" t="str">
            <v>Choice</v>
          </cell>
          <cell r="I2274">
            <v>0.8125</v>
          </cell>
          <cell r="J2274">
            <v>0.3125</v>
          </cell>
          <cell r="K2274">
            <v>11.3333333333333</v>
          </cell>
          <cell r="L2274">
            <v>359.05</v>
          </cell>
          <cell r="O2274" t="str">
            <v>Y</v>
          </cell>
          <cell r="P2274" t="str">
            <v>N</v>
          </cell>
          <cell r="Q2274" t="str">
            <v>Extra Capacity</v>
          </cell>
          <cell r="S2274">
            <v>0.3</v>
          </cell>
        </row>
        <row r="2275">
          <cell r="D2275">
            <v>1108001365</v>
          </cell>
          <cell r="E2275" t="str">
            <v>BRIGHTNESS NDEBELE</v>
          </cell>
          <cell r="F2275" t="str">
            <v>D (MD)</v>
          </cell>
          <cell r="G2275">
            <v>342974</v>
          </cell>
          <cell r="H2275" t="str">
            <v>Mayday</v>
          </cell>
          <cell r="I2275">
            <v>0.3125</v>
          </cell>
          <cell r="J2275">
            <v>0.625</v>
          </cell>
          <cell r="K2275">
            <v>7.1666666666666696</v>
          </cell>
          <cell r="L2275">
            <v>231.41</v>
          </cell>
          <cell r="O2275" t="str">
            <v>Y</v>
          </cell>
          <cell r="P2275" t="str">
            <v>N</v>
          </cell>
          <cell r="Q2275" t="str">
            <v>Extra Capacity</v>
          </cell>
          <cell r="S2275">
            <v>0.19</v>
          </cell>
        </row>
        <row r="2276">
          <cell r="D2276">
            <v>1108001619</v>
          </cell>
          <cell r="E2276" t="str">
            <v>CARL HIBBERT</v>
          </cell>
          <cell r="F2276" t="str">
            <v>D (Ch)</v>
          </cell>
          <cell r="G2276">
            <v>17240</v>
          </cell>
          <cell r="H2276" t="str">
            <v>Choice</v>
          </cell>
          <cell r="I2276">
            <v>0.83333333333333337</v>
          </cell>
          <cell r="J2276">
            <v>0.33333333333333331</v>
          </cell>
          <cell r="K2276">
            <v>11.3333333333333</v>
          </cell>
          <cell r="L2276">
            <v>359.05</v>
          </cell>
          <cell r="O2276" t="str">
            <v>Y</v>
          </cell>
          <cell r="P2276" t="str">
            <v>N</v>
          </cell>
          <cell r="Q2276" t="str">
            <v>Extra Capacity</v>
          </cell>
          <cell r="S2276">
            <v>0.3</v>
          </cell>
        </row>
        <row r="2277">
          <cell r="D2277">
            <v>1008001029</v>
          </cell>
          <cell r="E2277" t="str">
            <v>CHRIS STULAR</v>
          </cell>
          <cell r="F2277" t="str">
            <v>D General (Orio</v>
          </cell>
          <cell r="G2277">
            <v>18283</v>
          </cell>
          <cell r="H2277" t="str">
            <v>Orion</v>
          </cell>
          <cell r="I2277">
            <v>0.875</v>
          </cell>
          <cell r="J2277">
            <v>0.33333333333333331</v>
          </cell>
          <cell r="K2277">
            <v>10</v>
          </cell>
          <cell r="L2277">
            <v>235.56</v>
          </cell>
          <cell r="O2277" t="str">
            <v>Y</v>
          </cell>
          <cell r="P2277" t="str">
            <v>N</v>
          </cell>
          <cell r="Q2277" t="str">
            <v>Backfill</v>
          </cell>
          <cell r="S2277">
            <v>0.27</v>
          </cell>
        </row>
        <row r="2278">
          <cell r="D2278">
            <v>1108002016</v>
          </cell>
          <cell r="E2278" t="str">
            <v>COLLEN SIBANDA</v>
          </cell>
          <cell r="F2278" t="str">
            <v>D (Ch)</v>
          </cell>
          <cell r="H2278" t="str">
            <v>Choice</v>
          </cell>
          <cell r="I2278">
            <v>0.3125</v>
          </cell>
          <cell r="J2278">
            <v>0.625</v>
          </cell>
          <cell r="K2278">
            <v>11.8333333333333</v>
          </cell>
          <cell r="L2278">
            <v>288.38</v>
          </cell>
          <cell r="O2278" t="str">
            <v>Y</v>
          </cell>
          <cell r="P2278" t="str">
            <v>N</v>
          </cell>
          <cell r="Q2278" t="str">
            <v>Extra Capacity</v>
          </cell>
          <cell r="S2278">
            <v>0.32</v>
          </cell>
        </row>
        <row r="2279">
          <cell r="D2279">
            <v>1108002010</v>
          </cell>
          <cell r="E2279" t="str">
            <v>EUNICE ADEBANJO</v>
          </cell>
          <cell r="F2279" t="str">
            <v>D (Ch)</v>
          </cell>
          <cell r="H2279" t="str">
            <v>Choice</v>
          </cell>
          <cell r="I2279">
            <v>0.8125</v>
          </cell>
          <cell r="J2279">
            <v>0.3125</v>
          </cell>
          <cell r="K2279">
            <v>11.3333333333333</v>
          </cell>
          <cell r="L2279">
            <v>359.05</v>
          </cell>
          <cell r="O2279" t="str">
            <v>Y</v>
          </cell>
          <cell r="P2279" t="str">
            <v>N</v>
          </cell>
          <cell r="Q2279" t="str">
            <v>Extra Capacity</v>
          </cell>
          <cell r="S2279">
            <v>0.3</v>
          </cell>
        </row>
        <row r="2280">
          <cell r="D2280">
            <v>1008004033</v>
          </cell>
          <cell r="E2280" t="str">
            <v>EVELYN PANESA</v>
          </cell>
          <cell r="F2280" t="str">
            <v>D (Ch)</v>
          </cell>
          <cell r="G2280">
            <v>17238</v>
          </cell>
          <cell r="H2280" t="str">
            <v>Choice</v>
          </cell>
          <cell r="I2280">
            <v>0.3125</v>
          </cell>
          <cell r="J2280">
            <v>0.54166666666666663</v>
          </cell>
          <cell r="K2280">
            <v>5.5</v>
          </cell>
          <cell r="L2280">
            <v>134.03</v>
          </cell>
          <cell r="O2280" t="str">
            <v>Y</v>
          </cell>
          <cell r="P2280" t="str">
            <v>N</v>
          </cell>
          <cell r="Q2280" t="str">
            <v>Vacancy</v>
          </cell>
          <cell r="S2280">
            <v>0.15</v>
          </cell>
        </row>
        <row r="2281">
          <cell r="D2281">
            <v>1108001617</v>
          </cell>
          <cell r="E2281" t="str">
            <v>EVELYN PANESA</v>
          </cell>
          <cell r="F2281" t="str">
            <v>D (Ch)</v>
          </cell>
          <cell r="G2281">
            <v>17238</v>
          </cell>
          <cell r="H2281" t="str">
            <v>Choice</v>
          </cell>
          <cell r="I2281">
            <v>0.60416666666666663</v>
          </cell>
          <cell r="J2281">
            <v>0.85416666666666663</v>
          </cell>
          <cell r="K2281">
            <v>5.6666666666666696</v>
          </cell>
          <cell r="L2281">
            <v>138.1</v>
          </cell>
          <cell r="O2281" t="str">
            <v>Y</v>
          </cell>
          <cell r="P2281" t="str">
            <v>N</v>
          </cell>
          <cell r="Q2281" t="str">
            <v>Extra Capacity</v>
          </cell>
          <cell r="S2281">
            <v>0.15</v>
          </cell>
        </row>
        <row r="2282">
          <cell r="D2282">
            <v>1108001907</v>
          </cell>
          <cell r="E2282" t="str">
            <v>GAYNOR DOTTIN</v>
          </cell>
          <cell r="F2282" t="str">
            <v>D (Ch)</v>
          </cell>
          <cell r="G2282">
            <v>17244</v>
          </cell>
          <cell r="H2282" t="str">
            <v>Choice</v>
          </cell>
          <cell r="I2282">
            <v>0.625</v>
          </cell>
          <cell r="J2282">
            <v>0.875</v>
          </cell>
          <cell r="K2282">
            <v>5.75</v>
          </cell>
          <cell r="L2282">
            <v>140.13</v>
          </cell>
          <cell r="O2282" t="str">
            <v>Y</v>
          </cell>
          <cell r="P2282" t="str">
            <v>N</v>
          </cell>
          <cell r="Q2282" t="str">
            <v>Specials</v>
          </cell>
          <cell r="S2282">
            <v>0.15</v>
          </cell>
        </row>
        <row r="2283">
          <cell r="D2283">
            <v>1108001421</v>
          </cell>
          <cell r="E2283" t="str">
            <v>GERTRUDE CHIGWADA</v>
          </cell>
          <cell r="F2283" t="str">
            <v>D (MD)</v>
          </cell>
          <cell r="G2283">
            <v>343704</v>
          </cell>
          <cell r="H2283" t="str">
            <v>Mayday</v>
          </cell>
          <cell r="I2283">
            <v>0.3125</v>
          </cell>
          <cell r="J2283">
            <v>0.5625</v>
          </cell>
          <cell r="K2283">
            <v>5.6666666666666696</v>
          </cell>
          <cell r="L2283">
            <v>182.98</v>
          </cell>
          <cell r="O2283" t="str">
            <v>Y</v>
          </cell>
          <cell r="P2283" t="str">
            <v>N</v>
          </cell>
          <cell r="Q2283" t="str">
            <v>Under Established</v>
          </cell>
          <cell r="S2283">
            <v>0.15</v>
          </cell>
        </row>
        <row r="2284">
          <cell r="D2284">
            <v>1108002009</v>
          </cell>
          <cell r="E2284" t="str">
            <v>GLENDA RONA</v>
          </cell>
          <cell r="F2284" t="str">
            <v>D (Ch)</v>
          </cell>
          <cell r="H2284" t="str">
            <v>Choice</v>
          </cell>
          <cell r="I2284">
            <v>0.8125</v>
          </cell>
          <cell r="J2284">
            <v>0.3125</v>
          </cell>
          <cell r="K2284">
            <v>11.3333333333333</v>
          </cell>
          <cell r="L2284">
            <v>359.05</v>
          </cell>
          <cell r="O2284" t="str">
            <v>Y</v>
          </cell>
          <cell r="P2284" t="str">
            <v>N</v>
          </cell>
          <cell r="Q2284" t="str">
            <v>Extra Capacity</v>
          </cell>
          <cell r="S2284">
            <v>0.3</v>
          </cell>
        </row>
        <row r="2285">
          <cell r="D2285">
            <v>1008005411</v>
          </cell>
          <cell r="E2285" t="str">
            <v>JAKE BROOKES</v>
          </cell>
          <cell r="F2285" t="str">
            <v>D General (Orio</v>
          </cell>
          <cell r="G2285">
            <v>18308</v>
          </cell>
          <cell r="H2285" t="str">
            <v>Orion</v>
          </cell>
          <cell r="I2285">
            <v>0.33333333333333331</v>
          </cell>
          <cell r="J2285">
            <v>0.75</v>
          </cell>
          <cell r="K2285">
            <v>9.6666666666666696</v>
          </cell>
          <cell r="L2285">
            <v>175.16</v>
          </cell>
          <cell r="O2285" t="str">
            <v>Y</v>
          </cell>
          <cell r="P2285" t="str">
            <v>N</v>
          </cell>
          <cell r="Q2285" t="str">
            <v>Long Term Sick</v>
          </cell>
          <cell r="S2285">
            <v>0.26</v>
          </cell>
        </row>
        <row r="2286">
          <cell r="D2286">
            <v>1108001614</v>
          </cell>
          <cell r="E2286" t="str">
            <v>JEAN NGONA</v>
          </cell>
          <cell r="F2286" t="str">
            <v>D (MD)</v>
          </cell>
          <cell r="H2286" t="str">
            <v>Mayday</v>
          </cell>
          <cell r="I2286">
            <v>0.3125</v>
          </cell>
          <cell r="J2286">
            <v>0.60416666666666663</v>
          </cell>
          <cell r="K2286">
            <v>6.6666666666666696</v>
          </cell>
          <cell r="L2286">
            <v>215.27</v>
          </cell>
          <cell r="O2286" t="str">
            <v>Y</v>
          </cell>
          <cell r="P2286" t="str">
            <v>N</v>
          </cell>
          <cell r="Q2286" t="str">
            <v>Extra Capacity</v>
          </cell>
          <cell r="S2286">
            <v>0.18</v>
          </cell>
        </row>
        <row r="2287">
          <cell r="D2287">
            <v>1108001618</v>
          </cell>
          <cell r="E2287" t="str">
            <v>JEAN NGONA</v>
          </cell>
          <cell r="F2287" t="str">
            <v>D (MD)</v>
          </cell>
          <cell r="G2287">
            <v>344587</v>
          </cell>
          <cell r="H2287" t="str">
            <v>Mayday</v>
          </cell>
          <cell r="I2287">
            <v>0.60416666666666663</v>
          </cell>
          <cell r="J2287">
            <v>0.85416666666666663</v>
          </cell>
          <cell r="K2287">
            <v>5.6666666666666696</v>
          </cell>
          <cell r="L2287">
            <v>182.98</v>
          </cell>
          <cell r="O2287" t="str">
            <v>Y</v>
          </cell>
          <cell r="P2287" t="str">
            <v>N</v>
          </cell>
          <cell r="Q2287" t="str">
            <v>Extra Capacity</v>
          </cell>
          <cell r="S2287">
            <v>0.15</v>
          </cell>
        </row>
        <row r="2288">
          <cell r="D2288">
            <v>1108001815</v>
          </cell>
          <cell r="E2288" t="str">
            <v>JO BRADY</v>
          </cell>
          <cell r="F2288" t="str">
            <v>D (MD)</v>
          </cell>
          <cell r="G2288">
            <v>343762</v>
          </cell>
          <cell r="H2288" t="str">
            <v>Mayday</v>
          </cell>
          <cell r="I2288">
            <v>0.3125</v>
          </cell>
          <cell r="J2288">
            <v>0.83333333333333337</v>
          </cell>
          <cell r="K2288">
            <v>11.8333333333333</v>
          </cell>
          <cell r="L2288">
            <v>382.1</v>
          </cell>
          <cell r="O2288" t="str">
            <v>Y</v>
          </cell>
          <cell r="P2288" t="str">
            <v>N</v>
          </cell>
          <cell r="Q2288" t="str">
            <v>Vacancy</v>
          </cell>
          <cell r="S2288">
            <v>0.32</v>
          </cell>
        </row>
        <row r="2289">
          <cell r="D2289">
            <v>1008000754</v>
          </cell>
          <cell r="E2289" t="str">
            <v>JOANNE DUCKER</v>
          </cell>
          <cell r="F2289" t="str">
            <v>D / 5 General (</v>
          </cell>
          <cell r="G2289" t="str">
            <v>604-156493</v>
          </cell>
          <cell r="H2289" t="str">
            <v>Medacs</v>
          </cell>
          <cell r="I2289">
            <v>0.625</v>
          </cell>
          <cell r="J2289">
            <v>0.85416666666666663</v>
          </cell>
          <cell r="K2289">
            <v>5.5</v>
          </cell>
          <cell r="L2289">
            <v>92.84</v>
          </cell>
          <cell r="O2289" t="str">
            <v>Y</v>
          </cell>
          <cell r="P2289" t="str">
            <v>N</v>
          </cell>
          <cell r="Q2289" t="str">
            <v>Vacancy</v>
          </cell>
          <cell r="S2289">
            <v>0.15</v>
          </cell>
        </row>
        <row r="2290">
          <cell r="D2290">
            <v>1108000731</v>
          </cell>
          <cell r="E2290" t="str">
            <v>JOYCE RUPERE</v>
          </cell>
          <cell r="F2290" t="str">
            <v>D (Ch)</v>
          </cell>
          <cell r="G2290">
            <v>17243</v>
          </cell>
          <cell r="H2290" t="str">
            <v>Choice</v>
          </cell>
          <cell r="I2290">
            <v>0.3125</v>
          </cell>
          <cell r="J2290">
            <v>0.60416666666666663</v>
          </cell>
          <cell r="K2290">
            <v>6.6666666666666696</v>
          </cell>
          <cell r="L2290">
            <v>162.47</v>
          </cell>
          <cell r="O2290" t="str">
            <v>Y</v>
          </cell>
          <cell r="P2290" t="str">
            <v>N</v>
          </cell>
          <cell r="Q2290" t="str">
            <v>Short Term Sick</v>
          </cell>
          <cell r="S2290">
            <v>0.18</v>
          </cell>
        </row>
        <row r="2291">
          <cell r="D2291">
            <v>1108002012</v>
          </cell>
          <cell r="E2291" t="str">
            <v>KEN GOORDIN</v>
          </cell>
          <cell r="F2291" t="str">
            <v>D (Ch)</v>
          </cell>
          <cell r="G2291">
            <v>17244</v>
          </cell>
          <cell r="H2291" t="str">
            <v>Choice</v>
          </cell>
          <cell r="I2291">
            <v>0.875</v>
          </cell>
          <cell r="J2291">
            <v>0.29166666666666669</v>
          </cell>
          <cell r="K2291">
            <v>9.6666666666666696</v>
          </cell>
          <cell r="L2291">
            <v>306.25</v>
          </cell>
          <cell r="O2291" t="str">
            <v>Y</v>
          </cell>
          <cell r="P2291" t="str">
            <v>N</v>
          </cell>
          <cell r="Q2291" t="str">
            <v>Specials</v>
          </cell>
          <cell r="S2291">
            <v>0.26</v>
          </cell>
        </row>
        <row r="2292">
          <cell r="D2292">
            <v>1108000730</v>
          </cell>
          <cell r="E2292" t="str">
            <v>PEGGY MAPOGO</v>
          </cell>
          <cell r="F2292" t="str">
            <v>D (Ch)</v>
          </cell>
          <cell r="G2292">
            <v>17243</v>
          </cell>
          <cell r="H2292" t="str">
            <v>Choice</v>
          </cell>
          <cell r="I2292">
            <v>0.3125</v>
          </cell>
          <cell r="J2292">
            <v>0.60416666666666663</v>
          </cell>
          <cell r="K2292">
            <v>6.6666666666666696</v>
          </cell>
          <cell r="L2292">
            <v>162.47</v>
          </cell>
          <cell r="O2292" t="str">
            <v>Y</v>
          </cell>
          <cell r="P2292" t="str">
            <v>N</v>
          </cell>
          <cell r="Q2292" t="str">
            <v>Short Term Sick</v>
          </cell>
          <cell r="S2292">
            <v>0.18</v>
          </cell>
        </row>
        <row r="2293">
          <cell r="D2293">
            <v>1108000734</v>
          </cell>
          <cell r="E2293" t="str">
            <v>PEGGY MAPOGO</v>
          </cell>
          <cell r="F2293" t="str">
            <v>D (Ch)</v>
          </cell>
          <cell r="G2293">
            <v>17243</v>
          </cell>
          <cell r="H2293" t="str">
            <v>Choice</v>
          </cell>
          <cell r="I2293">
            <v>0.60416666666666663</v>
          </cell>
          <cell r="J2293">
            <v>0.85416666666666663</v>
          </cell>
          <cell r="K2293">
            <v>5.6666666666666696</v>
          </cell>
          <cell r="L2293">
            <v>138.1</v>
          </cell>
          <cell r="O2293" t="str">
            <v>Y</v>
          </cell>
          <cell r="P2293" t="str">
            <v>N</v>
          </cell>
          <cell r="Q2293" t="str">
            <v>Short Term Sick</v>
          </cell>
          <cell r="S2293">
            <v>0.15</v>
          </cell>
        </row>
        <row r="2294">
          <cell r="D2294">
            <v>1008006297</v>
          </cell>
          <cell r="E2294" t="str">
            <v>PURITY EHREUREICH</v>
          </cell>
          <cell r="F2294" t="str">
            <v>D (MD)</v>
          </cell>
          <cell r="G2294">
            <v>343852</v>
          </cell>
          <cell r="H2294" t="str">
            <v>Mayday</v>
          </cell>
          <cell r="I2294">
            <v>0.29166666666666669</v>
          </cell>
          <cell r="J2294">
            <v>0.625</v>
          </cell>
          <cell r="K2294">
            <v>7.5</v>
          </cell>
          <cell r="L2294">
            <v>242.17</v>
          </cell>
          <cell r="O2294" t="str">
            <v>Y</v>
          </cell>
          <cell r="P2294" t="str">
            <v>N</v>
          </cell>
          <cell r="Q2294" t="str">
            <v>Extra Capacity</v>
          </cell>
          <cell r="S2294">
            <v>0.2</v>
          </cell>
        </row>
        <row r="2295">
          <cell r="D2295">
            <v>1108001620</v>
          </cell>
          <cell r="E2295" t="str">
            <v>SAM KELEM</v>
          </cell>
          <cell r="F2295" t="str">
            <v>D (Ch)</v>
          </cell>
          <cell r="G2295">
            <v>17238</v>
          </cell>
          <cell r="H2295" t="str">
            <v>Choice</v>
          </cell>
          <cell r="I2295">
            <v>0.83333333333333337</v>
          </cell>
          <cell r="J2295">
            <v>0.33333333333333331</v>
          </cell>
          <cell r="K2295">
            <v>11.3333333333333</v>
          </cell>
          <cell r="L2295">
            <v>359.05</v>
          </cell>
          <cell r="O2295" t="str">
            <v>Y</v>
          </cell>
          <cell r="P2295" t="str">
            <v>N</v>
          </cell>
          <cell r="Q2295" t="str">
            <v>Extra Capacity</v>
          </cell>
          <cell r="S2295">
            <v>0.3</v>
          </cell>
        </row>
        <row r="2296">
          <cell r="D2296">
            <v>1008006620</v>
          </cell>
          <cell r="E2296" t="str">
            <v>THELMA MELHO</v>
          </cell>
          <cell r="F2296" t="str">
            <v>D (Ch)</v>
          </cell>
          <cell r="H2296" t="str">
            <v>Choice</v>
          </cell>
          <cell r="I2296">
            <v>0.82291666666666663</v>
          </cell>
          <cell r="J2296">
            <v>0.34375</v>
          </cell>
          <cell r="K2296">
            <v>11.5</v>
          </cell>
          <cell r="L2296">
            <v>364.33</v>
          </cell>
          <cell r="O2296" t="str">
            <v>Y</v>
          </cell>
          <cell r="P2296" t="str">
            <v>N</v>
          </cell>
          <cell r="Q2296" t="str">
            <v>Maternity Leave</v>
          </cell>
          <cell r="S2296">
            <v>0.31</v>
          </cell>
        </row>
        <row r="2297">
          <cell r="D2297">
            <v>1108002252</v>
          </cell>
          <cell r="E2297" t="str">
            <v>THEMBE NHOSE</v>
          </cell>
          <cell r="F2297" t="str">
            <v>D (MD)</v>
          </cell>
          <cell r="H2297" t="str">
            <v>Mayday</v>
          </cell>
          <cell r="I2297">
            <v>0.83333333333333337</v>
          </cell>
          <cell r="J2297">
            <v>0.33333333333333331</v>
          </cell>
          <cell r="K2297">
            <v>11</v>
          </cell>
          <cell r="L2297">
            <v>461.75</v>
          </cell>
          <cell r="O2297" t="str">
            <v>Y</v>
          </cell>
          <cell r="P2297" t="str">
            <v>N</v>
          </cell>
          <cell r="Q2297" t="str">
            <v>Vacancy</v>
          </cell>
          <cell r="S2297">
            <v>0.28999999999999998</v>
          </cell>
        </row>
        <row r="2298">
          <cell r="D2298">
            <v>1108001367</v>
          </cell>
          <cell r="E2298" t="str">
            <v>VERLYN GANIR</v>
          </cell>
          <cell r="F2298" t="str">
            <v>D (Ch)</v>
          </cell>
          <cell r="G2298">
            <v>17231</v>
          </cell>
          <cell r="H2298" t="str">
            <v>Choice</v>
          </cell>
          <cell r="I2298">
            <v>0.83333333333333337</v>
          </cell>
          <cell r="J2298">
            <v>0.33333333333333331</v>
          </cell>
          <cell r="K2298">
            <v>11.3333333333333</v>
          </cell>
          <cell r="L2298">
            <v>359.05</v>
          </cell>
          <cell r="O2298" t="str">
            <v>Y</v>
          </cell>
          <cell r="P2298" t="str">
            <v>N</v>
          </cell>
          <cell r="Q2298" t="str">
            <v>Extra Capacity</v>
          </cell>
          <cell r="S2298">
            <v>0.3</v>
          </cell>
        </row>
        <row r="2299">
          <cell r="D2299">
            <v>1108001368</v>
          </cell>
          <cell r="E2299" t="str">
            <v>ALLI SUBRAMANIAM</v>
          </cell>
          <cell r="F2299" t="str">
            <v>D (MD)</v>
          </cell>
          <cell r="G2299">
            <v>343879</v>
          </cell>
          <cell r="H2299" t="str">
            <v>Mayday</v>
          </cell>
          <cell r="I2299">
            <v>0.3125</v>
          </cell>
          <cell r="J2299">
            <v>0.625</v>
          </cell>
          <cell r="K2299">
            <v>7.1666666666666696</v>
          </cell>
          <cell r="L2299">
            <v>231.41</v>
          </cell>
          <cell r="O2299" t="str">
            <v>Y</v>
          </cell>
          <cell r="P2299" t="str">
            <v>N</v>
          </cell>
          <cell r="Q2299" t="str">
            <v>Extra Capacity</v>
          </cell>
          <cell r="S2299">
            <v>0.19</v>
          </cell>
        </row>
        <row r="2300">
          <cell r="D2300">
            <v>1108001814</v>
          </cell>
          <cell r="E2300" t="str">
            <v>BELLA ZALOUMIS</v>
          </cell>
          <cell r="F2300" t="str">
            <v>2 General (Adva</v>
          </cell>
          <cell r="G2300">
            <v>1408620</v>
          </cell>
          <cell r="H2300" t="str">
            <v>Advantage</v>
          </cell>
          <cell r="I2300">
            <v>0.29166666666666669</v>
          </cell>
          <cell r="J2300">
            <v>0.625</v>
          </cell>
          <cell r="K2300">
            <v>7.6666666666666696</v>
          </cell>
          <cell r="L2300">
            <v>71.069999999999993</v>
          </cell>
          <cell r="O2300" t="str">
            <v>Y</v>
          </cell>
          <cell r="P2300" t="str">
            <v>N</v>
          </cell>
          <cell r="Q2300" t="str">
            <v>Specials</v>
          </cell>
          <cell r="S2300">
            <v>0.2</v>
          </cell>
        </row>
        <row r="2301">
          <cell r="D2301">
            <v>1108000875</v>
          </cell>
          <cell r="E2301" t="str">
            <v>BERTHA CHITABO</v>
          </cell>
          <cell r="F2301" t="str">
            <v>D (Ch)</v>
          </cell>
          <cell r="G2301">
            <v>17247</v>
          </cell>
          <cell r="H2301" t="str">
            <v>Choice</v>
          </cell>
          <cell r="I2301">
            <v>0.875</v>
          </cell>
          <cell r="J2301">
            <v>0.32291666666666669</v>
          </cell>
          <cell r="K2301">
            <v>10</v>
          </cell>
          <cell r="L2301">
            <v>316.81</v>
          </cell>
          <cell r="O2301" t="str">
            <v>Y</v>
          </cell>
          <cell r="P2301" t="str">
            <v>N</v>
          </cell>
          <cell r="Q2301" t="str">
            <v>Specials</v>
          </cell>
          <cell r="S2301">
            <v>0.27</v>
          </cell>
        </row>
        <row r="2302">
          <cell r="D2302">
            <v>1108001369</v>
          </cell>
          <cell r="E2302" t="str">
            <v>BRIGHTNESS NDEBELE</v>
          </cell>
          <cell r="F2302" t="str">
            <v>D (MD)</v>
          </cell>
          <cell r="G2302">
            <v>342976</v>
          </cell>
          <cell r="H2302" t="str">
            <v>Mayday</v>
          </cell>
          <cell r="I2302">
            <v>0.3125</v>
          </cell>
          <cell r="J2302">
            <v>0.625</v>
          </cell>
          <cell r="K2302">
            <v>7.1666666666666696</v>
          </cell>
          <cell r="L2302">
            <v>231.41</v>
          </cell>
          <cell r="O2302" t="str">
            <v>Y</v>
          </cell>
          <cell r="P2302" t="str">
            <v>N</v>
          </cell>
          <cell r="Q2302" t="str">
            <v>Extra Capacity</v>
          </cell>
          <cell r="S2302">
            <v>0.19</v>
          </cell>
        </row>
        <row r="2303">
          <cell r="D2303">
            <v>1108002234</v>
          </cell>
          <cell r="E2303" t="str">
            <v>BRIGHTNESS NDEBELE</v>
          </cell>
          <cell r="F2303" t="str">
            <v>D (MD)</v>
          </cell>
          <cell r="G2303">
            <v>342972</v>
          </cell>
          <cell r="H2303" t="str">
            <v>Mayday</v>
          </cell>
          <cell r="I2303">
            <v>0.625</v>
          </cell>
          <cell r="J2303">
            <v>0.84375</v>
          </cell>
          <cell r="K2303">
            <v>5.25</v>
          </cell>
          <cell r="L2303">
            <v>169.52</v>
          </cell>
          <cell r="O2303" t="str">
            <v>Y</v>
          </cell>
          <cell r="P2303" t="str">
            <v>N</v>
          </cell>
          <cell r="Q2303" t="str">
            <v>Short Term Sick</v>
          </cell>
          <cell r="S2303">
            <v>0.14000000000000001</v>
          </cell>
        </row>
        <row r="2304">
          <cell r="D2304">
            <v>1108001625</v>
          </cell>
          <cell r="E2304" t="str">
            <v>CARL HIBBERT</v>
          </cell>
          <cell r="F2304" t="str">
            <v>D (Ch)</v>
          </cell>
          <cell r="G2304">
            <v>17250</v>
          </cell>
          <cell r="H2304" t="str">
            <v>Choice</v>
          </cell>
          <cell r="I2304">
            <v>0.83333333333333337</v>
          </cell>
          <cell r="J2304">
            <v>0.33333333333333331</v>
          </cell>
          <cell r="K2304">
            <v>11.3333333333333</v>
          </cell>
          <cell r="L2304">
            <v>359.05</v>
          </cell>
          <cell r="O2304" t="str">
            <v>Y</v>
          </cell>
          <cell r="P2304" t="str">
            <v>N</v>
          </cell>
          <cell r="Q2304" t="str">
            <v>Extra Capacity</v>
          </cell>
          <cell r="S2304">
            <v>0.3</v>
          </cell>
        </row>
        <row r="2305">
          <cell r="D2305">
            <v>1108002388</v>
          </cell>
          <cell r="E2305" t="str">
            <v>CATH CHIDAVAYENZI</v>
          </cell>
          <cell r="F2305" t="str">
            <v>D (Ch)</v>
          </cell>
          <cell r="G2305">
            <v>17241</v>
          </cell>
          <cell r="H2305" t="str">
            <v>Choice</v>
          </cell>
          <cell r="I2305">
            <v>0.8125</v>
          </cell>
          <cell r="J2305">
            <v>0.3125</v>
          </cell>
          <cell r="K2305">
            <v>11.3333333333333</v>
          </cell>
          <cell r="L2305">
            <v>359.05</v>
          </cell>
          <cell r="O2305" t="str">
            <v>Y</v>
          </cell>
          <cell r="P2305" t="str">
            <v>N</v>
          </cell>
          <cell r="Q2305" t="str">
            <v>Short Term Sick</v>
          </cell>
          <cell r="S2305">
            <v>0.3</v>
          </cell>
        </row>
        <row r="2306">
          <cell r="D2306">
            <v>1008001030</v>
          </cell>
          <cell r="E2306" t="str">
            <v>CHRIS STULAR</v>
          </cell>
          <cell r="F2306" t="str">
            <v>D General (Orio</v>
          </cell>
          <cell r="G2306">
            <v>18283</v>
          </cell>
          <cell r="H2306" t="str">
            <v>Orion</v>
          </cell>
          <cell r="I2306">
            <v>0.875</v>
          </cell>
          <cell r="J2306">
            <v>0.33333333333333331</v>
          </cell>
          <cell r="K2306">
            <v>10</v>
          </cell>
          <cell r="L2306">
            <v>235.56</v>
          </cell>
          <cell r="O2306" t="str">
            <v>Y</v>
          </cell>
          <cell r="P2306" t="str">
            <v>N</v>
          </cell>
          <cell r="Q2306" t="str">
            <v>Backfill</v>
          </cell>
          <cell r="S2306">
            <v>0.27</v>
          </cell>
        </row>
        <row r="2307">
          <cell r="D2307">
            <v>1108002244</v>
          </cell>
          <cell r="E2307" t="str">
            <v>EUNICE ADEBANJO</v>
          </cell>
          <cell r="F2307" t="str">
            <v>D (Ch)</v>
          </cell>
          <cell r="G2307">
            <v>17230</v>
          </cell>
          <cell r="H2307" t="str">
            <v>Choice</v>
          </cell>
          <cell r="I2307">
            <v>0.8125</v>
          </cell>
          <cell r="J2307">
            <v>0.33333333333333331</v>
          </cell>
          <cell r="K2307">
            <v>11.8333333333333</v>
          </cell>
          <cell r="L2307">
            <v>374.89</v>
          </cell>
          <cell r="O2307" t="str">
            <v>Y</v>
          </cell>
          <cell r="P2307" t="str">
            <v>N</v>
          </cell>
          <cell r="Q2307" t="str">
            <v>Vacancy</v>
          </cell>
          <cell r="S2307">
            <v>0.32</v>
          </cell>
        </row>
        <row r="2308">
          <cell r="D2308">
            <v>1108002049</v>
          </cell>
          <cell r="E2308" t="str">
            <v>FIONA DURKIN-GREER</v>
          </cell>
          <cell r="F2308" t="str">
            <v>D (MD)</v>
          </cell>
          <cell r="G2308">
            <v>343699</v>
          </cell>
          <cell r="H2308" t="str">
            <v>Mayday</v>
          </cell>
          <cell r="I2308">
            <v>0.3125</v>
          </cell>
          <cell r="J2308">
            <v>0.5625</v>
          </cell>
          <cell r="K2308">
            <v>5.6666666666666696</v>
          </cell>
          <cell r="L2308">
            <v>182.98</v>
          </cell>
          <cell r="O2308" t="str">
            <v>Y</v>
          </cell>
          <cell r="P2308" t="str">
            <v>N</v>
          </cell>
          <cell r="Q2308" t="str">
            <v>Under Established</v>
          </cell>
          <cell r="S2308">
            <v>0.15</v>
          </cell>
        </row>
        <row r="2309">
          <cell r="D2309">
            <v>1108002013</v>
          </cell>
          <cell r="E2309" t="str">
            <v>GAYNOR DOTTIN</v>
          </cell>
          <cell r="F2309" t="str">
            <v>D (Ch)</v>
          </cell>
          <cell r="G2309">
            <v>17244</v>
          </cell>
          <cell r="H2309" t="str">
            <v>Choice</v>
          </cell>
          <cell r="I2309">
            <v>0.29166666666666669</v>
          </cell>
          <cell r="J2309">
            <v>0.625</v>
          </cell>
          <cell r="K2309">
            <v>7.6666666666666696</v>
          </cell>
          <cell r="L2309">
            <v>186.84</v>
          </cell>
          <cell r="O2309" t="str">
            <v>Y</v>
          </cell>
          <cell r="P2309" t="str">
            <v>N</v>
          </cell>
          <cell r="Q2309" t="str">
            <v>Specials</v>
          </cell>
          <cell r="S2309">
            <v>0.2</v>
          </cell>
        </row>
        <row r="2310">
          <cell r="D2310">
            <v>1108002014</v>
          </cell>
          <cell r="E2310" t="str">
            <v>GAYNOR DOTTIN</v>
          </cell>
          <cell r="F2310" t="str">
            <v>D (Ch)</v>
          </cell>
          <cell r="G2310">
            <v>17244</v>
          </cell>
          <cell r="H2310" t="str">
            <v>Choice</v>
          </cell>
          <cell r="I2310">
            <v>0.625</v>
          </cell>
          <cell r="J2310">
            <v>0.875</v>
          </cell>
          <cell r="K2310">
            <v>5.75</v>
          </cell>
          <cell r="L2310">
            <v>140.13</v>
          </cell>
          <cell r="O2310" t="str">
            <v>Y</v>
          </cell>
          <cell r="P2310" t="str">
            <v>N</v>
          </cell>
          <cell r="Q2310" t="str">
            <v>Specials</v>
          </cell>
          <cell r="S2310">
            <v>0.15</v>
          </cell>
        </row>
        <row r="2311">
          <cell r="D2311">
            <v>1108001371</v>
          </cell>
          <cell r="E2311" t="str">
            <v>GERTHY ALBANO</v>
          </cell>
          <cell r="F2311" t="str">
            <v>D (Ch)</v>
          </cell>
          <cell r="H2311" t="str">
            <v>Choice</v>
          </cell>
          <cell r="I2311">
            <v>0.83333333333333337</v>
          </cell>
          <cell r="J2311">
            <v>0.33333333333333331</v>
          </cell>
          <cell r="K2311">
            <v>11.3333333333333</v>
          </cell>
          <cell r="L2311">
            <v>359.05</v>
          </cell>
          <cell r="O2311" t="str">
            <v>Y</v>
          </cell>
          <cell r="P2311" t="str">
            <v>N</v>
          </cell>
          <cell r="Q2311" t="str">
            <v>Extra Capacity</v>
          </cell>
          <cell r="S2311">
            <v>0.3</v>
          </cell>
        </row>
        <row r="2312">
          <cell r="D2312">
            <v>1008005628</v>
          </cell>
          <cell r="E2312" t="str">
            <v>GERTRUDE CHIGWADA</v>
          </cell>
          <cell r="F2312" t="str">
            <v>D (MD)</v>
          </cell>
          <cell r="G2312">
            <v>343709</v>
          </cell>
          <cell r="H2312" t="str">
            <v>Mayday</v>
          </cell>
          <cell r="I2312">
            <v>0.5625</v>
          </cell>
          <cell r="J2312">
            <v>0.875</v>
          </cell>
          <cell r="K2312">
            <v>7.1666666666666696</v>
          </cell>
          <cell r="L2312">
            <v>231.41</v>
          </cell>
          <cell r="O2312" t="str">
            <v>Y</v>
          </cell>
          <cell r="P2312" t="str">
            <v>N</v>
          </cell>
          <cell r="Q2312" t="str">
            <v>Vacancy</v>
          </cell>
          <cell r="S2312">
            <v>0.19</v>
          </cell>
        </row>
        <row r="2313">
          <cell r="D2313">
            <v>1008005416</v>
          </cell>
          <cell r="E2313" t="str">
            <v>JAKE BROOKES</v>
          </cell>
          <cell r="F2313" t="str">
            <v>D General (Orio</v>
          </cell>
          <cell r="G2313">
            <v>18308</v>
          </cell>
          <cell r="H2313" t="str">
            <v>Orion</v>
          </cell>
          <cell r="I2313">
            <v>0.33333333333333331</v>
          </cell>
          <cell r="J2313">
            <v>0.75</v>
          </cell>
          <cell r="K2313">
            <v>9.6666666666666696</v>
          </cell>
          <cell r="L2313">
            <v>175.16</v>
          </cell>
          <cell r="O2313" t="str">
            <v>Y</v>
          </cell>
          <cell r="P2313" t="str">
            <v>N</v>
          </cell>
          <cell r="Q2313" t="str">
            <v>Long Term Sick</v>
          </cell>
          <cell r="S2313">
            <v>0.26</v>
          </cell>
        </row>
        <row r="2314">
          <cell r="D2314">
            <v>1108002401</v>
          </cell>
          <cell r="E2314" t="str">
            <v>JEAN NGONA</v>
          </cell>
          <cell r="F2314" t="str">
            <v>D (MD)</v>
          </cell>
          <cell r="G2314">
            <v>344586</v>
          </cell>
          <cell r="H2314" t="str">
            <v>Mayday</v>
          </cell>
          <cell r="I2314">
            <v>0.3125</v>
          </cell>
          <cell r="J2314">
            <v>0.5625</v>
          </cell>
          <cell r="K2314">
            <v>4.5</v>
          </cell>
          <cell r="L2314">
            <v>145.31</v>
          </cell>
          <cell r="O2314" t="str">
            <v>Y</v>
          </cell>
          <cell r="P2314" t="str">
            <v>N</v>
          </cell>
          <cell r="Q2314" t="str">
            <v>Extra Capacity</v>
          </cell>
          <cell r="S2314">
            <v>0.12</v>
          </cell>
        </row>
        <row r="2315">
          <cell r="D2315">
            <v>1108002310</v>
          </cell>
          <cell r="E2315" t="str">
            <v>JENNIFER FARRAR</v>
          </cell>
          <cell r="F2315" t="str">
            <v>D (MD)</v>
          </cell>
          <cell r="G2315">
            <v>347230</v>
          </cell>
          <cell r="H2315" t="str">
            <v>Mayday</v>
          </cell>
          <cell r="I2315">
            <v>0.3125</v>
          </cell>
          <cell r="J2315">
            <v>0.83333333333333337</v>
          </cell>
          <cell r="K2315">
            <v>11.8333333333333</v>
          </cell>
          <cell r="L2315">
            <v>382.1</v>
          </cell>
          <cell r="O2315" t="str">
            <v>Y</v>
          </cell>
          <cell r="P2315" t="str">
            <v>N</v>
          </cell>
          <cell r="Q2315" t="str">
            <v>Short Term Sick</v>
          </cell>
          <cell r="S2315">
            <v>0.32</v>
          </cell>
        </row>
        <row r="2316">
          <cell r="D2316">
            <v>1108000739</v>
          </cell>
          <cell r="E2316" t="str">
            <v>JOANNE BUSS</v>
          </cell>
          <cell r="F2316" t="str">
            <v>D (MD)</v>
          </cell>
          <cell r="H2316" t="str">
            <v>Mayday</v>
          </cell>
          <cell r="I2316">
            <v>0.3125</v>
          </cell>
          <cell r="J2316">
            <v>0.60416666666666663</v>
          </cell>
          <cell r="K2316">
            <v>6.6666666666666696</v>
          </cell>
          <cell r="L2316">
            <v>215.27</v>
          </cell>
          <cell r="O2316" t="str">
            <v>Y</v>
          </cell>
          <cell r="P2316" t="str">
            <v>N</v>
          </cell>
          <cell r="Q2316" t="str">
            <v>Short Term Sick</v>
          </cell>
          <cell r="S2316">
            <v>0.18</v>
          </cell>
        </row>
        <row r="2317">
          <cell r="D2317">
            <v>1108002266</v>
          </cell>
          <cell r="E2317" t="str">
            <v>JOY MABITLE</v>
          </cell>
          <cell r="F2317" t="str">
            <v>D (MD)</v>
          </cell>
          <cell r="G2317">
            <v>359103</v>
          </cell>
          <cell r="H2317" t="str">
            <v>Mayday</v>
          </cell>
          <cell r="I2317">
            <v>0.82291666666666663</v>
          </cell>
          <cell r="J2317">
            <v>0.34375</v>
          </cell>
          <cell r="K2317">
            <v>10.5</v>
          </cell>
          <cell r="L2317">
            <v>440.76</v>
          </cell>
          <cell r="O2317" t="str">
            <v>Y</v>
          </cell>
          <cell r="P2317" t="str">
            <v>N</v>
          </cell>
          <cell r="Q2317" t="str">
            <v>Short Term Sick</v>
          </cell>
          <cell r="S2317">
            <v>0.28000000000000003</v>
          </cell>
        </row>
        <row r="2318">
          <cell r="D2318">
            <v>1108002253</v>
          </cell>
          <cell r="E2318" t="str">
            <v>KATH BURTON</v>
          </cell>
          <cell r="F2318" t="str">
            <v>D (MD)</v>
          </cell>
          <cell r="G2318">
            <v>342699</v>
          </cell>
          <cell r="H2318" t="str">
            <v>Mayday</v>
          </cell>
          <cell r="I2318">
            <v>0.3125</v>
          </cell>
          <cell r="J2318">
            <v>0.64583333333333337</v>
          </cell>
          <cell r="K2318">
            <v>7.5</v>
          </cell>
          <cell r="L2318">
            <v>242.17</v>
          </cell>
          <cell r="O2318" t="str">
            <v>Y</v>
          </cell>
          <cell r="P2318" t="str">
            <v>N</v>
          </cell>
          <cell r="Q2318" t="str">
            <v>Vacancy</v>
          </cell>
          <cell r="S2318">
            <v>0.2</v>
          </cell>
        </row>
        <row r="2319">
          <cell r="D2319">
            <v>1008006388</v>
          </cell>
          <cell r="E2319" t="str">
            <v>KATIE KEAVENEY</v>
          </cell>
          <cell r="F2319" t="str">
            <v>D (MD)</v>
          </cell>
          <cell r="G2319">
            <v>343858</v>
          </cell>
          <cell r="H2319" t="str">
            <v>Mayday</v>
          </cell>
          <cell r="I2319">
            <v>0.58333333333333337</v>
          </cell>
          <cell r="J2319">
            <v>0.875</v>
          </cell>
          <cell r="K2319">
            <v>7</v>
          </cell>
          <cell r="L2319">
            <v>226.03</v>
          </cell>
          <cell r="O2319" t="str">
            <v>Y</v>
          </cell>
          <cell r="P2319" t="str">
            <v>N</v>
          </cell>
          <cell r="Q2319" t="str">
            <v>Vacancy</v>
          </cell>
          <cell r="S2319">
            <v>0.19</v>
          </cell>
        </row>
        <row r="2320">
          <cell r="D2320">
            <v>1108002015</v>
          </cell>
          <cell r="E2320" t="str">
            <v>KEN GOORDIN</v>
          </cell>
          <cell r="F2320" t="str">
            <v>D (Ch)</v>
          </cell>
          <cell r="G2320">
            <v>17244</v>
          </cell>
          <cell r="H2320" t="str">
            <v>Choice</v>
          </cell>
          <cell r="I2320">
            <v>0.875</v>
          </cell>
          <cell r="J2320">
            <v>0.29166666666666669</v>
          </cell>
          <cell r="K2320">
            <v>9.6666666666666696</v>
          </cell>
          <cell r="L2320">
            <v>306.25</v>
          </cell>
          <cell r="O2320" t="str">
            <v>Y</v>
          </cell>
          <cell r="P2320" t="str">
            <v>N</v>
          </cell>
          <cell r="Q2320" t="str">
            <v>Specials</v>
          </cell>
          <cell r="S2320">
            <v>0.26</v>
          </cell>
        </row>
        <row r="2321">
          <cell r="D2321">
            <v>1108002090</v>
          </cell>
          <cell r="E2321" t="str">
            <v>MERCY AFELE</v>
          </cell>
          <cell r="F2321" t="str">
            <v>D (MD)</v>
          </cell>
          <cell r="G2321">
            <v>343867</v>
          </cell>
          <cell r="H2321" t="str">
            <v>Mayday</v>
          </cell>
          <cell r="I2321">
            <v>0.3125</v>
          </cell>
          <cell r="J2321">
            <v>0.625</v>
          </cell>
          <cell r="K2321">
            <v>7.1666666666666696</v>
          </cell>
          <cell r="L2321">
            <v>231.41</v>
          </cell>
          <cell r="O2321" t="str">
            <v>Y</v>
          </cell>
          <cell r="P2321" t="str">
            <v>N</v>
          </cell>
          <cell r="Q2321" t="str">
            <v>Extra Capacity</v>
          </cell>
          <cell r="S2321">
            <v>0.19</v>
          </cell>
        </row>
        <row r="2322">
          <cell r="D2322">
            <v>1108002241</v>
          </cell>
          <cell r="E2322" t="str">
            <v>MERCY AFELE</v>
          </cell>
          <cell r="F2322" t="str">
            <v>D (MD)</v>
          </cell>
          <cell r="G2322">
            <v>343864</v>
          </cell>
          <cell r="H2322" t="str">
            <v>Mayday</v>
          </cell>
          <cell r="I2322">
            <v>0.625</v>
          </cell>
          <cell r="J2322">
            <v>0.85416666666666663</v>
          </cell>
          <cell r="K2322">
            <v>5.5</v>
          </cell>
          <cell r="L2322">
            <v>177.59</v>
          </cell>
          <cell r="O2322" t="str">
            <v>Y</v>
          </cell>
          <cell r="P2322" t="str">
            <v>N</v>
          </cell>
          <cell r="Q2322" t="str">
            <v>Short Term Sick</v>
          </cell>
          <cell r="S2322">
            <v>0.15</v>
          </cell>
        </row>
        <row r="2323">
          <cell r="D2323">
            <v>1108001624</v>
          </cell>
          <cell r="E2323" t="str">
            <v>MIHAELA CHIRIBAU</v>
          </cell>
          <cell r="F2323" t="str">
            <v>D (MD)</v>
          </cell>
          <cell r="G2323">
            <v>343752</v>
          </cell>
          <cell r="H2323" t="str">
            <v>Mayday</v>
          </cell>
          <cell r="I2323">
            <v>0.60416666666666663</v>
          </cell>
          <cell r="J2323">
            <v>0.85416666666666663</v>
          </cell>
          <cell r="K2323">
            <v>5.6666666666666696</v>
          </cell>
          <cell r="L2323">
            <v>182.98</v>
          </cell>
          <cell r="O2323" t="str">
            <v>Y</v>
          </cell>
          <cell r="P2323" t="str">
            <v>N</v>
          </cell>
          <cell r="Q2323" t="str">
            <v>Extra Capacity</v>
          </cell>
          <cell r="S2323">
            <v>0.15</v>
          </cell>
        </row>
        <row r="2324">
          <cell r="D2324">
            <v>1108002042</v>
          </cell>
          <cell r="E2324" t="str">
            <v>MIHAELA CHIRIBAU</v>
          </cell>
          <cell r="F2324" t="str">
            <v>D (MD)</v>
          </cell>
          <cell r="G2324">
            <v>343753</v>
          </cell>
          <cell r="H2324" t="str">
            <v>Mayday</v>
          </cell>
          <cell r="I2324">
            <v>0.3125</v>
          </cell>
          <cell r="J2324">
            <v>0.5625</v>
          </cell>
          <cell r="K2324">
            <v>5.6666666666666696</v>
          </cell>
          <cell r="L2324">
            <v>182.98</v>
          </cell>
          <cell r="O2324" t="str">
            <v>Y</v>
          </cell>
          <cell r="P2324" t="str">
            <v>N</v>
          </cell>
          <cell r="Q2324" t="str">
            <v>Under Established</v>
          </cell>
          <cell r="S2324">
            <v>0.15</v>
          </cell>
        </row>
        <row r="2325">
          <cell r="D2325">
            <v>1108001622</v>
          </cell>
          <cell r="E2325" t="str">
            <v>PEGGY CHIRIKURE</v>
          </cell>
          <cell r="F2325" t="str">
            <v>D (Ch)</v>
          </cell>
          <cell r="H2325" t="str">
            <v>Choice</v>
          </cell>
          <cell r="I2325">
            <v>0.3125</v>
          </cell>
          <cell r="J2325">
            <v>0.60416666666666663</v>
          </cell>
          <cell r="K2325">
            <v>6.6666666666666696</v>
          </cell>
          <cell r="L2325">
            <v>162.47</v>
          </cell>
          <cell r="O2325" t="str">
            <v>Y</v>
          </cell>
          <cell r="P2325" t="str">
            <v>N</v>
          </cell>
          <cell r="Q2325" t="str">
            <v>Extra Capacity</v>
          </cell>
          <cell r="S2325">
            <v>0.18</v>
          </cell>
        </row>
        <row r="2326">
          <cell r="D2326">
            <v>1108001623</v>
          </cell>
          <cell r="E2326" t="str">
            <v>PEGGY CHIRIKURE</v>
          </cell>
          <cell r="F2326" t="str">
            <v>D (Ch)</v>
          </cell>
          <cell r="H2326" t="str">
            <v>Choice</v>
          </cell>
          <cell r="I2326">
            <v>0.60416666666666663</v>
          </cell>
          <cell r="J2326">
            <v>0.85416666666666663</v>
          </cell>
          <cell r="K2326">
            <v>5.6666666666666696</v>
          </cell>
          <cell r="L2326">
            <v>138.1</v>
          </cell>
          <cell r="O2326" t="str">
            <v>Y</v>
          </cell>
          <cell r="P2326" t="str">
            <v>N</v>
          </cell>
          <cell r="Q2326" t="str">
            <v>Extra Capacity</v>
          </cell>
          <cell r="S2326">
            <v>0.15</v>
          </cell>
        </row>
        <row r="2327">
          <cell r="D2327">
            <v>1108000738</v>
          </cell>
          <cell r="E2327" t="str">
            <v>PEGGY MAPOGO</v>
          </cell>
          <cell r="F2327" t="str">
            <v>D (Ch)</v>
          </cell>
          <cell r="G2327">
            <v>17243</v>
          </cell>
          <cell r="H2327" t="str">
            <v>Choice</v>
          </cell>
          <cell r="I2327">
            <v>0.3125</v>
          </cell>
          <cell r="J2327">
            <v>0.60416666666666663</v>
          </cell>
          <cell r="K2327">
            <v>6.6666666666666696</v>
          </cell>
          <cell r="L2327">
            <v>162.47</v>
          </cell>
          <cell r="O2327" t="str">
            <v>Y</v>
          </cell>
          <cell r="P2327" t="str">
            <v>N</v>
          </cell>
          <cell r="Q2327" t="str">
            <v>Short Term Sick</v>
          </cell>
          <cell r="S2327">
            <v>0.18</v>
          </cell>
        </row>
        <row r="2328">
          <cell r="D2328">
            <v>1108000741</v>
          </cell>
          <cell r="E2328" t="str">
            <v>PEGGY MAPOGO</v>
          </cell>
          <cell r="F2328" t="str">
            <v>D (Ch)</v>
          </cell>
          <cell r="G2328">
            <v>17243</v>
          </cell>
          <cell r="H2328" t="str">
            <v>Choice</v>
          </cell>
          <cell r="I2328">
            <v>0.60416666666666663</v>
          </cell>
          <cell r="J2328">
            <v>0.85416666666666663</v>
          </cell>
          <cell r="K2328">
            <v>5.6666666666666696</v>
          </cell>
          <cell r="L2328">
            <v>138.1</v>
          </cell>
          <cell r="O2328" t="str">
            <v>Y</v>
          </cell>
          <cell r="P2328" t="str">
            <v>N</v>
          </cell>
          <cell r="Q2328" t="str">
            <v>Short Term Sick</v>
          </cell>
          <cell r="S2328">
            <v>0.15</v>
          </cell>
        </row>
        <row r="2329">
          <cell r="D2329">
            <v>1008006300</v>
          </cell>
          <cell r="E2329" t="str">
            <v>PURITY EHREUREICH</v>
          </cell>
          <cell r="F2329" t="str">
            <v>D (MD)</v>
          </cell>
          <cell r="G2329">
            <v>343852</v>
          </cell>
          <cell r="H2329" t="str">
            <v>Mayday</v>
          </cell>
          <cell r="I2329">
            <v>0.29166666666666669</v>
          </cell>
          <cell r="J2329">
            <v>0.625</v>
          </cell>
          <cell r="K2329">
            <v>7.5</v>
          </cell>
          <cell r="L2329">
            <v>242.17</v>
          </cell>
          <cell r="O2329" t="str">
            <v>Y</v>
          </cell>
          <cell r="P2329" t="str">
            <v>N</v>
          </cell>
          <cell r="Q2329" t="str">
            <v>Extra Capacity</v>
          </cell>
          <cell r="S2329">
            <v>0.2</v>
          </cell>
        </row>
        <row r="2330">
          <cell r="D2330">
            <v>1008006301</v>
          </cell>
          <cell r="E2330" t="str">
            <v>PURITY EHREUREICH</v>
          </cell>
          <cell r="F2330" t="str">
            <v>D (MD)</v>
          </cell>
          <cell r="G2330">
            <v>343852</v>
          </cell>
          <cell r="H2330" t="str">
            <v>Mayday</v>
          </cell>
          <cell r="I2330">
            <v>0.625</v>
          </cell>
          <cell r="J2330">
            <v>0.89583333333333337</v>
          </cell>
          <cell r="K2330">
            <v>6.1666666666666696</v>
          </cell>
          <cell r="L2330">
            <v>199.12</v>
          </cell>
          <cell r="O2330" t="str">
            <v>Y</v>
          </cell>
          <cell r="P2330" t="str">
            <v>N</v>
          </cell>
          <cell r="Q2330" t="str">
            <v>Extra Capacity</v>
          </cell>
          <cell r="S2330">
            <v>0.16</v>
          </cell>
        </row>
        <row r="2331">
          <cell r="D2331">
            <v>1108001621</v>
          </cell>
          <cell r="E2331" t="str">
            <v>RICCA PARADA</v>
          </cell>
          <cell r="F2331" t="str">
            <v>D (Ch)</v>
          </cell>
          <cell r="G2331">
            <v>17240</v>
          </cell>
          <cell r="H2331" t="str">
            <v>Choice</v>
          </cell>
          <cell r="I2331">
            <v>0.3125</v>
          </cell>
          <cell r="J2331">
            <v>0.60416666666666663</v>
          </cell>
          <cell r="K2331">
            <v>6.6666666666666696</v>
          </cell>
          <cell r="L2331">
            <v>162.47</v>
          </cell>
          <cell r="O2331" t="str">
            <v>Y</v>
          </cell>
          <cell r="P2331" t="str">
            <v>N</v>
          </cell>
          <cell r="Q2331" t="str">
            <v>Extra Capacity</v>
          </cell>
          <cell r="S2331">
            <v>0.18</v>
          </cell>
        </row>
        <row r="2332">
          <cell r="D2332">
            <v>1108002430</v>
          </cell>
          <cell r="E2332" t="str">
            <v>SAM KELEM</v>
          </cell>
          <cell r="F2332" t="str">
            <v>D (Ch)</v>
          </cell>
          <cell r="G2332">
            <v>17238</v>
          </cell>
          <cell r="H2332" t="str">
            <v>Choice</v>
          </cell>
          <cell r="I2332">
            <v>0.83333333333333337</v>
          </cell>
          <cell r="J2332">
            <v>0.33333333333333331</v>
          </cell>
          <cell r="K2332">
            <v>11.3333333333333</v>
          </cell>
          <cell r="L2332">
            <v>359.05</v>
          </cell>
          <cell r="O2332" t="str">
            <v>Y</v>
          </cell>
          <cell r="P2332" t="str">
            <v>N</v>
          </cell>
          <cell r="Q2332" t="str">
            <v>Extra Capacity</v>
          </cell>
          <cell r="S2332">
            <v>0.3</v>
          </cell>
        </row>
        <row r="2333">
          <cell r="D2333">
            <v>1108002375</v>
          </cell>
          <cell r="E2333" t="str">
            <v>TEMBE NGIDI</v>
          </cell>
          <cell r="F2333" t="str">
            <v>D (MD)</v>
          </cell>
          <cell r="G2333">
            <v>343759</v>
          </cell>
          <cell r="H2333" t="str">
            <v>Mayday</v>
          </cell>
          <cell r="I2333">
            <v>0.8125</v>
          </cell>
          <cell r="J2333">
            <v>0.33333333333333331</v>
          </cell>
          <cell r="K2333">
            <v>11.8333333333333</v>
          </cell>
          <cell r="L2333">
            <v>496.73</v>
          </cell>
          <cell r="O2333" t="str">
            <v>Y</v>
          </cell>
          <cell r="P2333" t="str">
            <v>N</v>
          </cell>
          <cell r="Q2333" t="str">
            <v>Vacancy</v>
          </cell>
          <cell r="S2333">
            <v>0.32</v>
          </cell>
        </row>
        <row r="2334">
          <cell r="D2334">
            <v>1108001370</v>
          </cell>
          <cell r="E2334" t="str">
            <v>VERLYN GANIR</v>
          </cell>
          <cell r="F2334" t="str">
            <v>D (Ch)</v>
          </cell>
          <cell r="H2334" t="str">
            <v>Choice</v>
          </cell>
          <cell r="I2334">
            <v>0.83333333333333337</v>
          </cell>
          <cell r="J2334">
            <v>0.33333333333333331</v>
          </cell>
          <cell r="K2334">
            <v>11.3333333333333</v>
          </cell>
          <cell r="L2334">
            <v>359.05</v>
          </cell>
          <cell r="O2334" t="str">
            <v>Y</v>
          </cell>
          <cell r="P2334" t="str">
            <v>N</v>
          </cell>
          <cell r="Q2334" t="str">
            <v>Extra Capacity</v>
          </cell>
          <cell r="S2334">
            <v>0.3</v>
          </cell>
        </row>
        <row r="2335">
          <cell r="D2335">
            <v>1008006386</v>
          </cell>
          <cell r="E2335" t="str">
            <v>VICTORIA MAESTRANI</v>
          </cell>
          <cell r="F2335" t="str">
            <v>D (MD)</v>
          </cell>
          <cell r="H2335" t="str">
            <v>Mayday</v>
          </cell>
          <cell r="I2335">
            <v>0.58333333333333337</v>
          </cell>
          <cell r="J2335">
            <v>0.875</v>
          </cell>
          <cell r="K2335">
            <v>7</v>
          </cell>
          <cell r="L2335">
            <v>226.03</v>
          </cell>
          <cell r="O2335" t="str">
            <v>Y</v>
          </cell>
          <cell r="P2335" t="str">
            <v>N</v>
          </cell>
          <cell r="Q2335" t="str">
            <v>Vacancy</v>
          </cell>
          <cell r="S2335">
            <v>0.19</v>
          </cell>
        </row>
        <row r="2336">
          <cell r="D2336">
            <v>1108001372</v>
          </cell>
          <cell r="E2336" t="str">
            <v>ALLI SUBRAMANIAM</v>
          </cell>
          <cell r="F2336" t="str">
            <v>D (MD)</v>
          </cell>
          <cell r="G2336">
            <v>343875</v>
          </cell>
          <cell r="H2336" t="str">
            <v>Mayday</v>
          </cell>
          <cell r="I2336">
            <v>0.3125</v>
          </cell>
          <cell r="J2336">
            <v>0.625</v>
          </cell>
          <cell r="K2336">
            <v>7.1666666666666696</v>
          </cell>
          <cell r="L2336">
            <v>231.41</v>
          </cell>
          <cell r="O2336" t="str">
            <v>Y</v>
          </cell>
          <cell r="P2336" t="str">
            <v>N</v>
          </cell>
          <cell r="Q2336" t="str">
            <v>Extra Capacity</v>
          </cell>
          <cell r="S2336">
            <v>0.19</v>
          </cell>
        </row>
        <row r="2337">
          <cell r="D2337">
            <v>1108001633</v>
          </cell>
          <cell r="E2337" t="str">
            <v>BERTHA CHITABO</v>
          </cell>
          <cell r="F2337" t="str">
            <v>D (Ch)</v>
          </cell>
          <cell r="G2337">
            <v>17238</v>
          </cell>
          <cell r="H2337" t="str">
            <v>Choice</v>
          </cell>
          <cell r="I2337">
            <v>0.83333333333333337</v>
          </cell>
          <cell r="J2337">
            <v>0.33333333333333331</v>
          </cell>
          <cell r="K2337">
            <v>11.3333333333333</v>
          </cell>
          <cell r="L2337">
            <v>359.05</v>
          </cell>
          <cell r="O2337" t="str">
            <v>Y</v>
          </cell>
          <cell r="P2337" t="str">
            <v>N</v>
          </cell>
          <cell r="Q2337" t="str">
            <v>Extra Capacity</v>
          </cell>
          <cell r="S2337">
            <v>0.3</v>
          </cell>
        </row>
        <row r="2338">
          <cell r="D2338">
            <v>1108002578</v>
          </cell>
          <cell r="E2338" t="str">
            <v>BIDDY CHAFESUKA</v>
          </cell>
          <cell r="F2338" t="str">
            <v>D (Ch)</v>
          </cell>
          <cell r="G2338">
            <v>17245</v>
          </cell>
          <cell r="H2338" t="str">
            <v>Choice</v>
          </cell>
          <cell r="I2338">
            <v>0.88541666666666663</v>
          </cell>
          <cell r="J2338">
            <v>0.3125</v>
          </cell>
          <cell r="K2338">
            <v>9.25</v>
          </cell>
          <cell r="L2338">
            <v>293.05</v>
          </cell>
          <cell r="O2338" t="str">
            <v>Y</v>
          </cell>
          <cell r="P2338" t="str">
            <v>N</v>
          </cell>
          <cell r="Q2338" t="str">
            <v>Short Term Sick</v>
          </cell>
          <cell r="S2338">
            <v>0.25</v>
          </cell>
        </row>
        <row r="2339">
          <cell r="D2339">
            <v>1108001373</v>
          </cell>
          <cell r="E2339" t="str">
            <v>BRIGHTNESS NDEBELE</v>
          </cell>
          <cell r="F2339" t="str">
            <v>D (MD)</v>
          </cell>
          <cell r="G2339">
            <v>342976</v>
          </cell>
          <cell r="H2339" t="str">
            <v>Mayday</v>
          </cell>
          <cell r="I2339">
            <v>0.3125</v>
          </cell>
          <cell r="J2339">
            <v>0.625</v>
          </cell>
          <cell r="K2339">
            <v>7.1666666666666696</v>
          </cell>
          <cell r="L2339">
            <v>231.41</v>
          </cell>
          <cell r="O2339" t="str">
            <v>Y</v>
          </cell>
          <cell r="P2339" t="str">
            <v>N</v>
          </cell>
          <cell r="Q2339" t="str">
            <v>Extra Capacity</v>
          </cell>
          <cell r="S2339">
            <v>0.19</v>
          </cell>
        </row>
        <row r="2340">
          <cell r="D2340">
            <v>1108002524</v>
          </cell>
          <cell r="E2340" t="str">
            <v>BRIGHTNESS NDEBELE</v>
          </cell>
          <cell r="F2340" t="str">
            <v>D (MD)</v>
          </cell>
          <cell r="G2340">
            <v>342976</v>
          </cell>
          <cell r="H2340" t="str">
            <v>Mayday</v>
          </cell>
          <cell r="I2340">
            <v>0.625</v>
          </cell>
          <cell r="J2340">
            <v>0.83333333333333337</v>
          </cell>
          <cell r="K2340">
            <v>5</v>
          </cell>
          <cell r="L2340">
            <v>161.44999999999999</v>
          </cell>
          <cell r="O2340" t="str">
            <v>Y</v>
          </cell>
          <cell r="P2340" t="str">
            <v>N</v>
          </cell>
          <cell r="Q2340" t="str">
            <v>Extra Capacity</v>
          </cell>
          <cell r="S2340">
            <v>0.13</v>
          </cell>
        </row>
        <row r="2341">
          <cell r="D2341">
            <v>1108001375</v>
          </cell>
          <cell r="E2341" t="str">
            <v>CATH CHIDAVAYENZI</v>
          </cell>
          <cell r="F2341" t="str">
            <v>D (Ch)</v>
          </cell>
          <cell r="H2341" t="str">
            <v>Choice</v>
          </cell>
          <cell r="I2341">
            <v>0.83333333333333337</v>
          </cell>
          <cell r="J2341">
            <v>0.33333333333333331</v>
          </cell>
          <cell r="K2341">
            <v>11.3333333333333</v>
          </cell>
          <cell r="L2341">
            <v>359.05</v>
          </cell>
          <cell r="O2341" t="str">
            <v>Y</v>
          </cell>
          <cell r="P2341" t="str">
            <v>N</v>
          </cell>
          <cell r="Q2341" t="str">
            <v>Extra Capacity</v>
          </cell>
          <cell r="S2341">
            <v>0.3</v>
          </cell>
        </row>
        <row r="2342">
          <cell r="D2342">
            <v>1108002517</v>
          </cell>
          <cell r="E2342" t="str">
            <v>CHARLOTTE TAYLOR</v>
          </cell>
          <cell r="F2342" t="str">
            <v>D/5 (PS)</v>
          </cell>
          <cell r="H2342" t="str">
            <v>Pinnacle Staffing</v>
          </cell>
          <cell r="I2342">
            <v>0.88541666666666663</v>
          </cell>
          <cell r="J2342">
            <v>0.30208333333333331</v>
          </cell>
          <cell r="K2342">
            <v>9</v>
          </cell>
          <cell r="L2342">
            <v>198.78</v>
          </cell>
          <cell r="O2342" t="str">
            <v>Y</v>
          </cell>
          <cell r="P2342" t="str">
            <v>N</v>
          </cell>
          <cell r="Q2342" t="str">
            <v>Short Term Sick</v>
          </cell>
          <cell r="S2342">
            <v>0.24</v>
          </cell>
        </row>
        <row r="2343">
          <cell r="D2343">
            <v>1108000884</v>
          </cell>
          <cell r="E2343" t="str">
            <v>COLLEN SIBANDA</v>
          </cell>
          <cell r="F2343" t="str">
            <v>D (Ch)</v>
          </cell>
          <cell r="G2343">
            <v>17235</v>
          </cell>
          <cell r="H2343" t="str">
            <v>Choice</v>
          </cell>
          <cell r="I2343">
            <v>0.5625</v>
          </cell>
          <cell r="J2343">
            <v>0.89583333333333337</v>
          </cell>
          <cell r="K2343">
            <v>7.6666666666666696</v>
          </cell>
          <cell r="L2343">
            <v>186.84</v>
          </cell>
          <cell r="O2343" t="str">
            <v>Y</v>
          </cell>
          <cell r="P2343" t="str">
            <v>N</v>
          </cell>
          <cell r="Q2343" t="str">
            <v>Annual Leave</v>
          </cell>
          <cell r="S2343">
            <v>0.2</v>
          </cell>
        </row>
        <row r="2344">
          <cell r="D2344">
            <v>1108002511</v>
          </cell>
          <cell r="E2344" t="str">
            <v>DAMILOLA AIKI</v>
          </cell>
          <cell r="F2344" t="str">
            <v>A (Ch)</v>
          </cell>
          <cell r="G2344">
            <v>17235</v>
          </cell>
          <cell r="H2344" t="str">
            <v>Choice</v>
          </cell>
          <cell r="I2344">
            <v>0.5625</v>
          </cell>
          <cell r="J2344">
            <v>0.89583333333333337</v>
          </cell>
          <cell r="K2344">
            <v>7.6666666666666696</v>
          </cell>
          <cell r="L2344">
            <v>85.02</v>
          </cell>
          <cell r="O2344" t="str">
            <v>Y</v>
          </cell>
          <cell r="P2344" t="str">
            <v>N</v>
          </cell>
          <cell r="Q2344" t="str">
            <v>Vacancy</v>
          </cell>
          <cell r="S2344">
            <v>0.2</v>
          </cell>
        </row>
        <row r="2345">
          <cell r="D2345">
            <v>1108002216</v>
          </cell>
          <cell r="E2345" t="str">
            <v>DENNIS DVENGE</v>
          </cell>
          <cell r="F2345" t="str">
            <v>D (Ch)</v>
          </cell>
          <cell r="G2345">
            <v>17244</v>
          </cell>
          <cell r="H2345" t="str">
            <v>Choice</v>
          </cell>
          <cell r="I2345">
            <v>0.88541666666666663</v>
          </cell>
          <cell r="J2345">
            <v>0.3125</v>
          </cell>
          <cell r="K2345">
            <v>9.25</v>
          </cell>
          <cell r="L2345">
            <v>293.05</v>
          </cell>
          <cell r="O2345" t="str">
            <v>Y</v>
          </cell>
          <cell r="P2345" t="str">
            <v>N</v>
          </cell>
          <cell r="Q2345" t="str">
            <v>Specials</v>
          </cell>
          <cell r="S2345">
            <v>0.25</v>
          </cell>
        </row>
        <row r="2346">
          <cell r="D2346">
            <v>1008000787</v>
          </cell>
          <cell r="E2346" t="str">
            <v>DIGRACIA  NAPE</v>
          </cell>
          <cell r="F2346" t="str">
            <v>D (MD)</v>
          </cell>
          <cell r="G2346">
            <v>343859</v>
          </cell>
          <cell r="H2346" t="str">
            <v>Mayday</v>
          </cell>
          <cell r="I2346">
            <v>0.625</v>
          </cell>
          <cell r="J2346">
            <v>0.85416666666666663</v>
          </cell>
          <cell r="K2346">
            <v>5.5</v>
          </cell>
          <cell r="L2346">
            <v>177.59</v>
          </cell>
          <cell r="O2346" t="str">
            <v>Y</v>
          </cell>
          <cell r="P2346" t="str">
            <v>N</v>
          </cell>
          <cell r="Q2346" t="str">
            <v>Vacancy</v>
          </cell>
          <cell r="S2346">
            <v>0.15</v>
          </cell>
        </row>
        <row r="2347">
          <cell r="D2347">
            <v>1008004045</v>
          </cell>
          <cell r="E2347" t="str">
            <v>EDMA ITALIA</v>
          </cell>
          <cell r="F2347" t="str">
            <v>D (Ch)</v>
          </cell>
          <cell r="G2347">
            <v>17233</v>
          </cell>
          <cell r="H2347" t="str">
            <v>Choice</v>
          </cell>
          <cell r="I2347">
            <v>0.83333333333333337</v>
          </cell>
          <cell r="J2347">
            <v>0.33333333333333331</v>
          </cell>
          <cell r="K2347">
            <v>11.3333333333333</v>
          </cell>
          <cell r="L2347">
            <v>359.05</v>
          </cell>
          <cell r="O2347" t="str">
            <v>Y</v>
          </cell>
          <cell r="P2347" t="str">
            <v>N</v>
          </cell>
          <cell r="Q2347" t="str">
            <v>Vacancy</v>
          </cell>
          <cell r="S2347">
            <v>0.3</v>
          </cell>
        </row>
        <row r="2348">
          <cell r="D2348">
            <v>1008004041</v>
          </cell>
          <cell r="E2348" t="str">
            <v>EVELYN PANESA</v>
          </cell>
          <cell r="F2348" t="str">
            <v>D (Ch)</v>
          </cell>
          <cell r="G2348">
            <v>17233</v>
          </cell>
          <cell r="H2348" t="str">
            <v>Choice</v>
          </cell>
          <cell r="I2348">
            <v>0.3125</v>
          </cell>
          <cell r="J2348">
            <v>0.54166666666666663</v>
          </cell>
          <cell r="K2348">
            <v>5.5</v>
          </cell>
          <cell r="L2348">
            <v>134.03</v>
          </cell>
          <cell r="O2348" t="str">
            <v>Y</v>
          </cell>
          <cell r="P2348" t="str">
            <v>N</v>
          </cell>
          <cell r="Q2348" t="str">
            <v>Vacancy</v>
          </cell>
          <cell r="S2348">
            <v>0.15</v>
          </cell>
        </row>
        <row r="2349">
          <cell r="D2349">
            <v>1008004042</v>
          </cell>
          <cell r="E2349" t="str">
            <v>EVELYN PANESA</v>
          </cell>
          <cell r="F2349" t="str">
            <v>D (Ch)</v>
          </cell>
          <cell r="G2349">
            <v>17233</v>
          </cell>
          <cell r="H2349" t="str">
            <v>Choice</v>
          </cell>
          <cell r="I2349">
            <v>0.625</v>
          </cell>
          <cell r="J2349">
            <v>0.85416666666666663</v>
          </cell>
          <cell r="K2349">
            <v>5.5</v>
          </cell>
          <cell r="L2349">
            <v>134.03</v>
          </cell>
          <cell r="O2349" t="str">
            <v>Y</v>
          </cell>
          <cell r="P2349" t="str">
            <v>N</v>
          </cell>
          <cell r="Q2349" t="str">
            <v>Vacancy</v>
          </cell>
          <cell r="S2349">
            <v>0.15</v>
          </cell>
        </row>
        <row r="2350">
          <cell r="D2350">
            <v>1108001631</v>
          </cell>
          <cell r="E2350" t="str">
            <v>FIONA DURKIN-GREER</v>
          </cell>
          <cell r="F2350" t="str">
            <v>D (MD)</v>
          </cell>
          <cell r="G2350">
            <v>343701</v>
          </cell>
          <cell r="H2350" t="str">
            <v>Mayday</v>
          </cell>
          <cell r="I2350">
            <v>0.60416666666666663</v>
          </cell>
          <cell r="J2350">
            <v>0.85416666666666663</v>
          </cell>
          <cell r="K2350">
            <v>5.6666666666666696</v>
          </cell>
          <cell r="L2350">
            <v>182.98</v>
          </cell>
          <cell r="O2350" t="str">
            <v>Y</v>
          </cell>
          <cell r="P2350" t="str">
            <v>N</v>
          </cell>
          <cell r="Q2350" t="str">
            <v>Extra Capacity</v>
          </cell>
          <cell r="S2350">
            <v>0.15</v>
          </cell>
        </row>
        <row r="2351">
          <cell r="D2351">
            <v>1108002214</v>
          </cell>
          <cell r="E2351" t="str">
            <v>GAYNOR DOTTIN</v>
          </cell>
          <cell r="F2351" t="str">
            <v>D (Ch)</v>
          </cell>
          <cell r="G2351">
            <v>17318</v>
          </cell>
          <cell r="H2351" t="str">
            <v>Choice</v>
          </cell>
          <cell r="I2351">
            <v>0.375</v>
          </cell>
          <cell r="J2351">
            <v>0.625</v>
          </cell>
          <cell r="K2351">
            <v>5.6666666666666696</v>
          </cell>
          <cell r="L2351">
            <v>138.1</v>
          </cell>
          <cell r="O2351" t="str">
            <v>Y</v>
          </cell>
          <cell r="P2351" t="str">
            <v>N</v>
          </cell>
          <cell r="Q2351" t="str">
            <v>Specials</v>
          </cell>
          <cell r="S2351">
            <v>0.15</v>
          </cell>
        </row>
        <row r="2352">
          <cell r="D2352">
            <v>1108002215</v>
          </cell>
          <cell r="E2352" t="str">
            <v>GAYNOR DOTTIN</v>
          </cell>
          <cell r="F2352" t="str">
            <v>D (Ch)</v>
          </cell>
          <cell r="G2352">
            <v>17318</v>
          </cell>
          <cell r="H2352" t="str">
            <v>Choice</v>
          </cell>
          <cell r="I2352">
            <v>0.625</v>
          </cell>
          <cell r="J2352">
            <v>0.88541666666666663</v>
          </cell>
          <cell r="K2352">
            <v>5.9166666666666696</v>
          </cell>
          <cell r="L2352">
            <v>144.19</v>
          </cell>
          <cell r="O2352" t="str">
            <v>Y</v>
          </cell>
          <cell r="P2352" t="str">
            <v>N</v>
          </cell>
          <cell r="Q2352" t="str">
            <v>Specials</v>
          </cell>
          <cell r="S2352">
            <v>0.16</v>
          </cell>
        </row>
        <row r="2353">
          <cell r="D2353">
            <v>1108001632</v>
          </cell>
          <cell r="E2353" t="str">
            <v>GERTHY ALBANO</v>
          </cell>
          <cell r="F2353" t="str">
            <v>D (Ch)</v>
          </cell>
          <cell r="G2353">
            <v>17238</v>
          </cell>
          <cell r="H2353" t="str">
            <v>Choice</v>
          </cell>
          <cell r="I2353">
            <v>0.83333333333333337</v>
          </cell>
          <cell r="J2353">
            <v>0.33333333333333331</v>
          </cell>
          <cell r="K2353">
            <v>11.3333333333333</v>
          </cell>
          <cell r="L2353">
            <v>359.05</v>
          </cell>
          <cell r="O2353" t="str">
            <v>Y</v>
          </cell>
          <cell r="P2353" t="str">
            <v>N</v>
          </cell>
          <cell r="Q2353" t="str">
            <v>Extra Capacity</v>
          </cell>
          <cell r="S2353">
            <v>0.3</v>
          </cell>
        </row>
        <row r="2354">
          <cell r="D2354">
            <v>1008006370</v>
          </cell>
          <cell r="E2354" t="str">
            <v>JAKE BROOKES</v>
          </cell>
          <cell r="F2354" t="str">
            <v>D General (Orio</v>
          </cell>
          <cell r="G2354">
            <v>18308</v>
          </cell>
          <cell r="H2354" t="str">
            <v>Orion</v>
          </cell>
          <cell r="I2354">
            <v>0.33333333333333331</v>
          </cell>
          <cell r="J2354">
            <v>0.75</v>
          </cell>
          <cell r="K2354">
            <v>9.6666666666666696</v>
          </cell>
          <cell r="L2354">
            <v>175.16</v>
          </cell>
          <cell r="O2354" t="str">
            <v>Y</v>
          </cell>
          <cell r="P2354" t="str">
            <v>N</v>
          </cell>
          <cell r="Q2354" t="str">
            <v>Long Term Sick</v>
          </cell>
          <cell r="S2354">
            <v>0.26</v>
          </cell>
        </row>
        <row r="2355">
          <cell r="D2355">
            <v>1108002551</v>
          </cell>
          <cell r="E2355" t="str">
            <v>JANE DUNSMURE</v>
          </cell>
          <cell r="F2355" t="str">
            <v>D/5 (PS)</v>
          </cell>
          <cell r="H2355" t="str">
            <v>Pinnacle Staffing</v>
          </cell>
          <cell r="I2355">
            <v>0.875</v>
          </cell>
          <cell r="J2355">
            <v>0.34375</v>
          </cell>
          <cell r="K2355">
            <v>10.9166666666667</v>
          </cell>
          <cell r="L2355">
            <v>241.12</v>
          </cell>
          <cell r="O2355" t="str">
            <v>Y</v>
          </cell>
          <cell r="P2355" t="str">
            <v>N</v>
          </cell>
          <cell r="Q2355" t="str">
            <v>Short Term Sick</v>
          </cell>
          <cell r="S2355">
            <v>0.28999999999999998</v>
          </cell>
        </row>
        <row r="2356">
          <cell r="D2356">
            <v>1108002468</v>
          </cell>
          <cell r="E2356" t="str">
            <v>JEAN NGONA</v>
          </cell>
          <cell r="F2356" t="str">
            <v>D (MD)</v>
          </cell>
          <cell r="G2356">
            <v>346844</v>
          </cell>
          <cell r="H2356" t="str">
            <v>Mayday</v>
          </cell>
          <cell r="I2356">
            <v>0.5625</v>
          </cell>
          <cell r="J2356">
            <v>0.89583333333333337</v>
          </cell>
          <cell r="K2356">
            <v>7.6666666666666696</v>
          </cell>
          <cell r="L2356">
            <v>247.56</v>
          </cell>
          <cell r="O2356" t="str">
            <v>Y</v>
          </cell>
          <cell r="P2356" t="str">
            <v>N</v>
          </cell>
          <cell r="Q2356" t="str">
            <v>Vacancy</v>
          </cell>
          <cell r="S2356">
            <v>0.2</v>
          </cell>
        </row>
        <row r="2357">
          <cell r="D2357">
            <v>1008006740</v>
          </cell>
          <cell r="E2357" t="str">
            <v>MABEL MNISI</v>
          </cell>
          <cell r="F2357" t="str">
            <v>D (MD)</v>
          </cell>
          <cell r="G2357">
            <v>344583</v>
          </cell>
          <cell r="H2357" t="str">
            <v>Mayday</v>
          </cell>
          <cell r="I2357">
            <v>0.3125</v>
          </cell>
          <cell r="J2357">
            <v>0.64583333333333337</v>
          </cell>
          <cell r="K2357">
            <v>7.5</v>
          </cell>
          <cell r="L2357">
            <v>242.17</v>
          </cell>
          <cell r="O2357" t="str">
            <v>Y</v>
          </cell>
          <cell r="P2357" t="str">
            <v>N</v>
          </cell>
          <cell r="Q2357" t="str">
            <v>Vacancy</v>
          </cell>
          <cell r="S2357">
            <v>0.2</v>
          </cell>
        </row>
        <row r="2358">
          <cell r="D2358">
            <v>1108002523</v>
          </cell>
          <cell r="E2358" t="str">
            <v>MERCY AFELE</v>
          </cell>
          <cell r="F2358" t="str">
            <v>D (MD)</v>
          </cell>
          <cell r="G2358">
            <v>343865</v>
          </cell>
          <cell r="H2358" t="str">
            <v>Mayday</v>
          </cell>
          <cell r="I2358">
            <v>0.5625</v>
          </cell>
          <cell r="J2358">
            <v>0.89583333333333337</v>
          </cell>
          <cell r="K2358">
            <v>7.6666666666666696</v>
          </cell>
          <cell r="L2358">
            <v>247.56</v>
          </cell>
          <cell r="O2358" t="str">
            <v>Y</v>
          </cell>
          <cell r="P2358" t="str">
            <v>N</v>
          </cell>
          <cell r="Q2358" t="str">
            <v>Short Term Sick</v>
          </cell>
          <cell r="S2358">
            <v>0.2</v>
          </cell>
        </row>
        <row r="2359">
          <cell r="D2359">
            <v>1108001629</v>
          </cell>
          <cell r="E2359" t="str">
            <v>MIHAELA CHIRIBAU</v>
          </cell>
          <cell r="F2359" t="str">
            <v>D (MD)</v>
          </cell>
          <cell r="G2359">
            <v>343747</v>
          </cell>
          <cell r="H2359" t="str">
            <v>Mayday</v>
          </cell>
          <cell r="I2359">
            <v>0.3125</v>
          </cell>
          <cell r="J2359">
            <v>0.60416666666666663</v>
          </cell>
          <cell r="K2359">
            <v>6.6666666666666696</v>
          </cell>
          <cell r="L2359">
            <v>215.27</v>
          </cell>
          <cell r="O2359" t="str">
            <v>Y</v>
          </cell>
          <cell r="P2359" t="str">
            <v>N</v>
          </cell>
          <cell r="Q2359" t="str">
            <v>Extra Capacity</v>
          </cell>
          <cell r="S2359">
            <v>0.18</v>
          </cell>
        </row>
        <row r="2360">
          <cell r="D2360">
            <v>1108001630</v>
          </cell>
          <cell r="E2360" t="str">
            <v>MIHAELA CHIRIBAU</v>
          </cell>
          <cell r="F2360" t="str">
            <v>D (MD)</v>
          </cell>
          <cell r="G2360">
            <v>343747</v>
          </cell>
          <cell r="H2360" t="str">
            <v>Mayday</v>
          </cell>
          <cell r="I2360">
            <v>0.60416666666666663</v>
          </cell>
          <cell r="J2360">
            <v>0.85416666666666663</v>
          </cell>
          <cell r="K2360">
            <v>5.6666666666666696</v>
          </cell>
          <cell r="L2360">
            <v>182.98</v>
          </cell>
          <cell r="O2360" t="str">
            <v>Y</v>
          </cell>
          <cell r="P2360" t="str">
            <v>N</v>
          </cell>
          <cell r="Q2360" t="str">
            <v>Extra Capacity</v>
          </cell>
          <cell r="S2360">
            <v>0.15</v>
          </cell>
        </row>
        <row r="2361">
          <cell r="D2361">
            <v>1108001820</v>
          </cell>
          <cell r="E2361" t="str">
            <v>MZUKISI SPEELMAN</v>
          </cell>
          <cell r="F2361" t="str">
            <v>A (Ch)</v>
          </cell>
          <cell r="G2361">
            <v>17242</v>
          </cell>
          <cell r="H2361" t="str">
            <v>Choice</v>
          </cell>
          <cell r="I2361">
            <v>0.29166666666666669</v>
          </cell>
          <cell r="J2361">
            <v>0.625</v>
          </cell>
          <cell r="K2361">
            <v>7.6666666666666696</v>
          </cell>
          <cell r="L2361">
            <v>85.02</v>
          </cell>
          <cell r="O2361" t="str">
            <v>Y</v>
          </cell>
          <cell r="P2361" t="str">
            <v>N</v>
          </cell>
          <cell r="Q2361" t="str">
            <v>Specials</v>
          </cell>
          <cell r="S2361">
            <v>0.2</v>
          </cell>
        </row>
        <row r="2362">
          <cell r="D2362">
            <v>1108001821</v>
          </cell>
          <cell r="E2362" t="str">
            <v>MZUKISI SPEELMAN</v>
          </cell>
          <cell r="F2362" t="str">
            <v>A (Ch)</v>
          </cell>
          <cell r="G2362">
            <v>17242</v>
          </cell>
          <cell r="H2362" t="str">
            <v>Choice</v>
          </cell>
          <cell r="I2362">
            <v>0.625</v>
          </cell>
          <cell r="J2362">
            <v>0.88541666666666663</v>
          </cell>
          <cell r="K2362">
            <v>5.9166666666666696</v>
          </cell>
          <cell r="L2362">
            <v>65.62</v>
          </cell>
          <cell r="O2362" t="str">
            <v>Y</v>
          </cell>
          <cell r="P2362" t="str">
            <v>N</v>
          </cell>
          <cell r="Q2362" t="str">
            <v>Specials</v>
          </cell>
          <cell r="S2362">
            <v>0.16</v>
          </cell>
        </row>
        <row r="2363">
          <cell r="D2363">
            <v>1008006394</v>
          </cell>
          <cell r="E2363" t="str">
            <v>PAT DUBE</v>
          </cell>
          <cell r="F2363" t="str">
            <v>D (MD)</v>
          </cell>
          <cell r="G2363">
            <v>342986</v>
          </cell>
          <cell r="H2363" t="str">
            <v>Mayday</v>
          </cell>
          <cell r="I2363">
            <v>0.58333333333333337</v>
          </cell>
          <cell r="J2363">
            <v>0.875</v>
          </cell>
          <cell r="K2363">
            <v>7</v>
          </cell>
          <cell r="L2363">
            <v>226.03</v>
          </cell>
          <cell r="O2363" t="str">
            <v>Y</v>
          </cell>
          <cell r="P2363" t="str">
            <v>N</v>
          </cell>
          <cell r="Q2363" t="str">
            <v>Vacancy</v>
          </cell>
          <cell r="S2363">
            <v>0.19</v>
          </cell>
        </row>
        <row r="2364">
          <cell r="D2364">
            <v>1108001650</v>
          </cell>
          <cell r="E2364" t="str">
            <v>PAT MUGABZA</v>
          </cell>
          <cell r="F2364" t="str">
            <v>A (Ch)</v>
          </cell>
          <cell r="H2364" t="str">
            <v>Choice</v>
          </cell>
          <cell r="I2364">
            <v>0.3125</v>
          </cell>
          <cell r="J2364">
            <v>0.5625</v>
          </cell>
          <cell r="K2364">
            <v>5.6666666666666696</v>
          </cell>
          <cell r="L2364">
            <v>62.84</v>
          </cell>
          <cell r="O2364" t="str">
            <v>Y</v>
          </cell>
          <cell r="P2364" t="str">
            <v>N</v>
          </cell>
          <cell r="Q2364" t="str">
            <v>Short Term Sick</v>
          </cell>
          <cell r="S2364">
            <v>0.15</v>
          </cell>
        </row>
        <row r="2365">
          <cell r="D2365">
            <v>1008004043</v>
          </cell>
          <cell r="E2365" t="str">
            <v>PEGGY MAPOGO</v>
          </cell>
          <cell r="F2365" t="str">
            <v>D (Ch)</v>
          </cell>
          <cell r="G2365">
            <v>17233</v>
          </cell>
          <cell r="H2365" t="str">
            <v>Choice</v>
          </cell>
          <cell r="I2365">
            <v>0.625</v>
          </cell>
          <cell r="J2365">
            <v>0.85416666666666663</v>
          </cell>
          <cell r="K2365">
            <v>5.5</v>
          </cell>
          <cell r="L2365">
            <v>134.03</v>
          </cell>
          <cell r="O2365" t="str">
            <v>Y</v>
          </cell>
          <cell r="P2365" t="str">
            <v>N</v>
          </cell>
          <cell r="Q2365" t="str">
            <v>Vacancy</v>
          </cell>
          <cell r="S2365">
            <v>0.15</v>
          </cell>
        </row>
        <row r="2366">
          <cell r="D2366">
            <v>1108000326</v>
          </cell>
          <cell r="E2366" t="str">
            <v>PEGGY MAPOGO</v>
          </cell>
          <cell r="F2366" t="str">
            <v>D (Ch)</v>
          </cell>
          <cell r="G2366">
            <v>17233</v>
          </cell>
          <cell r="H2366" t="str">
            <v>Choice</v>
          </cell>
          <cell r="I2366">
            <v>0.3125</v>
          </cell>
          <cell r="J2366">
            <v>0.54166666666666663</v>
          </cell>
          <cell r="K2366">
            <v>5.5</v>
          </cell>
          <cell r="L2366">
            <v>134.03</v>
          </cell>
          <cell r="O2366" t="str">
            <v>Y</v>
          </cell>
          <cell r="P2366" t="str">
            <v>N</v>
          </cell>
          <cell r="Q2366" t="str">
            <v>Extra Capacity</v>
          </cell>
          <cell r="S2366">
            <v>0.15</v>
          </cell>
        </row>
        <row r="2367">
          <cell r="D2367">
            <v>1008005636</v>
          </cell>
          <cell r="E2367" t="str">
            <v>ROHEYATOU NDOW-NJIE</v>
          </cell>
          <cell r="F2367" t="str">
            <v>D (Ch)</v>
          </cell>
          <cell r="G2367">
            <v>17371</v>
          </cell>
          <cell r="H2367" t="str">
            <v>Choice</v>
          </cell>
          <cell r="I2367">
            <v>0.5625</v>
          </cell>
          <cell r="J2367">
            <v>0.875</v>
          </cell>
          <cell r="K2367">
            <v>7.1666666666666696</v>
          </cell>
          <cell r="L2367">
            <v>174.65</v>
          </cell>
          <cell r="O2367" t="str">
            <v>Y</v>
          </cell>
          <cell r="P2367" t="str">
            <v>N</v>
          </cell>
          <cell r="Q2367" t="str">
            <v>Vacancy</v>
          </cell>
          <cell r="S2367">
            <v>0.19</v>
          </cell>
        </row>
        <row r="2368">
          <cell r="D2368">
            <v>1108000883</v>
          </cell>
          <cell r="E2368" t="str">
            <v>ROHEYATOU NDOW-NJIE</v>
          </cell>
          <cell r="F2368" t="str">
            <v>D (Ch)</v>
          </cell>
          <cell r="G2368">
            <v>17371</v>
          </cell>
          <cell r="H2368" t="str">
            <v>Choice</v>
          </cell>
          <cell r="I2368">
            <v>0.3125</v>
          </cell>
          <cell r="J2368">
            <v>0.5625</v>
          </cell>
          <cell r="K2368">
            <v>5.6666666666666696</v>
          </cell>
          <cell r="L2368">
            <v>138.1</v>
          </cell>
          <cell r="O2368" t="str">
            <v>Y</v>
          </cell>
          <cell r="P2368" t="str">
            <v>N</v>
          </cell>
          <cell r="Q2368" t="str">
            <v>Annual Leave</v>
          </cell>
          <cell r="S2368">
            <v>0.15</v>
          </cell>
        </row>
        <row r="2369">
          <cell r="D2369">
            <v>1108000745</v>
          </cell>
          <cell r="E2369" t="str">
            <v>SEREELETSO MAITIYO</v>
          </cell>
          <cell r="F2369" t="str">
            <v>D (Ch)</v>
          </cell>
          <cell r="G2369">
            <v>17317</v>
          </cell>
          <cell r="H2369" t="str">
            <v>Choice</v>
          </cell>
          <cell r="I2369">
            <v>0.3125</v>
          </cell>
          <cell r="J2369">
            <v>0.60416666666666663</v>
          </cell>
          <cell r="K2369">
            <v>6.6666666666666696</v>
          </cell>
          <cell r="L2369">
            <v>162.47</v>
          </cell>
          <cell r="O2369" t="str">
            <v>Y</v>
          </cell>
          <cell r="P2369" t="str">
            <v>N</v>
          </cell>
          <cell r="Q2369" t="str">
            <v>Short Term Sick</v>
          </cell>
          <cell r="S2369">
            <v>0.18</v>
          </cell>
        </row>
        <row r="2370">
          <cell r="D2370">
            <v>1108000721</v>
          </cell>
          <cell r="E2370" t="str">
            <v>SUNITHA SINGH</v>
          </cell>
          <cell r="F2370" t="str">
            <v>D (MD)</v>
          </cell>
          <cell r="G2370">
            <v>343703</v>
          </cell>
          <cell r="H2370" t="str">
            <v>Mayday</v>
          </cell>
          <cell r="I2370">
            <v>0.375</v>
          </cell>
          <cell r="J2370">
            <v>0.58333333333333337</v>
          </cell>
          <cell r="K2370">
            <v>5</v>
          </cell>
          <cell r="L2370">
            <v>161.44999999999999</v>
          </cell>
          <cell r="O2370" t="str">
            <v>Y</v>
          </cell>
          <cell r="P2370" t="str">
            <v>N</v>
          </cell>
          <cell r="Q2370" t="str">
            <v>Long Term Sick</v>
          </cell>
          <cell r="S2370">
            <v>0.13</v>
          </cell>
        </row>
        <row r="2371">
          <cell r="D2371">
            <v>1108000876</v>
          </cell>
          <cell r="E2371" t="str">
            <v>TAEL MHANGO</v>
          </cell>
          <cell r="F2371" t="str">
            <v>D (Ch)</v>
          </cell>
          <cell r="H2371" t="str">
            <v>Choice</v>
          </cell>
          <cell r="I2371">
            <v>0.875</v>
          </cell>
          <cell r="J2371">
            <v>0.32291666666666669</v>
          </cell>
          <cell r="K2371">
            <v>10</v>
          </cell>
          <cell r="L2371">
            <v>316.81</v>
          </cell>
          <cell r="O2371" t="str">
            <v>Y</v>
          </cell>
          <cell r="P2371" t="str">
            <v>N</v>
          </cell>
          <cell r="Q2371" t="str">
            <v>Specials</v>
          </cell>
          <cell r="S2371">
            <v>0.27</v>
          </cell>
        </row>
        <row r="2372">
          <cell r="D2372">
            <v>1108001628</v>
          </cell>
          <cell r="E2372" t="str">
            <v>TARA MASSIE</v>
          </cell>
          <cell r="F2372" t="str">
            <v>D (MD)</v>
          </cell>
          <cell r="G2372">
            <v>343706</v>
          </cell>
          <cell r="H2372" t="str">
            <v>Mayday</v>
          </cell>
          <cell r="I2372">
            <v>0.3125</v>
          </cell>
          <cell r="J2372">
            <v>0.60416666666666663</v>
          </cell>
          <cell r="K2372">
            <v>6.6666666666666696</v>
          </cell>
          <cell r="L2372">
            <v>215.27</v>
          </cell>
          <cell r="O2372" t="str">
            <v>Y</v>
          </cell>
          <cell r="P2372" t="str">
            <v>N</v>
          </cell>
          <cell r="Q2372" t="str">
            <v>Extra Capacity</v>
          </cell>
          <cell r="S2372">
            <v>0.18</v>
          </cell>
        </row>
        <row r="2373">
          <cell r="D2373">
            <v>1108002513</v>
          </cell>
          <cell r="E2373" t="str">
            <v>TEMBE NGIDI</v>
          </cell>
          <cell r="F2373" t="str">
            <v>D (MD)</v>
          </cell>
          <cell r="G2373">
            <v>343760</v>
          </cell>
          <cell r="H2373" t="str">
            <v>Mayday</v>
          </cell>
          <cell r="I2373">
            <v>0.8125</v>
          </cell>
          <cell r="J2373">
            <v>0.33333333333333331</v>
          </cell>
          <cell r="K2373">
            <v>11.8333333333333</v>
          </cell>
          <cell r="L2373">
            <v>496.73</v>
          </cell>
          <cell r="O2373" t="str">
            <v>Y</v>
          </cell>
          <cell r="P2373" t="str">
            <v>N</v>
          </cell>
          <cell r="Q2373" t="str">
            <v>Short Term Sick</v>
          </cell>
          <cell r="S2373">
            <v>0.32</v>
          </cell>
        </row>
        <row r="2374">
          <cell r="D2374">
            <v>1108001376</v>
          </cell>
          <cell r="E2374" t="str">
            <v>ALLI SUBRAMANIAM</v>
          </cell>
          <cell r="F2374" t="str">
            <v>D (MD)</v>
          </cell>
          <cell r="G2374">
            <v>344988</v>
          </cell>
          <cell r="H2374" t="str">
            <v>Mayday</v>
          </cell>
          <cell r="I2374">
            <v>0.3125</v>
          </cell>
          <cell r="J2374">
            <v>0.625</v>
          </cell>
          <cell r="K2374">
            <v>7.1666666666666696</v>
          </cell>
          <cell r="L2374">
            <v>231.41</v>
          </cell>
          <cell r="O2374" t="str">
            <v>Y</v>
          </cell>
          <cell r="P2374" t="str">
            <v>N</v>
          </cell>
          <cell r="Q2374" t="str">
            <v>Extra Capacity</v>
          </cell>
          <cell r="S2374">
            <v>0.19</v>
          </cell>
        </row>
        <row r="2375">
          <cell r="D2375">
            <v>1108001378</v>
          </cell>
          <cell r="E2375" t="str">
            <v>BERTHA CHITABO</v>
          </cell>
          <cell r="F2375" t="str">
            <v>D (Ch)</v>
          </cell>
          <cell r="G2375">
            <v>17238</v>
          </cell>
          <cell r="H2375" t="str">
            <v>Choice</v>
          </cell>
          <cell r="I2375">
            <v>0.83333333333333337</v>
          </cell>
          <cell r="J2375">
            <v>0.33333333333333331</v>
          </cell>
          <cell r="K2375">
            <v>11.3333333333333</v>
          </cell>
          <cell r="L2375">
            <v>359.05</v>
          </cell>
          <cell r="O2375" t="str">
            <v>Y</v>
          </cell>
          <cell r="P2375" t="str">
            <v>N</v>
          </cell>
          <cell r="Q2375" t="str">
            <v>Extra Capacity</v>
          </cell>
          <cell r="S2375">
            <v>0.3</v>
          </cell>
        </row>
        <row r="2376">
          <cell r="D2376">
            <v>1108001377</v>
          </cell>
          <cell r="E2376" t="str">
            <v>BRIGHTNESS NDEBELE</v>
          </cell>
          <cell r="F2376" t="str">
            <v>D (MD)</v>
          </cell>
          <cell r="G2376">
            <v>342971</v>
          </cell>
          <cell r="H2376" t="str">
            <v>Mayday</v>
          </cell>
          <cell r="I2376">
            <v>0.3125</v>
          </cell>
          <cell r="J2376">
            <v>0.625</v>
          </cell>
          <cell r="K2376">
            <v>7.1666666666666696</v>
          </cell>
          <cell r="L2376">
            <v>231.41</v>
          </cell>
          <cell r="O2376" t="str">
            <v>Y</v>
          </cell>
          <cell r="P2376" t="str">
            <v>N</v>
          </cell>
          <cell r="Q2376" t="str">
            <v>Extra Capacity</v>
          </cell>
          <cell r="S2376">
            <v>0.19</v>
          </cell>
        </row>
        <row r="2377">
          <cell r="D2377">
            <v>1108002815</v>
          </cell>
          <cell r="E2377" t="str">
            <v>BRIGHTNESS NDEBELE</v>
          </cell>
          <cell r="F2377" t="str">
            <v>D (MD)</v>
          </cell>
          <cell r="G2377">
            <v>342971</v>
          </cell>
          <cell r="H2377" t="str">
            <v>Mayday</v>
          </cell>
          <cell r="I2377">
            <v>0.64583333333333337</v>
          </cell>
          <cell r="J2377">
            <v>0.85416666666666663</v>
          </cell>
          <cell r="K2377">
            <v>5.5</v>
          </cell>
          <cell r="L2377">
            <v>177.59</v>
          </cell>
          <cell r="O2377" t="str">
            <v>Y</v>
          </cell>
          <cell r="P2377" t="str">
            <v>N</v>
          </cell>
          <cell r="Q2377" t="str">
            <v>Short Term Sick</v>
          </cell>
          <cell r="S2377">
            <v>0.15</v>
          </cell>
        </row>
        <row r="2378">
          <cell r="D2378">
            <v>1108001651</v>
          </cell>
          <cell r="E2378" t="str">
            <v>DAMILOLA AIKI</v>
          </cell>
          <cell r="F2378" t="str">
            <v>A (Ch)</v>
          </cell>
          <cell r="G2378">
            <v>17235</v>
          </cell>
          <cell r="H2378" t="str">
            <v>Choice</v>
          </cell>
          <cell r="I2378">
            <v>0.3125</v>
          </cell>
          <cell r="J2378">
            <v>0.5625</v>
          </cell>
          <cell r="K2378">
            <v>5.6666666666666696</v>
          </cell>
          <cell r="L2378">
            <v>62.84</v>
          </cell>
          <cell r="O2378" t="str">
            <v>Y</v>
          </cell>
          <cell r="P2378" t="str">
            <v>N</v>
          </cell>
          <cell r="Q2378" t="str">
            <v>Short Term Sick</v>
          </cell>
          <cell r="S2378">
            <v>0.15</v>
          </cell>
        </row>
        <row r="2379">
          <cell r="D2379">
            <v>1108002652</v>
          </cell>
          <cell r="E2379" t="str">
            <v>DIGRACIA  NAPE</v>
          </cell>
          <cell r="F2379" t="str">
            <v>D (MD)</v>
          </cell>
          <cell r="G2379">
            <v>343712</v>
          </cell>
          <cell r="H2379" t="str">
            <v>Mayday</v>
          </cell>
          <cell r="I2379">
            <v>0.3125</v>
          </cell>
          <cell r="J2379">
            <v>0.85416666666666663</v>
          </cell>
          <cell r="K2379">
            <v>12.3333333333333</v>
          </cell>
          <cell r="L2379">
            <v>398.24</v>
          </cell>
          <cell r="O2379" t="str">
            <v>Y</v>
          </cell>
          <cell r="P2379" t="str">
            <v>N</v>
          </cell>
          <cell r="Q2379" t="str">
            <v>Extra Capacity</v>
          </cell>
          <cell r="S2379">
            <v>0.33</v>
          </cell>
        </row>
        <row r="2380">
          <cell r="D2380">
            <v>1108001379</v>
          </cell>
          <cell r="E2380" t="str">
            <v>DONALD YANZA</v>
          </cell>
          <cell r="F2380" t="str">
            <v>D (Ch)</v>
          </cell>
          <cell r="H2380" t="str">
            <v>Choice</v>
          </cell>
          <cell r="I2380">
            <v>0.83333333333333337</v>
          </cell>
          <cell r="J2380">
            <v>0.33333333333333331</v>
          </cell>
          <cell r="K2380">
            <v>11.3333333333333</v>
          </cell>
          <cell r="L2380">
            <v>359.05</v>
          </cell>
          <cell r="O2380" t="str">
            <v>Y</v>
          </cell>
          <cell r="P2380" t="str">
            <v>N</v>
          </cell>
          <cell r="Q2380" t="str">
            <v>Extra Capacity</v>
          </cell>
          <cell r="S2380">
            <v>0.3</v>
          </cell>
        </row>
        <row r="2381">
          <cell r="D2381">
            <v>1108002682</v>
          </cell>
          <cell r="E2381" t="str">
            <v>EUNICE ADEBANJO</v>
          </cell>
          <cell r="F2381" t="str">
            <v>D (Ch)</v>
          </cell>
          <cell r="G2381">
            <v>17230</v>
          </cell>
          <cell r="H2381" t="str">
            <v>Choice</v>
          </cell>
          <cell r="I2381">
            <v>0.8125</v>
          </cell>
          <cell r="J2381">
            <v>0.33333333333333331</v>
          </cell>
          <cell r="K2381">
            <v>11.8333333333333</v>
          </cell>
          <cell r="L2381">
            <v>374.89</v>
          </cell>
          <cell r="O2381" t="str">
            <v>Y</v>
          </cell>
          <cell r="P2381" t="str">
            <v>N</v>
          </cell>
          <cell r="Q2381" t="str">
            <v>Short Term Sick</v>
          </cell>
          <cell r="S2381">
            <v>0.32</v>
          </cell>
        </row>
        <row r="2382">
          <cell r="D2382">
            <v>1008004047</v>
          </cell>
          <cell r="E2382" t="str">
            <v>EVELYN PANESA</v>
          </cell>
          <cell r="F2382" t="str">
            <v>D (Ch)</v>
          </cell>
          <cell r="G2382">
            <v>17233</v>
          </cell>
          <cell r="H2382" t="str">
            <v>Choice</v>
          </cell>
          <cell r="I2382">
            <v>0.3125</v>
          </cell>
          <cell r="J2382">
            <v>0.54166666666666663</v>
          </cell>
          <cell r="K2382">
            <v>5.5</v>
          </cell>
          <cell r="L2382">
            <v>134.03</v>
          </cell>
          <cell r="O2382" t="str">
            <v>Y</v>
          </cell>
          <cell r="P2382" t="str">
            <v>N</v>
          </cell>
          <cell r="Q2382" t="str">
            <v>Vacancy</v>
          </cell>
          <cell r="S2382">
            <v>0.15</v>
          </cell>
        </row>
        <row r="2383">
          <cell r="D2383">
            <v>1008004048</v>
          </cell>
          <cell r="E2383" t="str">
            <v>EVELYN PANESA</v>
          </cell>
          <cell r="F2383" t="str">
            <v>D (Ch)</v>
          </cell>
          <cell r="G2383">
            <v>17233</v>
          </cell>
          <cell r="H2383" t="str">
            <v>Choice</v>
          </cell>
          <cell r="I2383">
            <v>0.625</v>
          </cell>
          <cell r="J2383">
            <v>0.85416666666666663</v>
          </cell>
          <cell r="K2383">
            <v>5.5</v>
          </cell>
          <cell r="L2383">
            <v>134.03</v>
          </cell>
          <cell r="O2383" t="str">
            <v>Y</v>
          </cell>
          <cell r="P2383" t="str">
            <v>N</v>
          </cell>
          <cell r="Q2383" t="str">
            <v>Vacancy</v>
          </cell>
          <cell r="S2383">
            <v>0.15</v>
          </cell>
        </row>
        <row r="2384">
          <cell r="D2384">
            <v>1008005033</v>
          </cell>
          <cell r="E2384" t="str">
            <v>FIONA DURKIN-GREER</v>
          </cell>
          <cell r="F2384" t="str">
            <v>D (MD)</v>
          </cell>
          <cell r="G2384">
            <v>343700</v>
          </cell>
          <cell r="H2384" t="str">
            <v>Mayday</v>
          </cell>
          <cell r="I2384">
            <v>0.625</v>
          </cell>
          <cell r="J2384">
            <v>0.875</v>
          </cell>
          <cell r="K2384">
            <v>5.6666666666666696</v>
          </cell>
          <cell r="L2384">
            <v>182.98</v>
          </cell>
          <cell r="O2384" t="str">
            <v>Y</v>
          </cell>
          <cell r="P2384" t="str">
            <v>N</v>
          </cell>
          <cell r="Q2384" t="str">
            <v>Backfill</v>
          </cell>
          <cell r="S2384">
            <v>0.15</v>
          </cell>
        </row>
        <row r="2385">
          <cell r="D2385">
            <v>1008005420</v>
          </cell>
          <cell r="E2385" t="str">
            <v>JAKE BROOKES</v>
          </cell>
          <cell r="F2385" t="str">
            <v>D General (Orio</v>
          </cell>
          <cell r="G2385">
            <v>18308</v>
          </cell>
          <cell r="H2385" t="str">
            <v>Orion</v>
          </cell>
          <cell r="I2385">
            <v>0.33333333333333331</v>
          </cell>
          <cell r="J2385">
            <v>0.75</v>
          </cell>
          <cell r="K2385">
            <v>9.6666666666666696</v>
          </cell>
          <cell r="L2385">
            <v>175.16</v>
          </cell>
          <cell r="O2385" t="str">
            <v>Y</v>
          </cell>
          <cell r="P2385" t="str">
            <v>N</v>
          </cell>
          <cell r="Q2385" t="str">
            <v>Long Term Sick</v>
          </cell>
          <cell r="S2385">
            <v>0.26</v>
          </cell>
        </row>
        <row r="2386">
          <cell r="D2386">
            <v>1108002265</v>
          </cell>
          <cell r="E2386" t="str">
            <v>JANE DUNSMURE</v>
          </cell>
          <cell r="F2386" t="str">
            <v>D/5 (PS)</v>
          </cell>
          <cell r="H2386" t="str">
            <v>Pinnacle Staffing</v>
          </cell>
          <cell r="I2386">
            <v>0.82291666666666663</v>
          </cell>
          <cell r="J2386">
            <v>0.34375</v>
          </cell>
          <cell r="K2386">
            <v>10.5</v>
          </cell>
          <cell r="L2386">
            <v>231.91</v>
          </cell>
          <cell r="O2386" t="str">
            <v>Y</v>
          </cell>
          <cell r="P2386" t="str">
            <v>N</v>
          </cell>
          <cell r="Q2386" t="str">
            <v>Backfill</v>
          </cell>
          <cell r="S2386">
            <v>0.28000000000000003</v>
          </cell>
        </row>
        <row r="2387">
          <cell r="D2387">
            <v>1008001341</v>
          </cell>
          <cell r="E2387" t="str">
            <v>KATIE KEAVENEY</v>
          </cell>
          <cell r="F2387" t="str">
            <v>D (MD)</v>
          </cell>
          <cell r="G2387">
            <v>343857</v>
          </cell>
          <cell r="H2387" t="str">
            <v>Mayday</v>
          </cell>
          <cell r="I2387">
            <v>0.625</v>
          </cell>
          <cell r="J2387">
            <v>0.84375</v>
          </cell>
          <cell r="K2387">
            <v>5.25</v>
          </cell>
          <cell r="L2387">
            <v>169.52</v>
          </cell>
          <cell r="O2387" t="str">
            <v>Y</v>
          </cell>
          <cell r="P2387" t="str">
            <v>N</v>
          </cell>
          <cell r="Q2387" t="str">
            <v>Vacancy</v>
          </cell>
          <cell r="S2387">
            <v>0.14000000000000001</v>
          </cell>
        </row>
        <row r="2388">
          <cell r="D2388">
            <v>1008000757</v>
          </cell>
          <cell r="E2388" t="str">
            <v>LEONA CONTRERAS</v>
          </cell>
          <cell r="F2388" t="str">
            <v>D (MD)</v>
          </cell>
          <cell r="G2388">
            <v>343860</v>
          </cell>
          <cell r="H2388" t="str">
            <v>Mayday</v>
          </cell>
          <cell r="I2388">
            <v>0.625</v>
          </cell>
          <cell r="J2388">
            <v>0.85416666666666663</v>
          </cell>
          <cell r="K2388">
            <v>5.5</v>
          </cell>
          <cell r="L2388">
            <v>177.59</v>
          </cell>
          <cell r="O2388" t="str">
            <v>Y</v>
          </cell>
          <cell r="P2388" t="str">
            <v>N</v>
          </cell>
          <cell r="Q2388" t="str">
            <v>Vacancy</v>
          </cell>
          <cell r="S2388">
            <v>0.15</v>
          </cell>
        </row>
        <row r="2389">
          <cell r="D2389">
            <v>1008006400</v>
          </cell>
          <cell r="E2389" t="str">
            <v>MABEL MNISI</v>
          </cell>
          <cell r="F2389" t="str">
            <v>D (MD)</v>
          </cell>
          <cell r="G2389">
            <v>344983</v>
          </cell>
          <cell r="H2389" t="str">
            <v>Mayday</v>
          </cell>
          <cell r="I2389">
            <v>0.58333333333333337</v>
          </cell>
          <cell r="J2389">
            <v>0.875</v>
          </cell>
          <cell r="K2389">
            <v>7</v>
          </cell>
          <cell r="L2389">
            <v>226.03</v>
          </cell>
          <cell r="O2389" t="str">
            <v>Y</v>
          </cell>
          <cell r="P2389" t="str">
            <v>N</v>
          </cell>
          <cell r="Q2389" t="str">
            <v>Vacancy</v>
          </cell>
          <cell r="S2389">
            <v>0.19</v>
          </cell>
        </row>
        <row r="2390">
          <cell r="D2390">
            <v>1108002894</v>
          </cell>
          <cell r="E2390" t="str">
            <v>MAGDALINE NGOMANE</v>
          </cell>
          <cell r="F2390" t="str">
            <v>D (MD)</v>
          </cell>
          <cell r="G2390">
            <v>342985</v>
          </cell>
          <cell r="H2390" t="str">
            <v>Mayday</v>
          </cell>
          <cell r="I2390">
            <v>0.30208333333333331</v>
          </cell>
          <cell r="J2390">
            <v>0.63541666666666663</v>
          </cell>
          <cell r="K2390">
            <v>7.5</v>
          </cell>
          <cell r="L2390">
            <v>242.17</v>
          </cell>
          <cell r="O2390" t="str">
            <v>Y</v>
          </cell>
          <cell r="P2390" t="str">
            <v>N</v>
          </cell>
          <cell r="Q2390" t="str">
            <v>On-Call</v>
          </cell>
          <cell r="S2390">
            <v>0.2</v>
          </cell>
        </row>
        <row r="2391">
          <cell r="D2391">
            <v>1108002655</v>
          </cell>
          <cell r="E2391" t="str">
            <v>MARIA LINGAT</v>
          </cell>
          <cell r="F2391" t="str">
            <v>D (Ch)</v>
          </cell>
          <cell r="H2391" t="str">
            <v>Choice</v>
          </cell>
          <cell r="I2391">
            <v>0.83333333333333337</v>
          </cell>
          <cell r="J2391">
            <v>0.33333333333333331</v>
          </cell>
          <cell r="K2391">
            <v>11.3333333333333</v>
          </cell>
          <cell r="L2391">
            <v>359.05</v>
          </cell>
          <cell r="O2391" t="str">
            <v>Y</v>
          </cell>
          <cell r="P2391" t="str">
            <v>N</v>
          </cell>
          <cell r="Q2391" t="str">
            <v>Extra Capacity</v>
          </cell>
          <cell r="S2391">
            <v>0.3</v>
          </cell>
        </row>
        <row r="2392">
          <cell r="D2392">
            <v>1108002510</v>
          </cell>
          <cell r="E2392" t="str">
            <v>MARIAN KOKAVEC</v>
          </cell>
          <cell r="F2392" t="str">
            <v>2 General (Adva</v>
          </cell>
          <cell r="G2392">
            <v>1408618</v>
          </cell>
          <cell r="H2392" t="str">
            <v>Advantage</v>
          </cell>
          <cell r="I2392">
            <v>0.625</v>
          </cell>
          <cell r="J2392">
            <v>0.875</v>
          </cell>
          <cell r="K2392">
            <v>5.75</v>
          </cell>
          <cell r="L2392">
            <v>53.3</v>
          </cell>
          <cell r="O2392" t="str">
            <v>Y</v>
          </cell>
          <cell r="P2392" t="str">
            <v>N</v>
          </cell>
          <cell r="Q2392" t="str">
            <v>Short Term Sick</v>
          </cell>
          <cell r="S2392">
            <v>0.15</v>
          </cell>
        </row>
        <row r="2393">
          <cell r="D2393">
            <v>1108002509</v>
          </cell>
          <cell r="E2393" t="str">
            <v>MERCY AFELE</v>
          </cell>
          <cell r="F2393" t="str">
            <v>D (MD)</v>
          </cell>
          <cell r="G2393">
            <v>343866</v>
          </cell>
          <cell r="H2393" t="str">
            <v>Mayday</v>
          </cell>
          <cell r="I2393">
            <v>0.29166666666666669</v>
          </cell>
          <cell r="J2393">
            <v>0.54166666666666663</v>
          </cell>
          <cell r="K2393">
            <v>5.75</v>
          </cell>
          <cell r="L2393">
            <v>185.67</v>
          </cell>
          <cell r="O2393" t="str">
            <v>Y</v>
          </cell>
          <cell r="P2393" t="str">
            <v>N</v>
          </cell>
          <cell r="Q2393" t="str">
            <v>Short Term Sick</v>
          </cell>
          <cell r="S2393">
            <v>0.15</v>
          </cell>
        </row>
        <row r="2394">
          <cell r="D2394">
            <v>1108002590</v>
          </cell>
          <cell r="E2394" t="str">
            <v>MIHAELA CHIRIBAU</v>
          </cell>
          <cell r="F2394" t="str">
            <v>D (MD)</v>
          </cell>
          <cell r="G2394">
            <v>343952</v>
          </cell>
          <cell r="H2394" t="str">
            <v>Mayday</v>
          </cell>
          <cell r="I2394">
            <v>0.29166666666666669</v>
          </cell>
          <cell r="J2394">
            <v>0.625</v>
          </cell>
          <cell r="K2394">
            <v>7.5</v>
          </cell>
          <cell r="L2394">
            <v>242.17</v>
          </cell>
          <cell r="O2394" t="str">
            <v>Y</v>
          </cell>
          <cell r="P2394" t="str">
            <v>N</v>
          </cell>
          <cell r="Q2394" t="str">
            <v>Extra Capacity</v>
          </cell>
          <cell r="S2394">
            <v>0.2</v>
          </cell>
        </row>
        <row r="2395">
          <cell r="D2395">
            <v>1108002677</v>
          </cell>
          <cell r="E2395" t="str">
            <v>MIHAELA CHIRIBAU</v>
          </cell>
          <cell r="F2395" t="str">
            <v>D (MD)</v>
          </cell>
          <cell r="G2395">
            <v>343952</v>
          </cell>
          <cell r="H2395" t="str">
            <v>Mayday</v>
          </cell>
          <cell r="I2395">
            <v>0.625</v>
          </cell>
          <cell r="J2395">
            <v>0.89583333333333337</v>
          </cell>
          <cell r="K2395">
            <v>6.1666666666666696</v>
          </cell>
          <cell r="L2395">
            <v>199.12</v>
          </cell>
          <cell r="O2395" t="str">
            <v>Y</v>
          </cell>
          <cell r="P2395" t="str">
            <v>N</v>
          </cell>
          <cell r="Q2395" t="str">
            <v>Short Term Sick</v>
          </cell>
          <cell r="S2395">
            <v>0.16</v>
          </cell>
        </row>
        <row r="2396">
          <cell r="D2396">
            <v>1108002885</v>
          </cell>
          <cell r="E2396" t="str">
            <v>PAT DUBE</v>
          </cell>
          <cell r="F2396" t="str">
            <v>D (MD)</v>
          </cell>
          <cell r="G2396">
            <v>344990</v>
          </cell>
          <cell r="H2396" t="str">
            <v>Mayday</v>
          </cell>
          <cell r="I2396">
            <v>0.625</v>
          </cell>
          <cell r="J2396">
            <v>0.83333333333333337</v>
          </cell>
          <cell r="K2396">
            <v>4</v>
          </cell>
          <cell r="L2396">
            <v>129.16</v>
          </cell>
          <cell r="O2396" t="str">
            <v>Y</v>
          </cell>
          <cell r="P2396" t="str">
            <v>N</v>
          </cell>
          <cell r="Q2396" t="str">
            <v>Extra Capacity</v>
          </cell>
          <cell r="S2396">
            <v>0.11</v>
          </cell>
        </row>
        <row r="2397">
          <cell r="D2397">
            <v>1008005642</v>
          </cell>
          <cell r="E2397" t="str">
            <v>PEGGY MAPOGO</v>
          </cell>
          <cell r="F2397" t="str">
            <v>D (Ch)</v>
          </cell>
          <cell r="G2397">
            <v>17235</v>
          </cell>
          <cell r="H2397" t="str">
            <v>Choice</v>
          </cell>
          <cell r="I2397">
            <v>0.3125</v>
          </cell>
          <cell r="J2397">
            <v>0.5625</v>
          </cell>
          <cell r="K2397">
            <v>5.6666666666666696</v>
          </cell>
          <cell r="L2397">
            <v>138.1</v>
          </cell>
          <cell r="O2397" t="str">
            <v>Y</v>
          </cell>
          <cell r="P2397" t="str">
            <v>N</v>
          </cell>
          <cell r="Q2397" t="str">
            <v>Vacancy</v>
          </cell>
          <cell r="S2397">
            <v>0.15</v>
          </cell>
        </row>
        <row r="2398">
          <cell r="D2398">
            <v>1008005645</v>
          </cell>
          <cell r="E2398" t="str">
            <v>PEGGY MAPOGO</v>
          </cell>
          <cell r="F2398" t="str">
            <v>D (Ch)</v>
          </cell>
          <cell r="H2398" t="str">
            <v>Choice</v>
          </cell>
          <cell r="I2398">
            <v>0.5625</v>
          </cell>
          <cell r="J2398">
            <v>0.875</v>
          </cell>
          <cell r="K2398">
            <v>7.1666666666666696</v>
          </cell>
          <cell r="L2398">
            <v>174.65</v>
          </cell>
          <cell r="O2398" t="str">
            <v>Y</v>
          </cell>
          <cell r="P2398" t="str">
            <v>N</v>
          </cell>
          <cell r="Q2398" t="str">
            <v>Vacancy</v>
          </cell>
          <cell r="S2398">
            <v>0.19</v>
          </cell>
        </row>
        <row r="2399">
          <cell r="D2399">
            <v>1108002654</v>
          </cell>
          <cell r="E2399" t="str">
            <v>RAYMOND TEKILE</v>
          </cell>
          <cell r="F2399" t="str">
            <v>D (Ch)</v>
          </cell>
          <cell r="H2399" t="str">
            <v>Choice</v>
          </cell>
          <cell r="I2399">
            <v>0.83333333333333337</v>
          </cell>
          <cell r="J2399">
            <v>0.33333333333333331</v>
          </cell>
          <cell r="K2399">
            <v>11.3333333333333</v>
          </cell>
          <cell r="L2399">
            <v>359.05</v>
          </cell>
          <cell r="O2399" t="str">
            <v>Y</v>
          </cell>
          <cell r="P2399" t="str">
            <v>N</v>
          </cell>
          <cell r="Q2399" t="str">
            <v>Extra Capacity</v>
          </cell>
          <cell r="S2399">
            <v>0.3</v>
          </cell>
        </row>
        <row r="2400">
          <cell r="D2400">
            <v>1108000886</v>
          </cell>
          <cell r="E2400" t="str">
            <v>RICCA PARADA</v>
          </cell>
          <cell r="F2400" t="str">
            <v>D (Ch)</v>
          </cell>
          <cell r="G2400">
            <v>17235</v>
          </cell>
          <cell r="H2400" t="str">
            <v>Choice</v>
          </cell>
          <cell r="I2400">
            <v>0.3125</v>
          </cell>
          <cell r="J2400">
            <v>0.5625</v>
          </cell>
          <cell r="K2400">
            <v>5.6666666666666696</v>
          </cell>
          <cell r="L2400">
            <v>138.1</v>
          </cell>
          <cell r="O2400" t="str">
            <v>Y</v>
          </cell>
          <cell r="P2400" t="str">
            <v>N</v>
          </cell>
          <cell r="Q2400" t="str">
            <v>Annual Leave</v>
          </cell>
          <cell r="S2400">
            <v>0.15</v>
          </cell>
        </row>
        <row r="2401">
          <cell r="D2401">
            <v>1108002861</v>
          </cell>
          <cell r="E2401" t="str">
            <v>TAEL MHANGO</v>
          </cell>
          <cell r="F2401" t="str">
            <v>D (Ch)</v>
          </cell>
          <cell r="G2401">
            <v>17241</v>
          </cell>
          <cell r="H2401" t="str">
            <v>Choice</v>
          </cell>
          <cell r="I2401">
            <v>0.79166666666666663</v>
          </cell>
          <cell r="J2401">
            <v>0.3125</v>
          </cell>
          <cell r="K2401">
            <v>10.5</v>
          </cell>
          <cell r="L2401">
            <v>332.65</v>
          </cell>
          <cell r="O2401" t="str">
            <v>Y</v>
          </cell>
          <cell r="P2401" t="str">
            <v>N</v>
          </cell>
          <cell r="Q2401" t="str">
            <v>Short Term Sick</v>
          </cell>
          <cell r="S2401">
            <v>0.28000000000000003</v>
          </cell>
        </row>
        <row r="2402">
          <cell r="D2402">
            <v>1108000749</v>
          </cell>
          <cell r="E2402" t="str">
            <v>TAMBU JENA</v>
          </cell>
          <cell r="F2402" t="str">
            <v>D (Ch)</v>
          </cell>
          <cell r="H2402" t="str">
            <v>Choice</v>
          </cell>
          <cell r="I2402">
            <v>0.3125</v>
          </cell>
          <cell r="J2402">
            <v>0.60416666666666663</v>
          </cell>
          <cell r="K2402">
            <v>6.6666666666666696</v>
          </cell>
          <cell r="L2402">
            <v>162.47</v>
          </cell>
          <cell r="O2402" t="str">
            <v>Y</v>
          </cell>
          <cell r="P2402" t="str">
            <v>N</v>
          </cell>
          <cell r="Q2402" t="str">
            <v>Short Term Sick</v>
          </cell>
          <cell r="S2402">
            <v>0.18</v>
          </cell>
        </row>
        <row r="2403">
          <cell r="D2403">
            <v>1108000887</v>
          </cell>
          <cell r="E2403" t="str">
            <v>TARA MASSIE</v>
          </cell>
          <cell r="F2403" t="str">
            <v>D (MD)</v>
          </cell>
          <cell r="G2403">
            <v>343707</v>
          </cell>
          <cell r="H2403" t="str">
            <v>Mayday</v>
          </cell>
          <cell r="I2403">
            <v>0.5625</v>
          </cell>
          <cell r="J2403">
            <v>0.89583333333333337</v>
          </cell>
          <cell r="K2403">
            <v>7.6666666666666696</v>
          </cell>
          <cell r="L2403">
            <v>247.56</v>
          </cell>
          <cell r="O2403" t="str">
            <v>Y</v>
          </cell>
          <cell r="P2403" t="str">
            <v>N</v>
          </cell>
          <cell r="Q2403" t="str">
            <v>Annual Leave</v>
          </cell>
          <cell r="S2403">
            <v>0.2</v>
          </cell>
        </row>
        <row r="2404">
          <cell r="D2404">
            <v>1108002860</v>
          </cell>
          <cell r="E2404" t="str">
            <v>TEMBE NGIDI</v>
          </cell>
          <cell r="F2404" t="str">
            <v>D (MD)</v>
          </cell>
          <cell r="G2404">
            <v>343761</v>
          </cell>
          <cell r="H2404" t="str">
            <v>Mayday</v>
          </cell>
          <cell r="I2404">
            <v>0.8125</v>
          </cell>
          <cell r="J2404">
            <v>0.33333333333333331</v>
          </cell>
          <cell r="K2404">
            <v>11.8333333333333</v>
          </cell>
          <cell r="L2404">
            <v>496.73</v>
          </cell>
          <cell r="O2404" t="str">
            <v>Y</v>
          </cell>
          <cell r="P2404" t="str">
            <v>N</v>
          </cell>
          <cell r="Q2404" t="str">
            <v>Short Term Sick</v>
          </cell>
          <cell r="S2404">
            <v>0.32</v>
          </cell>
        </row>
        <row r="2405">
          <cell r="D2405">
            <v>1108002473</v>
          </cell>
          <cell r="E2405" t="str">
            <v>TOGA MARAHWA</v>
          </cell>
          <cell r="F2405" t="str">
            <v>D (MD)</v>
          </cell>
          <cell r="G2405">
            <v>343956</v>
          </cell>
          <cell r="H2405" t="str">
            <v>Mayday</v>
          </cell>
          <cell r="I2405">
            <v>0.625</v>
          </cell>
          <cell r="J2405">
            <v>0.88541666666666663</v>
          </cell>
          <cell r="K2405">
            <v>5.9166666666666696</v>
          </cell>
          <cell r="L2405">
            <v>191.05</v>
          </cell>
          <cell r="O2405" t="str">
            <v>Y</v>
          </cell>
          <cell r="P2405" t="str">
            <v>N</v>
          </cell>
          <cell r="Q2405" t="str">
            <v>Specials</v>
          </cell>
          <cell r="S2405">
            <v>0.16</v>
          </cell>
        </row>
        <row r="2406">
          <cell r="D2406">
            <v>1108002474</v>
          </cell>
          <cell r="E2406" t="str">
            <v>TRUST CHIWUNDURA</v>
          </cell>
          <cell r="F2406" t="str">
            <v>A (Ch)</v>
          </cell>
          <cell r="G2406">
            <v>17242</v>
          </cell>
          <cell r="H2406" t="str">
            <v>Choice</v>
          </cell>
          <cell r="I2406">
            <v>0.88541666666666663</v>
          </cell>
          <cell r="J2406">
            <v>0.3125</v>
          </cell>
          <cell r="K2406">
            <v>9.25</v>
          </cell>
          <cell r="L2406">
            <v>136.78</v>
          </cell>
          <cell r="O2406" t="str">
            <v>Y</v>
          </cell>
          <cell r="P2406" t="str">
            <v>N</v>
          </cell>
          <cell r="Q2406" t="str">
            <v>Specials</v>
          </cell>
          <cell r="S2406">
            <v>0.25</v>
          </cell>
        </row>
        <row r="2407">
          <cell r="D2407">
            <v>1008006626</v>
          </cell>
          <cell r="E2407" t="str">
            <v>VICTORIA MAESTRANI</v>
          </cell>
          <cell r="F2407" t="str">
            <v>D (MD)</v>
          </cell>
          <cell r="G2407">
            <v>343855</v>
          </cell>
          <cell r="H2407" t="str">
            <v>Mayday</v>
          </cell>
          <cell r="I2407">
            <v>0.32291666666666669</v>
          </cell>
          <cell r="J2407">
            <v>0.54166666666666663</v>
          </cell>
          <cell r="K2407">
            <v>5.25</v>
          </cell>
          <cell r="L2407">
            <v>169.52</v>
          </cell>
          <cell r="O2407" t="str">
            <v>Y</v>
          </cell>
          <cell r="P2407" t="str">
            <v>N</v>
          </cell>
          <cell r="Q2407" t="str">
            <v>Vacancy</v>
          </cell>
          <cell r="S2407">
            <v>0.14000000000000001</v>
          </cell>
        </row>
        <row r="2408">
          <cell r="D2408">
            <v>1108002703</v>
          </cell>
          <cell r="E2408" t="str">
            <v>VICTORIA MAESTRANI</v>
          </cell>
          <cell r="F2408" t="str">
            <v>D (MD)</v>
          </cell>
          <cell r="G2408">
            <v>343853</v>
          </cell>
          <cell r="H2408" t="str">
            <v>Mayday</v>
          </cell>
          <cell r="I2408">
            <v>0.625</v>
          </cell>
          <cell r="J2408">
            <v>0.85416666666666663</v>
          </cell>
          <cell r="K2408">
            <v>5.5</v>
          </cell>
          <cell r="L2408">
            <v>177.59</v>
          </cell>
          <cell r="O2408" t="str">
            <v>Y</v>
          </cell>
          <cell r="P2408" t="str">
            <v>N</v>
          </cell>
          <cell r="Q2408" t="str">
            <v>Short Term Sick</v>
          </cell>
          <cell r="S2408">
            <v>0.15</v>
          </cell>
        </row>
        <row r="2409">
          <cell r="D2409">
            <v>1108002660</v>
          </cell>
          <cell r="E2409" t="str">
            <v>ADEOLA SOGBESAN</v>
          </cell>
          <cell r="F2409" t="str">
            <v>D (MD)</v>
          </cell>
          <cell r="G2409">
            <v>346557</v>
          </cell>
          <cell r="H2409" t="str">
            <v>Mayday</v>
          </cell>
          <cell r="I2409">
            <v>0.3125</v>
          </cell>
          <cell r="J2409">
            <v>0.60416666666666663</v>
          </cell>
          <cell r="K2409">
            <v>6.6666666666666696</v>
          </cell>
          <cell r="L2409">
            <v>279.85000000000002</v>
          </cell>
          <cell r="O2409" t="str">
            <v>Y</v>
          </cell>
          <cell r="P2409" t="str">
            <v>N</v>
          </cell>
          <cell r="Q2409" t="str">
            <v>Extra Capacity</v>
          </cell>
          <cell r="S2409">
            <v>0.18</v>
          </cell>
        </row>
        <row r="2410">
          <cell r="D2410">
            <v>1108002668</v>
          </cell>
          <cell r="E2410" t="str">
            <v>ADEOLA SOGBESAN</v>
          </cell>
          <cell r="F2410" t="str">
            <v>D (MD)</v>
          </cell>
          <cell r="G2410">
            <v>346557</v>
          </cell>
          <cell r="H2410" t="str">
            <v>Mayday</v>
          </cell>
          <cell r="I2410">
            <v>0.60416666666666663</v>
          </cell>
          <cell r="J2410">
            <v>0.85416666666666663</v>
          </cell>
          <cell r="K2410">
            <v>5.6666666666666696</v>
          </cell>
          <cell r="L2410">
            <v>237.87</v>
          </cell>
          <cell r="O2410" t="str">
            <v>Y</v>
          </cell>
          <cell r="P2410" t="str">
            <v>N</v>
          </cell>
          <cell r="Q2410" t="str">
            <v>Extra Capacity</v>
          </cell>
          <cell r="S2410">
            <v>0.15</v>
          </cell>
        </row>
        <row r="2411">
          <cell r="D2411">
            <v>1108002938</v>
          </cell>
          <cell r="E2411" t="str">
            <v>DAMILOLA AIKI</v>
          </cell>
          <cell r="F2411" t="str">
            <v>A (Ch)</v>
          </cell>
          <cell r="H2411" t="str">
            <v>Choice</v>
          </cell>
          <cell r="I2411">
            <v>0.5625</v>
          </cell>
          <cell r="J2411">
            <v>0.83333333333333337</v>
          </cell>
          <cell r="K2411">
            <v>6.5</v>
          </cell>
          <cell r="L2411">
            <v>96.11</v>
          </cell>
          <cell r="O2411" t="str">
            <v>Y</v>
          </cell>
          <cell r="P2411" t="str">
            <v>N</v>
          </cell>
          <cell r="Q2411" t="str">
            <v>Short Term Sick</v>
          </cell>
          <cell r="S2411">
            <v>0.17</v>
          </cell>
        </row>
        <row r="2412">
          <cell r="D2412">
            <v>1108002087</v>
          </cell>
          <cell r="E2412" t="str">
            <v>DIGRACIA  NAPE</v>
          </cell>
          <cell r="F2412" t="str">
            <v>D (MD)</v>
          </cell>
          <cell r="G2412">
            <v>343711</v>
          </cell>
          <cell r="H2412" t="str">
            <v>Mayday</v>
          </cell>
          <cell r="I2412">
            <v>0.5625</v>
          </cell>
          <cell r="J2412">
            <v>0.83333333333333337</v>
          </cell>
          <cell r="K2412">
            <v>6.5</v>
          </cell>
          <cell r="L2412">
            <v>272.85000000000002</v>
          </cell>
          <cell r="O2412" t="str">
            <v>Y</v>
          </cell>
          <cell r="P2412" t="str">
            <v>N</v>
          </cell>
          <cell r="Q2412" t="str">
            <v>Extra Capacity</v>
          </cell>
          <cell r="S2412">
            <v>0.17</v>
          </cell>
        </row>
        <row r="2413">
          <cell r="D2413">
            <v>1108001382</v>
          </cell>
          <cell r="E2413" t="str">
            <v>DONALD YANZA</v>
          </cell>
          <cell r="F2413" t="str">
            <v>D (Ch)</v>
          </cell>
          <cell r="H2413" t="str">
            <v>Choice</v>
          </cell>
          <cell r="I2413">
            <v>0.83333333333333337</v>
          </cell>
          <cell r="J2413">
            <v>0.33333333333333331</v>
          </cell>
          <cell r="K2413">
            <v>11.3333333333333</v>
          </cell>
          <cell r="L2413">
            <v>359.05</v>
          </cell>
          <cell r="O2413" t="str">
            <v>Y</v>
          </cell>
          <cell r="P2413" t="str">
            <v>N</v>
          </cell>
          <cell r="Q2413" t="str">
            <v>Extra Capacity</v>
          </cell>
          <cell r="S2413">
            <v>0.3</v>
          </cell>
        </row>
        <row r="2414">
          <cell r="D2414">
            <v>1108001383</v>
          </cell>
          <cell r="E2414" t="str">
            <v>EDMA ITALIA</v>
          </cell>
          <cell r="F2414" t="str">
            <v>D (Ch)</v>
          </cell>
          <cell r="H2414" t="str">
            <v>Choice</v>
          </cell>
          <cell r="I2414">
            <v>0.83333333333333337</v>
          </cell>
          <cell r="J2414">
            <v>0.33333333333333331</v>
          </cell>
          <cell r="K2414">
            <v>11.3333333333333</v>
          </cell>
          <cell r="L2414">
            <v>359.05</v>
          </cell>
          <cell r="O2414" t="str">
            <v>Y</v>
          </cell>
          <cell r="P2414" t="str">
            <v>N</v>
          </cell>
          <cell r="Q2414" t="str">
            <v>Extra Capacity</v>
          </cell>
          <cell r="S2414">
            <v>0.3</v>
          </cell>
        </row>
        <row r="2415">
          <cell r="D2415">
            <v>1108002315</v>
          </cell>
          <cell r="E2415" t="str">
            <v>EMMANUEL SALAKO</v>
          </cell>
          <cell r="F2415" t="str">
            <v>D (MD)</v>
          </cell>
          <cell r="G2415">
            <v>343862</v>
          </cell>
          <cell r="H2415" t="str">
            <v>Mayday</v>
          </cell>
          <cell r="I2415">
            <v>0.625</v>
          </cell>
          <cell r="J2415">
            <v>0.90625</v>
          </cell>
          <cell r="K2415">
            <v>6.75</v>
          </cell>
          <cell r="L2415">
            <v>283.33999999999997</v>
          </cell>
          <cell r="O2415" t="str">
            <v>Y</v>
          </cell>
          <cell r="P2415" t="str">
            <v>N</v>
          </cell>
          <cell r="Q2415" t="str">
            <v>Extra Capacity</v>
          </cell>
          <cell r="S2415">
            <v>0.18</v>
          </cell>
        </row>
        <row r="2416">
          <cell r="D2416">
            <v>1108002775</v>
          </cell>
          <cell r="E2416" t="str">
            <v>EMMANUEL SALAKO</v>
          </cell>
          <cell r="F2416" t="str">
            <v>D (MD)</v>
          </cell>
          <cell r="G2416">
            <v>343863</v>
          </cell>
          <cell r="H2416" t="str">
            <v>Mayday</v>
          </cell>
          <cell r="I2416">
            <v>0.3125</v>
          </cell>
          <cell r="J2416">
            <v>0.54166666666666663</v>
          </cell>
          <cell r="K2416">
            <v>5.5</v>
          </cell>
          <cell r="L2416">
            <v>230.87</v>
          </cell>
          <cell r="O2416" t="str">
            <v>Y</v>
          </cell>
          <cell r="P2416" t="str">
            <v>N</v>
          </cell>
          <cell r="Q2416" t="str">
            <v>Short Term Sick</v>
          </cell>
          <cell r="S2416">
            <v>0.15</v>
          </cell>
        </row>
        <row r="2417">
          <cell r="D2417">
            <v>1108003353</v>
          </cell>
          <cell r="E2417" t="str">
            <v>EUNICE ADEBANJO</v>
          </cell>
          <cell r="F2417" t="str">
            <v>D (Ch)</v>
          </cell>
          <cell r="H2417" t="str">
            <v>Choice</v>
          </cell>
          <cell r="I2417">
            <v>0.91666666666666663</v>
          </cell>
          <cell r="J2417">
            <v>0.33333333333333331</v>
          </cell>
          <cell r="K2417">
            <v>9.6666666666666696</v>
          </cell>
          <cell r="L2417">
            <v>306.25</v>
          </cell>
          <cell r="O2417" t="str">
            <v>Y</v>
          </cell>
          <cell r="P2417" t="str">
            <v>N</v>
          </cell>
          <cell r="Q2417" t="str">
            <v>Nurse Moved</v>
          </cell>
          <cell r="S2417">
            <v>0.26</v>
          </cell>
        </row>
        <row r="2418">
          <cell r="D2418">
            <v>1108000761</v>
          </cell>
          <cell r="E2418" t="str">
            <v>EVELYN PANESA</v>
          </cell>
          <cell r="F2418" t="str">
            <v>D (Ch)</v>
          </cell>
          <cell r="H2418" t="str">
            <v>Choice</v>
          </cell>
          <cell r="I2418">
            <v>0.3125</v>
          </cell>
          <cell r="J2418">
            <v>0.60416666666666663</v>
          </cell>
          <cell r="K2418">
            <v>6.6666666666666696</v>
          </cell>
          <cell r="L2418">
            <v>211.21</v>
          </cell>
          <cell r="O2418" t="str">
            <v>Y</v>
          </cell>
          <cell r="P2418" t="str">
            <v>N</v>
          </cell>
          <cell r="Q2418" t="str">
            <v>Short Term Sick</v>
          </cell>
          <cell r="S2418">
            <v>0.18</v>
          </cell>
        </row>
        <row r="2419">
          <cell r="D2419">
            <v>1108002933</v>
          </cell>
          <cell r="E2419" t="str">
            <v>JOANNE BUSS</v>
          </cell>
          <cell r="F2419" t="str">
            <v>D (MD)</v>
          </cell>
          <cell r="G2419">
            <v>343823</v>
          </cell>
          <cell r="H2419" t="str">
            <v>Mayday</v>
          </cell>
          <cell r="I2419">
            <v>0.625</v>
          </cell>
          <cell r="J2419">
            <v>0.85416666666666663</v>
          </cell>
          <cell r="K2419">
            <v>5.5</v>
          </cell>
          <cell r="L2419">
            <v>230.87</v>
          </cell>
          <cell r="O2419" t="str">
            <v>Y</v>
          </cell>
          <cell r="P2419" t="str">
            <v>N</v>
          </cell>
          <cell r="Q2419" t="str">
            <v>Short Term Sick</v>
          </cell>
          <cell r="S2419">
            <v>0.15</v>
          </cell>
        </row>
        <row r="2420">
          <cell r="D2420">
            <v>1108002579</v>
          </cell>
          <cell r="E2420" t="str">
            <v>KAREN STRUDWICK</v>
          </cell>
          <cell r="F2420" t="str">
            <v>D (Ch)</v>
          </cell>
          <cell r="H2420" t="str">
            <v>Choice</v>
          </cell>
          <cell r="I2420">
            <v>0.82291666666666663</v>
          </cell>
          <cell r="J2420">
            <v>0.33333333333333331</v>
          </cell>
          <cell r="K2420">
            <v>11.5833333333333</v>
          </cell>
          <cell r="L2420">
            <v>366.97</v>
          </cell>
          <cell r="O2420" t="str">
            <v>Y</v>
          </cell>
          <cell r="P2420" t="str">
            <v>N</v>
          </cell>
          <cell r="Q2420" t="str">
            <v>Extra Capacity</v>
          </cell>
          <cell r="S2420">
            <v>0.31</v>
          </cell>
        </row>
        <row r="2421">
          <cell r="D2421">
            <v>1008006739</v>
          </cell>
          <cell r="E2421" t="str">
            <v>MARIA LINGAT</v>
          </cell>
          <cell r="F2421" t="str">
            <v>D (Ch)</v>
          </cell>
          <cell r="G2421">
            <v>17307</v>
          </cell>
          <cell r="H2421" t="str">
            <v>Choice</v>
          </cell>
          <cell r="I2421">
            <v>0.84375</v>
          </cell>
          <cell r="J2421">
            <v>0.3125</v>
          </cell>
          <cell r="K2421">
            <v>10.25</v>
          </cell>
          <cell r="L2421">
            <v>324.73</v>
          </cell>
          <cell r="O2421" t="str">
            <v>Y</v>
          </cell>
          <cell r="P2421" t="str">
            <v>N</v>
          </cell>
          <cell r="Q2421" t="str">
            <v>Vacancy</v>
          </cell>
          <cell r="S2421">
            <v>0.27</v>
          </cell>
        </row>
        <row r="2422">
          <cell r="D2422">
            <v>1108002661</v>
          </cell>
          <cell r="E2422" t="str">
            <v>MIHAELA CHIRIBAU</v>
          </cell>
          <cell r="F2422" t="str">
            <v>D (MD)</v>
          </cell>
          <cell r="G2422">
            <v>343751</v>
          </cell>
          <cell r="H2422" t="str">
            <v>Mayday</v>
          </cell>
          <cell r="I2422">
            <v>0.3125</v>
          </cell>
          <cell r="J2422">
            <v>0.60416666666666663</v>
          </cell>
          <cell r="K2422">
            <v>6.6666666666666696</v>
          </cell>
          <cell r="L2422">
            <v>279.85000000000002</v>
          </cell>
          <cell r="O2422" t="str">
            <v>Y</v>
          </cell>
          <cell r="P2422" t="str">
            <v>N</v>
          </cell>
          <cell r="Q2422" t="str">
            <v>Extra Capacity</v>
          </cell>
          <cell r="S2422">
            <v>0.18</v>
          </cell>
        </row>
        <row r="2423">
          <cell r="D2423">
            <v>1108002669</v>
          </cell>
          <cell r="E2423" t="str">
            <v>MIHAELA CHIRIBAU</v>
          </cell>
          <cell r="F2423" t="str">
            <v>D (MD)</v>
          </cell>
          <cell r="G2423">
            <v>343751</v>
          </cell>
          <cell r="H2423" t="str">
            <v>Mayday</v>
          </cell>
          <cell r="I2423">
            <v>0.60416666666666663</v>
          </cell>
          <cell r="J2423">
            <v>0.85416666666666663</v>
          </cell>
          <cell r="K2423">
            <v>5.6666666666666696</v>
          </cell>
          <cell r="L2423">
            <v>237.87</v>
          </cell>
          <cell r="O2423" t="str">
            <v>Y</v>
          </cell>
          <cell r="P2423" t="str">
            <v>N</v>
          </cell>
          <cell r="Q2423" t="str">
            <v>Extra Capacity</v>
          </cell>
          <cell r="S2423">
            <v>0.15</v>
          </cell>
        </row>
        <row r="2424">
          <cell r="D2424">
            <v>1108001381</v>
          </cell>
          <cell r="E2424" t="str">
            <v>PEGGY MAPOGO</v>
          </cell>
          <cell r="F2424" t="str">
            <v>D (Ch)</v>
          </cell>
          <cell r="H2424" t="str">
            <v>Choice</v>
          </cell>
          <cell r="I2424">
            <v>0.3125</v>
          </cell>
          <cell r="J2424">
            <v>0.625</v>
          </cell>
          <cell r="K2424">
            <v>7.1666666666666696</v>
          </cell>
          <cell r="L2424">
            <v>227.05</v>
          </cell>
          <cell r="O2424" t="str">
            <v>Y</v>
          </cell>
          <cell r="P2424" t="str">
            <v>N</v>
          </cell>
          <cell r="Q2424" t="str">
            <v>Extra Capacity</v>
          </cell>
          <cell r="S2424">
            <v>0.19</v>
          </cell>
        </row>
        <row r="2425">
          <cell r="D2425">
            <v>1108002929</v>
          </cell>
          <cell r="E2425" t="str">
            <v>PHILILE NDLANGAMANDLA</v>
          </cell>
          <cell r="F2425" t="str">
            <v>D (Ch)</v>
          </cell>
          <cell r="G2425">
            <v>17243</v>
          </cell>
          <cell r="H2425" t="str">
            <v>Choice</v>
          </cell>
          <cell r="I2425">
            <v>0.5625</v>
          </cell>
          <cell r="J2425">
            <v>0.85416666666666663</v>
          </cell>
          <cell r="K2425">
            <v>6.6666666666666696</v>
          </cell>
          <cell r="L2425">
            <v>211.21</v>
          </cell>
          <cell r="O2425" t="str">
            <v>Y</v>
          </cell>
          <cell r="P2425" t="str">
            <v>N</v>
          </cell>
          <cell r="Q2425" t="str">
            <v>Short Term Sick</v>
          </cell>
          <cell r="S2425">
            <v>0.18</v>
          </cell>
        </row>
        <row r="2426">
          <cell r="D2426">
            <v>1008006305</v>
          </cell>
          <cell r="E2426" t="str">
            <v>PURITY EHREUREICH</v>
          </cell>
          <cell r="F2426" t="str">
            <v>D (MD)</v>
          </cell>
          <cell r="G2426">
            <v>343852</v>
          </cell>
          <cell r="H2426" t="str">
            <v>Mayday</v>
          </cell>
          <cell r="I2426">
            <v>0.29166666666666669</v>
          </cell>
          <cell r="J2426">
            <v>0.625</v>
          </cell>
          <cell r="K2426">
            <v>7.5</v>
          </cell>
          <cell r="L2426">
            <v>314.83</v>
          </cell>
          <cell r="O2426" t="str">
            <v>Y</v>
          </cell>
          <cell r="P2426" t="str">
            <v>N</v>
          </cell>
          <cell r="Q2426" t="str">
            <v>Extra Capacity</v>
          </cell>
          <cell r="S2426">
            <v>0.2</v>
          </cell>
        </row>
        <row r="2427">
          <cell r="D2427">
            <v>1108002656</v>
          </cell>
          <cell r="E2427" t="str">
            <v>RAYMOND TEKILE</v>
          </cell>
          <cell r="F2427" t="str">
            <v>D (Ch)</v>
          </cell>
          <cell r="H2427" t="str">
            <v>Choice</v>
          </cell>
          <cell r="I2427">
            <v>0.83333333333333337</v>
          </cell>
          <cell r="J2427">
            <v>0.33333333333333331</v>
          </cell>
          <cell r="K2427">
            <v>11.3333333333333</v>
          </cell>
          <cell r="L2427">
            <v>359.05</v>
          </cell>
          <cell r="O2427" t="str">
            <v>Y</v>
          </cell>
          <cell r="P2427" t="str">
            <v>N</v>
          </cell>
          <cell r="Q2427" t="str">
            <v>Extra Capacity</v>
          </cell>
          <cell r="S2427">
            <v>0.3</v>
          </cell>
        </row>
        <row r="2428">
          <cell r="D2428">
            <v>1108002088</v>
          </cell>
          <cell r="E2428" t="str">
            <v>SAM KELEM</v>
          </cell>
          <cell r="F2428" t="str">
            <v>D (Ch)</v>
          </cell>
          <cell r="H2428" t="str">
            <v>Choice</v>
          </cell>
          <cell r="I2428">
            <v>0.82291666666666663</v>
          </cell>
          <cell r="J2428">
            <v>0.33333333333333331</v>
          </cell>
          <cell r="K2428">
            <v>11.5833333333333</v>
          </cell>
          <cell r="L2428">
            <v>366.97</v>
          </cell>
          <cell r="O2428" t="str">
            <v>Y</v>
          </cell>
          <cell r="P2428" t="str">
            <v>N</v>
          </cell>
          <cell r="Q2428" t="str">
            <v>Extra Capacity</v>
          </cell>
          <cell r="S2428">
            <v>0.31</v>
          </cell>
        </row>
        <row r="2429">
          <cell r="D2429">
            <v>1108002475</v>
          </cell>
          <cell r="E2429" t="str">
            <v>STANLEY IGWE</v>
          </cell>
          <cell r="F2429" t="str">
            <v>2 General (Adva</v>
          </cell>
          <cell r="G2429">
            <v>1408616</v>
          </cell>
          <cell r="H2429" t="str">
            <v>Advantage</v>
          </cell>
          <cell r="I2429">
            <v>0.29166666666666669</v>
          </cell>
          <cell r="J2429">
            <v>0.625</v>
          </cell>
          <cell r="K2429">
            <v>7.6666666666666696</v>
          </cell>
          <cell r="L2429">
            <v>94.76</v>
          </cell>
          <cell r="O2429" t="str">
            <v>Y</v>
          </cell>
          <cell r="P2429" t="str">
            <v>N</v>
          </cell>
          <cell r="Q2429" t="str">
            <v>Specials</v>
          </cell>
          <cell r="S2429">
            <v>0.2</v>
          </cell>
        </row>
        <row r="2430">
          <cell r="D2430">
            <v>1108001380</v>
          </cell>
          <cell r="E2430" t="str">
            <v>TAMBU JENA</v>
          </cell>
          <cell r="F2430" t="str">
            <v>D (Ch)</v>
          </cell>
          <cell r="H2430" t="str">
            <v>Choice</v>
          </cell>
          <cell r="I2430">
            <v>0.3125</v>
          </cell>
          <cell r="J2430">
            <v>0.625</v>
          </cell>
          <cell r="K2430">
            <v>7.1666666666666696</v>
          </cell>
          <cell r="L2430">
            <v>227.05</v>
          </cell>
          <cell r="O2430" t="str">
            <v>Y</v>
          </cell>
          <cell r="P2430" t="str">
            <v>N</v>
          </cell>
          <cell r="Q2430" t="str">
            <v>Extra Capacity</v>
          </cell>
          <cell r="S2430">
            <v>0.19</v>
          </cell>
        </row>
        <row r="2431">
          <cell r="D2431">
            <v>1108001738</v>
          </cell>
          <cell r="E2431" t="str">
            <v>TAMBU JENA</v>
          </cell>
          <cell r="F2431" t="str">
            <v>D (Ch)</v>
          </cell>
          <cell r="H2431" t="str">
            <v>Choice</v>
          </cell>
          <cell r="I2431">
            <v>0.625</v>
          </cell>
          <cell r="J2431">
            <v>0.89583333333333337</v>
          </cell>
          <cell r="K2431">
            <v>6</v>
          </cell>
          <cell r="L2431">
            <v>190.09</v>
          </cell>
          <cell r="O2431" t="str">
            <v>Y</v>
          </cell>
          <cell r="P2431" t="str">
            <v>N</v>
          </cell>
          <cell r="Q2431" t="str">
            <v>Acuity</v>
          </cell>
          <cell r="S2431">
            <v>0.16</v>
          </cell>
        </row>
        <row r="2432">
          <cell r="D2432">
            <v>1008005665</v>
          </cell>
          <cell r="E2432" t="str">
            <v>TARA MASSIE</v>
          </cell>
          <cell r="F2432" t="str">
            <v>D (MD)</v>
          </cell>
          <cell r="G2432">
            <v>343705</v>
          </cell>
          <cell r="H2432" t="str">
            <v>Mayday</v>
          </cell>
          <cell r="I2432">
            <v>0.5625</v>
          </cell>
          <cell r="J2432">
            <v>0.875</v>
          </cell>
          <cell r="K2432">
            <v>7.1666666666666696</v>
          </cell>
          <cell r="L2432">
            <v>300.83999999999997</v>
          </cell>
          <cell r="O2432" t="str">
            <v>Y</v>
          </cell>
          <cell r="P2432" t="str">
            <v>N</v>
          </cell>
          <cell r="Q2432" t="str">
            <v>Vacancy</v>
          </cell>
          <cell r="S2432">
            <v>0.19</v>
          </cell>
        </row>
        <row r="2433">
          <cell r="D2433">
            <v>1108002480</v>
          </cell>
          <cell r="E2433" t="str">
            <v>ABIGAIL MUPSEYEKWA</v>
          </cell>
          <cell r="F2433" t="str">
            <v>2 General (Adva</v>
          </cell>
          <cell r="G2433">
            <v>1408619</v>
          </cell>
          <cell r="H2433" t="str">
            <v>Advantage</v>
          </cell>
          <cell r="I2433">
            <v>0.29166666666666669</v>
          </cell>
          <cell r="J2433">
            <v>0.625</v>
          </cell>
          <cell r="K2433">
            <v>7.6666666666666696</v>
          </cell>
          <cell r="L2433">
            <v>118.45</v>
          </cell>
          <cell r="O2433" t="str">
            <v>Y</v>
          </cell>
          <cell r="P2433" t="str">
            <v>N</v>
          </cell>
          <cell r="Q2433" t="str">
            <v>Specials</v>
          </cell>
          <cell r="S2433">
            <v>0.2</v>
          </cell>
        </row>
        <row r="2434">
          <cell r="D2434">
            <v>1108002481</v>
          </cell>
          <cell r="E2434" t="str">
            <v>ABIGAIL MUPSEYEKWA</v>
          </cell>
          <cell r="F2434" t="str">
            <v>2 General (Adva</v>
          </cell>
          <cell r="G2434">
            <v>1408619</v>
          </cell>
          <cell r="H2434" t="str">
            <v>Advantage</v>
          </cell>
          <cell r="I2434">
            <v>0.625</v>
          </cell>
          <cell r="J2434">
            <v>0.88541666666666663</v>
          </cell>
          <cell r="K2434">
            <v>5.9166666666666696</v>
          </cell>
          <cell r="L2434">
            <v>91.41</v>
          </cell>
          <cell r="O2434" t="str">
            <v>Y</v>
          </cell>
          <cell r="P2434" t="str">
            <v>N</v>
          </cell>
          <cell r="Q2434" t="str">
            <v>Specials</v>
          </cell>
          <cell r="S2434">
            <v>0.16</v>
          </cell>
        </row>
        <row r="2435">
          <cell r="D2435">
            <v>1008006115</v>
          </cell>
          <cell r="E2435" t="str">
            <v>ANNA BONNERUP</v>
          </cell>
          <cell r="F2435" t="str">
            <v>D / 5 General (</v>
          </cell>
          <cell r="G2435" t="str">
            <v>604-163716</v>
          </cell>
          <cell r="H2435" t="str">
            <v>Blue Arrow</v>
          </cell>
          <cell r="I2435">
            <v>0.3125</v>
          </cell>
          <cell r="J2435">
            <v>0.54166666666666663</v>
          </cell>
          <cell r="K2435">
            <v>5.5</v>
          </cell>
          <cell r="L2435">
            <v>148.54</v>
          </cell>
          <cell r="O2435" t="str">
            <v>Y</v>
          </cell>
          <cell r="P2435" t="str">
            <v>N</v>
          </cell>
          <cell r="Q2435" t="str">
            <v>Vacancy</v>
          </cell>
          <cell r="S2435">
            <v>0.15</v>
          </cell>
        </row>
        <row r="2436">
          <cell r="D2436">
            <v>1008006117</v>
          </cell>
          <cell r="E2436" t="str">
            <v>ANNA BONNERUP</v>
          </cell>
          <cell r="F2436" t="str">
            <v>D / 5 General (</v>
          </cell>
          <cell r="G2436" t="str">
            <v>604-163716</v>
          </cell>
          <cell r="H2436" t="str">
            <v>Blue Arrow</v>
          </cell>
          <cell r="I2436">
            <v>0.625</v>
          </cell>
          <cell r="J2436">
            <v>0.85416666666666663</v>
          </cell>
          <cell r="K2436">
            <v>5.5</v>
          </cell>
          <cell r="L2436">
            <v>148.54</v>
          </cell>
          <cell r="O2436" t="str">
            <v>Y</v>
          </cell>
          <cell r="P2436" t="str">
            <v>N</v>
          </cell>
          <cell r="Q2436" t="str">
            <v>Vacancy</v>
          </cell>
          <cell r="S2436">
            <v>0.15</v>
          </cell>
        </row>
        <row r="2437">
          <cell r="D2437">
            <v>1108002663</v>
          </cell>
          <cell r="E2437" t="str">
            <v>DIGRACIA  NAPE</v>
          </cell>
          <cell r="F2437" t="str">
            <v>D (MD)</v>
          </cell>
          <cell r="G2437">
            <v>343710</v>
          </cell>
          <cell r="H2437" t="str">
            <v>Mayday</v>
          </cell>
          <cell r="I2437">
            <v>0.3125</v>
          </cell>
          <cell r="J2437">
            <v>0.60416666666666663</v>
          </cell>
          <cell r="K2437">
            <v>6.6666666666666696</v>
          </cell>
          <cell r="L2437">
            <v>344.43</v>
          </cell>
          <cell r="O2437" t="str">
            <v>Y</v>
          </cell>
          <cell r="P2437" t="str">
            <v>N</v>
          </cell>
          <cell r="Q2437" t="str">
            <v>Extra Capacity</v>
          </cell>
          <cell r="S2437">
            <v>0.18</v>
          </cell>
        </row>
        <row r="2438">
          <cell r="D2438">
            <v>1108002671</v>
          </cell>
          <cell r="E2438" t="str">
            <v>DIGRACIA  NAPE</v>
          </cell>
          <cell r="F2438" t="str">
            <v>D (MD)</v>
          </cell>
          <cell r="G2438">
            <v>343710</v>
          </cell>
          <cell r="H2438" t="str">
            <v>Mayday</v>
          </cell>
          <cell r="I2438">
            <v>0.60416666666666663</v>
          </cell>
          <cell r="J2438">
            <v>0.85416666666666663</v>
          </cell>
          <cell r="K2438">
            <v>5.6666666666666696</v>
          </cell>
          <cell r="L2438">
            <v>292.76</v>
          </cell>
          <cell r="O2438" t="str">
            <v>Y</v>
          </cell>
          <cell r="P2438" t="str">
            <v>N</v>
          </cell>
          <cell r="Q2438" t="str">
            <v>Extra Capacity</v>
          </cell>
          <cell r="S2438">
            <v>0.15</v>
          </cell>
        </row>
        <row r="2439">
          <cell r="D2439">
            <v>1108002659</v>
          </cell>
          <cell r="E2439" t="str">
            <v>DONALD YANZA</v>
          </cell>
          <cell r="F2439" t="str">
            <v>D (Ch)</v>
          </cell>
          <cell r="G2439">
            <v>17238</v>
          </cell>
          <cell r="H2439" t="str">
            <v>Choice</v>
          </cell>
          <cell r="I2439">
            <v>0.83333333333333337</v>
          </cell>
          <cell r="J2439">
            <v>0.33333333333333331</v>
          </cell>
          <cell r="K2439">
            <v>11.3333333333333</v>
          </cell>
          <cell r="L2439">
            <v>441.91</v>
          </cell>
          <cell r="O2439" t="str">
            <v>Y</v>
          </cell>
          <cell r="P2439" t="str">
            <v>N</v>
          </cell>
          <cell r="Q2439" t="str">
            <v>Extra Capacity</v>
          </cell>
          <cell r="S2439">
            <v>0.3</v>
          </cell>
        </row>
        <row r="2440">
          <cell r="D2440">
            <v>1008004057</v>
          </cell>
          <cell r="E2440" t="str">
            <v>EVELYN PANESA</v>
          </cell>
          <cell r="F2440" t="str">
            <v>D (Ch)</v>
          </cell>
          <cell r="G2440">
            <v>17233</v>
          </cell>
          <cell r="H2440" t="str">
            <v>Choice</v>
          </cell>
          <cell r="I2440">
            <v>0.3125</v>
          </cell>
          <cell r="J2440">
            <v>0.54166666666666663</v>
          </cell>
          <cell r="K2440">
            <v>5.5</v>
          </cell>
          <cell r="L2440">
            <v>214.46</v>
          </cell>
          <cell r="O2440" t="str">
            <v>Y</v>
          </cell>
          <cell r="P2440" t="str">
            <v>N</v>
          </cell>
          <cell r="Q2440" t="str">
            <v>Vacancy</v>
          </cell>
          <cell r="S2440">
            <v>0.15</v>
          </cell>
        </row>
        <row r="2441">
          <cell r="D2441">
            <v>1108000893</v>
          </cell>
          <cell r="E2441" t="str">
            <v>EVELYN PANESA</v>
          </cell>
          <cell r="F2441" t="str">
            <v>D (Ch)</v>
          </cell>
          <cell r="H2441" t="str">
            <v>Choice</v>
          </cell>
          <cell r="I2441">
            <v>0.5625</v>
          </cell>
          <cell r="J2441">
            <v>0.89583333333333337</v>
          </cell>
          <cell r="K2441">
            <v>7.6666666666666696</v>
          </cell>
          <cell r="L2441">
            <v>298.94</v>
          </cell>
          <cell r="O2441" t="str">
            <v>Y</v>
          </cell>
          <cell r="P2441" t="str">
            <v>N</v>
          </cell>
          <cell r="Q2441" t="str">
            <v>Annual Leave</v>
          </cell>
          <cell r="S2441">
            <v>0.2</v>
          </cell>
        </row>
        <row r="2442">
          <cell r="D2442">
            <v>1108001384</v>
          </cell>
          <cell r="E2442" t="str">
            <v>JASMINE ESGUERRA</v>
          </cell>
          <cell r="F2442" t="str">
            <v>D (Ch)</v>
          </cell>
          <cell r="H2442" t="str">
            <v>Choice</v>
          </cell>
          <cell r="I2442">
            <v>0.3125</v>
          </cell>
          <cell r="J2442">
            <v>0.625</v>
          </cell>
          <cell r="K2442">
            <v>7.1666666666666696</v>
          </cell>
          <cell r="L2442">
            <v>279.44</v>
          </cell>
          <cell r="O2442" t="str">
            <v>Y</v>
          </cell>
          <cell r="P2442" t="str">
            <v>N</v>
          </cell>
          <cell r="Q2442" t="str">
            <v>Extra Capacity</v>
          </cell>
          <cell r="S2442">
            <v>0.19</v>
          </cell>
        </row>
        <row r="2443">
          <cell r="D2443">
            <v>1108002482</v>
          </cell>
          <cell r="E2443" t="str">
            <v>KINGSLEY IORPENDA</v>
          </cell>
          <cell r="F2443" t="str">
            <v>2 General (Adva</v>
          </cell>
          <cell r="G2443">
            <v>1408617</v>
          </cell>
          <cell r="H2443" t="str">
            <v>Advantage</v>
          </cell>
          <cell r="I2443">
            <v>0.88541666666666663</v>
          </cell>
          <cell r="J2443">
            <v>0.3125</v>
          </cell>
          <cell r="K2443">
            <v>9.25</v>
          </cell>
          <cell r="L2443">
            <v>142.91</v>
          </cell>
          <cell r="O2443" t="str">
            <v>Y</v>
          </cell>
          <cell r="P2443" t="str">
            <v>N</v>
          </cell>
          <cell r="Q2443" t="str">
            <v>Specials</v>
          </cell>
          <cell r="S2443">
            <v>0.25</v>
          </cell>
        </row>
        <row r="2444">
          <cell r="D2444">
            <v>1108002662</v>
          </cell>
          <cell r="E2444" t="str">
            <v>MIHAELA CHIRIBAU</v>
          </cell>
          <cell r="F2444" t="str">
            <v>D (MD)</v>
          </cell>
          <cell r="G2444">
            <v>343750</v>
          </cell>
          <cell r="H2444" t="str">
            <v>Mayday</v>
          </cell>
          <cell r="I2444">
            <v>0.3125</v>
          </cell>
          <cell r="J2444">
            <v>0.60416666666666663</v>
          </cell>
          <cell r="K2444">
            <v>6.6666666666666696</v>
          </cell>
          <cell r="L2444">
            <v>344.43</v>
          </cell>
          <cell r="O2444" t="str">
            <v>Y</v>
          </cell>
          <cell r="P2444" t="str">
            <v>N</v>
          </cell>
          <cell r="Q2444" t="str">
            <v>Extra Capacity</v>
          </cell>
          <cell r="S2444">
            <v>0.18</v>
          </cell>
        </row>
        <row r="2445">
          <cell r="D2445">
            <v>1108002670</v>
          </cell>
          <cell r="E2445" t="str">
            <v>MIHAELA CHIRIBAU</v>
          </cell>
          <cell r="F2445" t="str">
            <v>D (MD)</v>
          </cell>
          <cell r="G2445">
            <v>343750</v>
          </cell>
          <cell r="H2445" t="str">
            <v>Mayday</v>
          </cell>
          <cell r="I2445">
            <v>0.60416666666666663</v>
          </cell>
          <cell r="J2445">
            <v>0.85416666666666663</v>
          </cell>
          <cell r="K2445">
            <v>5.6666666666666696</v>
          </cell>
          <cell r="L2445">
            <v>292.76</v>
          </cell>
          <cell r="O2445" t="str">
            <v>Y</v>
          </cell>
          <cell r="P2445" t="str">
            <v>N</v>
          </cell>
          <cell r="Q2445" t="str">
            <v>Extra Capacity</v>
          </cell>
          <cell r="S2445">
            <v>0.15</v>
          </cell>
        </row>
        <row r="2446">
          <cell r="D2446">
            <v>1108001387</v>
          </cell>
          <cell r="E2446" t="str">
            <v>NILO DANUGO</v>
          </cell>
          <cell r="F2446" t="str">
            <v>D (Ch)</v>
          </cell>
          <cell r="H2446" t="str">
            <v>Choice</v>
          </cell>
          <cell r="I2446">
            <v>0.83333333333333337</v>
          </cell>
          <cell r="J2446">
            <v>0.33333333333333331</v>
          </cell>
          <cell r="K2446">
            <v>11.3333333333333</v>
          </cell>
          <cell r="L2446">
            <v>441.91</v>
          </cell>
          <cell r="O2446" t="str">
            <v>Y</v>
          </cell>
          <cell r="P2446" t="str">
            <v>N</v>
          </cell>
          <cell r="Q2446" t="str">
            <v>Extra Capacity</v>
          </cell>
          <cell r="S2446">
            <v>0.3</v>
          </cell>
        </row>
        <row r="2447">
          <cell r="D2447">
            <v>1008005673</v>
          </cell>
          <cell r="E2447" t="str">
            <v>PEGGY CHIRIKURE</v>
          </cell>
          <cell r="F2447" t="str">
            <v>D (Ch)</v>
          </cell>
          <cell r="G2447">
            <v>17235</v>
          </cell>
          <cell r="H2447" t="str">
            <v>Choice</v>
          </cell>
          <cell r="I2447">
            <v>0.5625</v>
          </cell>
          <cell r="J2447">
            <v>0.875</v>
          </cell>
          <cell r="K2447">
            <v>7.1666666666666696</v>
          </cell>
          <cell r="L2447">
            <v>279.44</v>
          </cell>
          <cell r="O2447" t="str">
            <v>Y</v>
          </cell>
          <cell r="P2447" t="str">
            <v>N</v>
          </cell>
          <cell r="Q2447" t="str">
            <v>Vacancy</v>
          </cell>
          <cell r="S2447">
            <v>0.19</v>
          </cell>
        </row>
        <row r="2448">
          <cell r="D2448">
            <v>1108000891</v>
          </cell>
          <cell r="E2448" t="str">
            <v>PEGGY CHIRIKURE</v>
          </cell>
          <cell r="F2448" t="str">
            <v>D (Ch)</v>
          </cell>
          <cell r="G2448">
            <v>17235</v>
          </cell>
          <cell r="H2448" t="str">
            <v>Choice</v>
          </cell>
          <cell r="I2448">
            <v>0.3125</v>
          </cell>
          <cell r="J2448">
            <v>0.5625</v>
          </cell>
          <cell r="K2448">
            <v>5.6666666666666696</v>
          </cell>
          <cell r="L2448">
            <v>220.95</v>
          </cell>
          <cell r="O2448" t="str">
            <v>Y</v>
          </cell>
          <cell r="P2448" t="str">
            <v>N</v>
          </cell>
          <cell r="Q2448" t="str">
            <v>Annual Leave</v>
          </cell>
          <cell r="S2448">
            <v>0.15</v>
          </cell>
        </row>
        <row r="2449">
          <cell r="D2449">
            <v>1108001385</v>
          </cell>
          <cell r="E2449" t="str">
            <v>TAMBU JENA</v>
          </cell>
          <cell r="F2449" t="str">
            <v>D (Ch)</v>
          </cell>
          <cell r="H2449" t="str">
            <v>Choice</v>
          </cell>
          <cell r="I2449">
            <v>0.3125</v>
          </cell>
          <cell r="J2449">
            <v>0.625</v>
          </cell>
          <cell r="K2449">
            <v>7.1666666666666696</v>
          </cell>
          <cell r="L2449">
            <v>279.44</v>
          </cell>
          <cell r="O2449" t="str">
            <v>Y</v>
          </cell>
          <cell r="P2449" t="str">
            <v>N</v>
          </cell>
          <cell r="Q2449" t="str">
            <v>Extra Capacity</v>
          </cell>
          <cell r="S2449">
            <v>0.19</v>
          </cell>
        </row>
        <row r="2450">
          <cell r="D2450">
            <v>1108003648</v>
          </cell>
          <cell r="E2450" t="str">
            <v>ABIGAIL MORAY</v>
          </cell>
          <cell r="F2450" t="str">
            <v>D (Ch)</v>
          </cell>
          <cell r="H2450" t="str">
            <v>Choice</v>
          </cell>
          <cell r="I2450">
            <v>0.88541666666666663</v>
          </cell>
          <cell r="J2450">
            <v>0.30208333333333331</v>
          </cell>
          <cell r="K2450">
            <v>9</v>
          </cell>
          <cell r="L2450">
            <v>285.13</v>
          </cell>
          <cell r="O2450" t="str">
            <v>Y</v>
          </cell>
          <cell r="P2450" t="str">
            <v>N</v>
          </cell>
          <cell r="Q2450" t="str">
            <v>Short Term Sick</v>
          </cell>
          <cell r="S2450">
            <v>0.24</v>
          </cell>
        </row>
        <row r="2451">
          <cell r="D2451">
            <v>1108001388</v>
          </cell>
          <cell r="E2451" t="str">
            <v>ALLI SUBRAMANIAM</v>
          </cell>
          <cell r="F2451" t="str">
            <v>D (MD)</v>
          </cell>
          <cell r="G2451">
            <v>344987</v>
          </cell>
          <cell r="H2451" t="str">
            <v>Mayday</v>
          </cell>
          <cell r="I2451">
            <v>0.3125</v>
          </cell>
          <cell r="J2451">
            <v>0.625</v>
          </cell>
          <cell r="K2451">
            <v>7.1666666670000003</v>
          </cell>
          <cell r="L2451">
            <v>231.41</v>
          </cell>
          <cell r="O2451" t="str">
            <v>Y</v>
          </cell>
          <cell r="P2451" t="str">
            <v>N</v>
          </cell>
          <cell r="Q2451" t="str">
            <v>Extra Capacity</v>
          </cell>
          <cell r="S2451">
            <v>0.19</v>
          </cell>
        </row>
        <row r="2452">
          <cell r="D2452">
            <v>1108002336</v>
          </cell>
          <cell r="E2452" t="str">
            <v>ALLI SUBRAMANIAM</v>
          </cell>
          <cell r="F2452" t="str">
            <v>D (MD)</v>
          </cell>
          <cell r="G2452">
            <v>344987</v>
          </cell>
          <cell r="H2452" t="str">
            <v>Mayday</v>
          </cell>
          <cell r="I2452">
            <v>0.625</v>
          </cell>
          <cell r="J2452">
            <v>0.90625</v>
          </cell>
          <cell r="K2452">
            <v>6.75</v>
          </cell>
          <cell r="L2452">
            <v>217.96</v>
          </cell>
          <cell r="O2452" t="str">
            <v>Y</v>
          </cell>
          <cell r="P2452" t="str">
            <v>N</v>
          </cell>
          <cell r="Q2452" t="str">
            <v>Extra Capacity</v>
          </cell>
          <cell r="S2452">
            <v>0.18</v>
          </cell>
        </row>
        <row r="2453">
          <cell r="D2453">
            <v>1108003176</v>
          </cell>
          <cell r="E2453" t="str">
            <v>AMBER PERRY</v>
          </cell>
          <cell r="F2453" t="str">
            <v>D (MD)</v>
          </cell>
          <cell r="G2453">
            <v>344320</v>
          </cell>
          <cell r="H2453" t="str">
            <v>Mayday</v>
          </cell>
          <cell r="I2453">
            <v>0.3125</v>
          </cell>
          <cell r="J2453">
            <v>0.85416666666666663</v>
          </cell>
          <cell r="K2453">
            <v>12.33333333</v>
          </cell>
          <cell r="L2453">
            <v>398.24</v>
          </cell>
          <cell r="O2453" t="str">
            <v>Y</v>
          </cell>
          <cell r="P2453" t="str">
            <v>N</v>
          </cell>
          <cell r="Q2453" t="str">
            <v>Short Term Sick</v>
          </cell>
          <cell r="S2453">
            <v>0.33</v>
          </cell>
        </row>
        <row r="2454">
          <cell r="D2454">
            <v>1108003643</v>
          </cell>
          <cell r="E2454" t="str">
            <v>ANDREA VENEURELA</v>
          </cell>
          <cell r="F2454" t="str">
            <v>D (Ch)</v>
          </cell>
          <cell r="H2454" t="str">
            <v>Choice</v>
          </cell>
          <cell r="I2454">
            <v>0.82291666666666663</v>
          </cell>
          <cell r="J2454">
            <v>0.33333333333333331</v>
          </cell>
          <cell r="K2454">
            <v>11.58333333</v>
          </cell>
          <cell r="L2454">
            <v>366.97</v>
          </cell>
          <cell r="O2454" t="str">
            <v>Y</v>
          </cell>
          <cell r="P2454" t="str">
            <v>N</v>
          </cell>
          <cell r="Q2454" t="str">
            <v>Vacancy</v>
          </cell>
          <cell r="S2454">
            <v>0.31</v>
          </cell>
        </row>
        <row r="2455">
          <cell r="D2455">
            <v>1108003932</v>
          </cell>
          <cell r="E2455" t="str">
            <v>ANTHONY OGOEGBUNAN</v>
          </cell>
          <cell r="F2455" t="str">
            <v>D (MD)</v>
          </cell>
          <cell r="G2455">
            <v>345645</v>
          </cell>
          <cell r="H2455" t="str">
            <v>Mayday</v>
          </cell>
          <cell r="I2455">
            <v>0.83333333333333337</v>
          </cell>
          <cell r="J2455">
            <v>0.33333333333333331</v>
          </cell>
          <cell r="K2455">
            <v>11</v>
          </cell>
          <cell r="L2455">
            <v>461.75</v>
          </cell>
          <cell r="O2455" t="str">
            <v>Y</v>
          </cell>
          <cell r="P2455" t="str">
            <v>N</v>
          </cell>
          <cell r="Q2455" t="str">
            <v>Vacancy</v>
          </cell>
          <cell r="S2455">
            <v>0.28999999999999998</v>
          </cell>
        </row>
        <row r="2456">
          <cell r="D2456">
            <v>1008005680</v>
          </cell>
          <cell r="E2456" t="str">
            <v>BRIGHTNESS NDEBELE</v>
          </cell>
          <cell r="F2456" t="str">
            <v>D (MD)</v>
          </cell>
          <cell r="G2456">
            <v>345649</v>
          </cell>
          <cell r="H2456" t="str">
            <v>Mayday</v>
          </cell>
          <cell r="I2456">
            <v>0.3125</v>
          </cell>
          <cell r="J2456">
            <v>0.5625</v>
          </cell>
          <cell r="K2456">
            <v>5.6666666670000003</v>
          </cell>
          <cell r="L2456">
            <v>182.98</v>
          </cell>
          <cell r="O2456" t="str">
            <v>Y</v>
          </cell>
          <cell r="P2456" t="str">
            <v>N</v>
          </cell>
          <cell r="Q2456" t="str">
            <v>Vacancy</v>
          </cell>
          <cell r="S2456">
            <v>0.15</v>
          </cell>
        </row>
        <row r="2457">
          <cell r="D2457">
            <v>1008005681</v>
          </cell>
          <cell r="E2457" t="str">
            <v>BRIGHTNESS NDEBELE</v>
          </cell>
          <cell r="F2457" t="str">
            <v>D (MD)</v>
          </cell>
          <cell r="G2457">
            <v>345649</v>
          </cell>
          <cell r="H2457" t="str">
            <v>Mayday</v>
          </cell>
          <cell r="I2457">
            <v>0.5625</v>
          </cell>
          <cell r="J2457">
            <v>0.875</v>
          </cell>
          <cell r="K2457">
            <v>7.1666666670000003</v>
          </cell>
          <cell r="L2457">
            <v>231.41</v>
          </cell>
          <cell r="O2457" t="str">
            <v>Y</v>
          </cell>
          <cell r="P2457" t="str">
            <v>N</v>
          </cell>
          <cell r="Q2457" t="str">
            <v>Vacancy</v>
          </cell>
          <cell r="S2457">
            <v>0.19</v>
          </cell>
        </row>
        <row r="2458">
          <cell r="D2458">
            <v>1108003271</v>
          </cell>
          <cell r="E2458" t="str">
            <v>DONALD YANZA</v>
          </cell>
          <cell r="F2458" t="str">
            <v>D (Ch)</v>
          </cell>
          <cell r="H2458" t="str">
            <v>Choice</v>
          </cell>
          <cell r="I2458">
            <v>0.83333333333333337</v>
          </cell>
          <cell r="J2458">
            <v>0.33333333333333331</v>
          </cell>
          <cell r="K2458">
            <v>11.33333333</v>
          </cell>
          <cell r="L2458">
            <v>359.05</v>
          </cell>
          <cell r="O2458" t="str">
            <v>Y</v>
          </cell>
          <cell r="P2458" t="str">
            <v>N</v>
          </cell>
          <cell r="Q2458" t="str">
            <v>Vacancy</v>
          </cell>
          <cell r="S2458">
            <v>0.3</v>
          </cell>
        </row>
        <row r="2459">
          <cell r="D2459">
            <v>1108002591</v>
          </cell>
          <cell r="E2459" t="str">
            <v>EVELYN PANESA</v>
          </cell>
          <cell r="F2459" t="str">
            <v>D (Ch)</v>
          </cell>
          <cell r="H2459" t="str">
            <v>Choice</v>
          </cell>
          <cell r="I2459">
            <v>0.29166666666666669</v>
          </cell>
          <cell r="J2459">
            <v>0.625</v>
          </cell>
          <cell r="K2459">
            <v>7.5</v>
          </cell>
          <cell r="L2459">
            <v>182.78</v>
          </cell>
          <cell r="O2459" t="str">
            <v>Y</v>
          </cell>
          <cell r="P2459" t="str">
            <v>N</v>
          </cell>
          <cell r="Q2459" t="str">
            <v>Extra Capacity</v>
          </cell>
          <cell r="S2459">
            <v>0.2</v>
          </cell>
        </row>
        <row r="2460">
          <cell r="D2460">
            <v>1108001391</v>
          </cell>
          <cell r="E2460" t="str">
            <v>GLENDA RONA</v>
          </cell>
          <cell r="F2460" t="str">
            <v>D (Ch)</v>
          </cell>
          <cell r="H2460" t="str">
            <v>Choice</v>
          </cell>
          <cell r="I2460">
            <v>0.83333333333333337</v>
          </cell>
          <cell r="J2460">
            <v>0.33333333333333331</v>
          </cell>
          <cell r="K2460">
            <v>11.33333333</v>
          </cell>
          <cell r="L2460">
            <v>359.05</v>
          </cell>
          <cell r="O2460" t="str">
            <v>Y</v>
          </cell>
          <cell r="P2460" t="str">
            <v>N</v>
          </cell>
          <cell r="Q2460" t="str">
            <v>Extra Capacity</v>
          </cell>
          <cell r="S2460">
            <v>0.3</v>
          </cell>
        </row>
        <row r="2461">
          <cell r="D2461">
            <v>1008006372</v>
          </cell>
          <cell r="E2461" t="str">
            <v>JAKE BROOKES</v>
          </cell>
          <cell r="F2461" t="str">
            <v>D General (Orio</v>
          </cell>
          <cell r="G2461">
            <v>18581</v>
          </cell>
          <cell r="H2461" t="str">
            <v>Orion</v>
          </cell>
          <cell r="I2461">
            <v>0.33333333333333331</v>
          </cell>
          <cell r="J2461">
            <v>0.75</v>
          </cell>
          <cell r="K2461">
            <v>9.6666666669999994</v>
          </cell>
          <cell r="L2461">
            <v>175.16</v>
          </cell>
          <cell r="O2461" t="str">
            <v>Y</v>
          </cell>
          <cell r="P2461" t="str">
            <v>N</v>
          </cell>
          <cell r="Q2461" t="str">
            <v>Long Term Sick</v>
          </cell>
          <cell r="S2461">
            <v>0.26</v>
          </cell>
        </row>
        <row r="2462">
          <cell r="D2462">
            <v>1108003473</v>
          </cell>
          <cell r="E2462" t="str">
            <v>JANE DUNSMURE</v>
          </cell>
          <cell r="F2462" t="str">
            <v>D/5 (PS)</v>
          </cell>
          <cell r="H2462" t="str">
            <v>Pinnacle Staffing</v>
          </cell>
          <cell r="I2462">
            <v>0.88541666666666663</v>
          </cell>
          <cell r="J2462">
            <v>0.3125</v>
          </cell>
          <cell r="K2462">
            <v>9.25</v>
          </cell>
          <cell r="L2462">
            <v>204.3</v>
          </cell>
          <cell r="O2462" t="str">
            <v>Y</v>
          </cell>
          <cell r="P2462" t="str">
            <v>N</v>
          </cell>
          <cell r="Q2462" t="str">
            <v>Short Term Sick</v>
          </cell>
          <cell r="S2462">
            <v>0.25</v>
          </cell>
        </row>
        <row r="2463">
          <cell r="D2463">
            <v>1108003124</v>
          </cell>
          <cell r="E2463" t="str">
            <v>JASON WENT</v>
          </cell>
          <cell r="F2463" t="str">
            <v>D / 5 General (</v>
          </cell>
          <cell r="G2463" t="str">
            <v>604-157386</v>
          </cell>
          <cell r="H2463" t="str">
            <v>Blue Arrow</v>
          </cell>
          <cell r="I2463">
            <v>0.83333333333333337</v>
          </cell>
          <cell r="J2463">
            <v>0.33333333333333331</v>
          </cell>
          <cell r="K2463">
            <v>11.33333333</v>
          </cell>
          <cell r="L2463">
            <v>248.7</v>
          </cell>
          <cell r="O2463" t="str">
            <v>Y</v>
          </cell>
          <cell r="P2463" t="str">
            <v>N</v>
          </cell>
          <cell r="Q2463" t="str">
            <v>Vacancy</v>
          </cell>
          <cell r="S2463">
            <v>0.3</v>
          </cell>
        </row>
        <row r="2464">
          <cell r="D2464">
            <v>1108001433</v>
          </cell>
          <cell r="E2464" t="str">
            <v>JOANNA TAYLOR</v>
          </cell>
          <cell r="F2464" t="str">
            <v>D (MD)</v>
          </cell>
          <cell r="G2464">
            <v>344995</v>
          </cell>
          <cell r="H2464" t="str">
            <v>Mayday</v>
          </cell>
          <cell r="I2464">
            <v>0.3125</v>
          </cell>
          <cell r="J2464">
            <v>0.58333333333333337</v>
          </cell>
          <cell r="K2464">
            <v>6</v>
          </cell>
          <cell r="L2464">
            <v>193.74</v>
          </cell>
          <cell r="O2464" t="str">
            <v>Y</v>
          </cell>
          <cell r="P2464" t="str">
            <v>N</v>
          </cell>
          <cell r="Q2464" t="str">
            <v>Vacancy</v>
          </cell>
          <cell r="S2464">
            <v>0.16</v>
          </cell>
        </row>
        <row r="2465">
          <cell r="D2465">
            <v>1008004397</v>
          </cell>
          <cell r="E2465" t="str">
            <v>JOANNE DUCKER</v>
          </cell>
          <cell r="F2465" t="str">
            <v>D / 5 General (</v>
          </cell>
          <cell r="G2465" t="str">
            <v>604-157373</v>
          </cell>
          <cell r="H2465" t="str">
            <v>Blue Arrow</v>
          </cell>
          <cell r="I2465">
            <v>0.58333333333333337</v>
          </cell>
          <cell r="J2465">
            <v>0.84375</v>
          </cell>
          <cell r="K2465">
            <v>6</v>
          </cell>
          <cell r="L2465">
            <v>101.28</v>
          </cell>
          <cell r="O2465" t="str">
            <v>Y</v>
          </cell>
          <cell r="P2465" t="str">
            <v>N</v>
          </cell>
          <cell r="Q2465" t="str">
            <v>Vacancy</v>
          </cell>
          <cell r="S2465">
            <v>0.16</v>
          </cell>
        </row>
        <row r="2466">
          <cell r="D2466">
            <v>1008005679</v>
          </cell>
          <cell r="E2466" t="str">
            <v>LETECIA MENIANO</v>
          </cell>
          <cell r="F2466" t="str">
            <v>D (MD)</v>
          </cell>
          <cell r="G2466">
            <v>345663</v>
          </cell>
          <cell r="H2466" t="str">
            <v>Mayday</v>
          </cell>
          <cell r="I2466">
            <v>0.3125</v>
          </cell>
          <cell r="J2466">
            <v>0.5625</v>
          </cell>
          <cell r="K2466">
            <v>5.6666666670000003</v>
          </cell>
          <cell r="L2466">
            <v>182.98</v>
          </cell>
          <cell r="O2466" t="str">
            <v>Y</v>
          </cell>
          <cell r="P2466" t="str">
            <v>N</v>
          </cell>
          <cell r="Q2466" t="str">
            <v>Vacancy</v>
          </cell>
          <cell r="S2466">
            <v>0.15</v>
          </cell>
        </row>
        <row r="2467">
          <cell r="D2467">
            <v>1008005682</v>
          </cell>
          <cell r="E2467" t="str">
            <v>LETECIA MENIANO</v>
          </cell>
          <cell r="F2467" t="str">
            <v>D (MD)</v>
          </cell>
          <cell r="G2467">
            <v>345663</v>
          </cell>
          <cell r="H2467" t="str">
            <v>Mayday</v>
          </cell>
          <cell r="I2467">
            <v>0.5625</v>
          </cell>
          <cell r="J2467">
            <v>0.875</v>
          </cell>
          <cell r="K2467">
            <v>7.1666666670000003</v>
          </cell>
          <cell r="L2467">
            <v>231.41</v>
          </cell>
          <cell r="O2467" t="str">
            <v>Y</v>
          </cell>
          <cell r="P2467" t="str">
            <v>N</v>
          </cell>
          <cell r="Q2467" t="str">
            <v>Vacancy</v>
          </cell>
          <cell r="S2467">
            <v>0.19</v>
          </cell>
        </row>
        <row r="2468">
          <cell r="D2468">
            <v>1108003248</v>
          </cell>
          <cell r="E2468" t="str">
            <v>MARILEEN DESOUZA</v>
          </cell>
          <cell r="F2468" t="str">
            <v>D (Ch)</v>
          </cell>
          <cell r="G2468">
            <v>17312</v>
          </cell>
          <cell r="H2468" t="str">
            <v>Choice</v>
          </cell>
          <cell r="I2468">
            <v>0.82291666666666663</v>
          </cell>
          <cell r="J2468">
            <v>0.33333333333333331</v>
          </cell>
          <cell r="K2468">
            <v>11.58333333</v>
          </cell>
          <cell r="L2468">
            <v>366.97</v>
          </cell>
          <cell r="O2468" t="str">
            <v>Y</v>
          </cell>
          <cell r="P2468" t="str">
            <v>N</v>
          </cell>
          <cell r="Q2468" t="str">
            <v>Vacancy</v>
          </cell>
          <cell r="S2468">
            <v>0.31</v>
          </cell>
        </row>
        <row r="2469">
          <cell r="D2469">
            <v>1108002665</v>
          </cell>
          <cell r="E2469" t="str">
            <v>MIHAELA CHIRIBAU</v>
          </cell>
          <cell r="F2469" t="str">
            <v>D (MD)</v>
          </cell>
          <cell r="G2469">
            <v>345675</v>
          </cell>
          <cell r="H2469" t="str">
            <v>Mayday</v>
          </cell>
          <cell r="I2469">
            <v>0.3125</v>
          </cell>
          <cell r="J2469">
            <v>0.60416666666666663</v>
          </cell>
          <cell r="K2469">
            <v>6.6666666670000003</v>
          </cell>
          <cell r="L2469">
            <v>215.27</v>
          </cell>
          <cell r="O2469" t="str">
            <v>Y</v>
          </cell>
          <cell r="P2469" t="str">
            <v>N</v>
          </cell>
          <cell r="Q2469" t="str">
            <v>Extra Capacity</v>
          </cell>
          <cell r="S2469">
            <v>0.18</v>
          </cell>
        </row>
        <row r="2470">
          <cell r="D2470">
            <v>1108001390</v>
          </cell>
          <cell r="E2470" t="str">
            <v>NILO DANUGO</v>
          </cell>
          <cell r="F2470" t="str">
            <v>D (Ch)</v>
          </cell>
          <cell r="H2470" t="str">
            <v>Choice</v>
          </cell>
          <cell r="I2470">
            <v>0.83333333333333337</v>
          </cell>
          <cell r="J2470">
            <v>0.33333333333333331</v>
          </cell>
          <cell r="K2470">
            <v>11.33333333</v>
          </cell>
          <cell r="L2470">
            <v>359.05</v>
          </cell>
          <cell r="O2470" t="str">
            <v>Y</v>
          </cell>
          <cell r="P2470" t="str">
            <v>N</v>
          </cell>
          <cell r="Q2470" t="str">
            <v>Extra Capacity</v>
          </cell>
          <cell r="S2470">
            <v>0.3</v>
          </cell>
        </row>
        <row r="2471">
          <cell r="D2471">
            <v>1108002664</v>
          </cell>
          <cell r="E2471" t="str">
            <v>PEGGY CHIRIKURE</v>
          </cell>
          <cell r="F2471" t="str">
            <v>D (Ch)</v>
          </cell>
          <cell r="G2471">
            <v>17522</v>
          </cell>
          <cell r="H2471" t="str">
            <v>Choice</v>
          </cell>
          <cell r="I2471">
            <v>0.3125</v>
          </cell>
          <cell r="J2471">
            <v>0.60416666666666663</v>
          </cell>
          <cell r="K2471">
            <v>6.6666666670000003</v>
          </cell>
          <cell r="L2471">
            <v>162.47</v>
          </cell>
          <cell r="O2471" t="str">
            <v>Y</v>
          </cell>
          <cell r="P2471" t="str">
            <v>N</v>
          </cell>
          <cell r="Q2471" t="str">
            <v>Extra Capacity</v>
          </cell>
          <cell r="S2471">
            <v>0.18</v>
          </cell>
        </row>
        <row r="2472">
          <cell r="D2472">
            <v>1108002667</v>
          </cell>
          <cell r="E2472" t="str">
            <v>PEGGY CHIRIKURE</v>
          </cell>
          <cell r="F2472" t="str">
            <v>D (Ch)</v>
          </cell>
          <cell r="G2472">
            <v>17522</v>
          </cell>
          <cell r="H2472" t="str">
            <v>Choice</v>
          </cell>
          <cell r="I2472">
            <v>0.60416666666666663</v>
          </cell>
          <cell r="J2472">
            <v>0.85416666666666663</v>
          </cell>
          <cell r="K2472">
            <v>5.6666666670000003</v>
          </cell>
          <cell r="L2472">
            <v>138.1</v>
          </cell>
          <cell r="O2472" t="str">
            <v>Y</v>
          </cell>
          <cell r="P2472" t="str">
            <v>N</v>
          </cell>
          <cell r="Q2472" t="str">
            <v>Extra Capacity</v>
          </cell>
          <cell r="S2472">
            <v>0.15</v>
          </cell>
        </row>
        <row r="2473">
          <cell r="D2473">
            <v>1008007261</v>
          </cell>
          <cell r="E2473" t="str">
            <v>PEGGY MAPOGO</v>
          </cell>
          <cell r="F2473" t="str">
            <v>D (Ch)</v>
          </cell>
          <cell r="G2473">
            <v>17312</v>
          </cell>
          <cell r="H2473" t="str">
            <v>Choice</v>
          </cell>
          <cell r="I2473">
            <v>0.3125</v>
          </cell>
          <cell r="J2473">
            <v>0.5625</v>
          </cell>
          <cell r="K2473">
            <v>5.6666666670000003</v>
          </cell>
          <cell r="L2473">
            <v>138.1</v>
          </cell>
          <cell r="O2473" t="str">
            <v>Y</v>
          </cell>
          <cell r="P2473" t="str">
            <v>N</v>
          </cell>
          <cell r="Q2473" t="str">
            <v>Short Term Sick</v>
          </cell>
          <cell r="S2473">
            <v>0.15</v>
          </cell>
        </row>
        <row r="2474">
          <cell r="D2474">
            <v>1108002666</v>
          </cell>
          <cell r="E2474" t="str">
            <v>PEGGY MAPOGO</v>
          </cell>
          <cell r="F2474" t="str">
            <v>D (Ch)</v>
          </cell>
          <cell r="G2474">
            <v>17312</v>
          </cell>
          <cell r="H2474" t="str">
            <v>Choice</v>
          </cell>
          <cell r="I2474">
            <v>0.60416666666666663</v>
          </cell>
          <cell r="J2474">
            <v>0.85416666666666663</v>
          </cell>
          <cell r="K2474">
            <v>5.6666666670000003</v>
          </cell>
          <cell r="L2474">
            <v>138.1</v>
          </cell>
          <cell r="O2474" t="str">
            <v>Y</v>
          </cell>
          <cell r="P2474" t="str">
            <v>N</v>
          </cell>
          <cell r="Q2474" t="str">
            <v>Extra Capacity</v>
          </cell>
          <cell r="S2474">
            <v>0.15</v>
          </cell>
        </row>
        <row r="2475">
          <cell r="D2475">
            <v>1108003270</v>
          </cell>
          <cell r="E2475" t="str">
            <v>SAM KELEM</v>
          </cell>
          <cell r="F2475" t="str">
            <v>D (Ch)</v>
          </cell>
          <cell r="G2475">
            <v>17312</v>
          </cell>
          <cell r="H2475" t="str">
            <v>Choice</v>
          </cell>
          <cell r="I2475">
            <v>0.83333333333333337</v>
          </cell>
          <cell r="J2475">
            <v>0.33333333333333331</v>
          </cell>
          <cell r="K2475">
            <v>11.33333333</v>
          </cell>
          <cell r="L2475">
            <v>359.05</v>
          </cell>
          <cell r="O2475" t="str">
            <v>Y</v>
          </cell>
          <cell r="P2475" t="str">
            <v>N</v>
          </cell>
          <cell r="Q2475" t="str">
            <v>Vacancy</v>
          </cell>
          <cell r="S2475">
            <v>0.3</v>
          </cell>
        </row>
        <row r="2476">
          <cell r="D2476">
            <v>1008000815</v>
          </cell>
          <cell r="E2476" t="str">
            <v>TAMBU JENA</v>
          </cell>
          <cell r="F2476" t="str">
            <v>D (Ch)</v>
          </cell>
          <cell r="G2476">
            <v>17320</v>
          </cell>
          <cell r="H2476" t="str">
            <v>Choice</v>
          </cell>
          <cell r="I2476">
            <v>0.625</v>
          </cell>
          <cell r="J2476">
            <v>0.85416666666666663</v>
          </cell>
          <cell r="K2476">
            <v>5.5</v>
          </cell>
          <cell r="L2476">
            <v>134.03</v>
          </cell>
          <cell r="O2476" t="str">
            <v>Y</v>
          </cell>
          <cell r="P2476" t="str">
            <v>N</v>
          </cell>
          <cell r="Q2476" t="str">
            <v>Vacancy</v>
          </cell>
          <cell r="S2476">
            <v>0.15</v>
          </cell>
        </row>
        <row r="2477">
          <cell r="D2477">
            <v>1108001270</v>
          </cell>
          <cell r="E2477" t="str">
            <v>TAMBU JENA</v>
          </cell>
          <cell r="F2477" t="str">
            <v>D (MD)</v>
          </cell>
          <cell r="H2477" t="str">
            <v>Mayday</v>
          </cell>
          <cell r="I2477">
            <v>0.625</v>
          </cell>
          <cell r="J2477">
            <v>0.89583333333333337</v>
          </cell>
          <cell r="K2477">
            <v>6.1666666670000003</v>
          </cell>
          <cell r="L2477">
            <v>199.12</v>
          </cell>
          <cell r="O2477" t="str">
            <v>Y</v>
          </cell>
          <cell r="P2477" t="str">
            <v>N</v>
          </cell>
          <cell r="Q2477" t="str">
            <v>Extra Capacity</v>
          </cell>
          <cell r="S2477">
            <v>0.16</v>
          </cell>
        </row>
        <row r="2478">
          <cell r="D2478">
            <v>1108003640</v>
          </cell>
          <cell r="E2478" t="str">
            <v>ALLI SUBRAMANIAM</v>
          </cell>
          <cell r="F2478" t="str">
            <v>D (MD)</v>
          </cell>
          <cell r="G2478">
            <v>345002</v>
          </cell>
          <cell r="H2478" t="str">
            <v>Mayday</v>
          </cell>
          <cell r="I2478">
            <v>0.625</v>
          </cell>
          <cell r="J2478">
            <v>0.90625</v>
          </cell>
          <cell r="K2478">
            <v>6.75</v>
          </cell>
          <cell r="L2478">
            <v>217.96</v>
          </cell>
          <cell r="O2478" t="str">
            <v>Y</v>
          </cell>
          <cell r="P2478" t="str">
            <v>N</v>
          </cell>
          <cell r="Q2478" t="str">
            <v>Nurse Moved</v>
          </cell>
          <cell r="S2478">
            <v>0.18</v>
          </cell>
        </row>
        <row r="2479">
          <cell r="D2479">
            <v>1108003180</v>
          </cell>
          <cell r="E2479" t="str">
            <v>BELLA ZALOUMIS</v>
          </cell>
          <cell r="F2479" t="str">
            <v>2 General (Adva</v>
          </cell>
          <cell r="H2479" t="str">
            <v>Advantage</v>
          </cell>
          <cell r="I2479">
            <v>0.88541666666666663</v>
          </cell>
          <cell r="J2479">
            <v>0.3125</v>
          </cell>
          <cell r="K2479">
            <v>9.25</v>
          </cell>
          <cell r="L2479">
            <v>114.33</v>
          </cell>
          <cell r="O2479" t="str">
            <v>Y</v>
          </cell>
          <cell r="P2479" t="str">
            <v>N</v>
          </cell>
          <cell r="Q2479" t="str">
            <v>Specials</v>
          </cell>
          <cell r="S2479">
            <v>0.25</v>
          </cell>
        </row>
        <row r="2480">
          <cell r="D2480">
            <v>1108003287</v>
          </cell>
          <cell r="E2480" t="str">
            <v>BRIGHTNESS NDEBELE</v>
          </cell>
          <cell r="F2480" t="str">
            <v>D (MD)</v>
          </cell>
          <cell r="G2480">
            <v>344278</v>
          </cell>
          <cell r="H2480" t="str">
            <v>Mayday</v>
          </cell>
          <cell r="I2480">
            <v>0.3125</v>
          </cell>
          <cell r="J2480">
            <v>0.625</v>
          </cell>
          <cell r="K2480">
            <v>7.1666666670000003</v>
          </cell>
          <cell r="L2480">
            <v>231.41</v>
          </cell>
          <cell r="O2480" t="str">
            <v>Y</v>
          </cell>
          <cell r="P2480" t="str">
            <v>N</v>
          </cell>
          <cell r="Q2480" t="str">
            <v>Extra Capacity</v>
          </cell>
          <cell r="S2480">
            <v>0.19</v>
          </cell>
        </row>
        <row r="2481">
          <cell r="D2481">
            <v>1108003302</v>
          </cell>
          <cell r="E2481" t="str">
            <v>BRIGHTNESS NDEBELE</v>
          </cell>
          <cell r="F2481" t="str">
            <v>D (MD)</v>
          </cell>
          <cell r="G2481">
            <v>344312</v>
          </cell>
          <cell r="H2481" t="str">
            <v>Mayday</v>
          </cell>
          <cell r="I2481">
            <v>0.625</v>
          </cell>
          <cell r="J2481">
            <v>0.85416666666666663</v>
          </cell>
          <cell r="K2481">
            <v>5.5</v>
          </cell>
          <cell r="L2481">
            <v>177.59</v>
          </cell>
          <cell r="O2481" t="str">
            <v>Y</v>
          </cell>
          <cell r="P2481" t="str">
            <v>N</v>
          </cell>
          <cell r="Q2481" t="str">
            <v>Extra Capacity</v>
          </cell>
          <cell r="S2481">
            <v>0.15</v>
          </cell>
        </row>
        <row r="2482">
          <cell r="D2482">
            <v>1008001040</v>
          </cell>
          <cell r="E2482" t="str">
            <v>CHRIS STULAR</v>
          </cell>
          <cell r="F2482" t="str">
            <v>D General (Orio</v>
          </cell>
          <cell r="G2482">
            <v>18396</v>
          </cell>
          <cell r="H2482" t="str">
            <v>Orion</v>
          </cell>
          <cell r="I2482">
            <v>0.33333333333333331</v>
          </cell>
          <cell r="J2482">
            <v>0.75</v>
          </cell>
          <cell r="K2482">
            <v>9.5</v>
          </cell>
          <cell r="L2482">
            <v>172.14</v>
          </cell>
          <cell r="O2482" t="str">
            <v>Y</v>
          </cell>
          <cell r="P2482" t="str">
            <v>N</v>
          </cell>
          <cell r="Q2482" t="str">
            <v>Backfill</v>
          </cell>
          <cell r="S2482">
            <v>0.25</v>
          </cell>
        </row>
        <row r="2483">
          <cell r="D2483">
            <v>1108003234</v>
          </cell>
          <cell r="E2483" t="str">
            <v>DAMILOLA AIKI</v>
          </cell>
          <cell r="F2483" t="str">
            <v>A (Ch)</v>
          </cell>
          <cell r="G2483">
            <v>17316</v>
          </cell>
          <cell r="H2483" t="str">
            <v>Choice</v>
          </cell>
          <cell r="I2483">
            <v>0.29166666666666669</v>
          </cell>
          <cell r="J2483">
            <v>0.625</v>
          </cell>
          <cell r="K2483">
            <v>7.6666666670000003</v>
          </cell>
          <cell r="L2483">
            <v>85.02</v>
          </cell>
          <cell r="O2483" t="str">
            <v>Y</v>
          </cell>
          <cell r="P2483" t="str">
            <v>N</v>
          </cell>
          <cell r="Q2483" t="str">
            <v>Specials</v>
          </cell>
          <cell r="S2483">
            <v>0.2</v>
          </cell>
        </row>
        <row r="2484">
          <cell r="D2484">
            <v>1108003236</v>
          </cell>
          <cell r="E2484" t="str">
            <v>DAMILOLA AIKI</v>
          </cell>
          <cell r="F2484" t="str">
            <v>A (Ch)</v>
          </cell>
          <cell r="G2484">
            <v>17316</v>
          </cell>
          <cell r="H2484" t="str">
            <v>Choice</v>
          </cell>
          <cell r="I2484">
            <v>0.625</v>
          </cell>
          <cell r="J2484">
            <v>0.88541666666666663</v>
          </cell>
          <cell r="K2484">
            <v>5.9166666670000003</v>
          </cell>
          <cell r="L2484">
            <v>65.62</v>
          </cell>
          <cell r="O2484" t="str">
            <v>Y</v>
          </cell>
          <cell r="P2484" t="str">
            <v>N</v>
          </cell>
          <cell r="Q2484" t="str">
            <v>Specials</v>
          </cell>
          <cell r="S2484">
            <v>0.16</v>
          </cell>
        </row>
        <row r="2485">
          <cell r="D2485">
            <v>1108003253</v>
          </cell>
          <cell r="E2485" t="str">
            <v>DIGRACIA  NAPE</v>
          </cell>
          <cell r="F2485" t="str">
            <v>D (MD)</v>
          </cell>
          <cell r="G2485">
            <v>345636</v>
          </cell>
          <cell r="H2485" t="str">
            <v>Mayday</v>
          </cell>
          <cell r="I2485">
            <v>0.3125</v>
          </cell>
          <cell r="J2485">
            <v>0.60416666666666663</v>
          </cell>
          <cell r="K2485">
            <v>6.6666666670000003</v>
          </cell>
          <cell r="L2485">
            <v>215.27</v>
          </cell>
          <cell r="O2485" t="str">
            <v>Y</v>
          </cell>
          <cell r="P2485" t="str">
            <v>N</v>
          </cell>
          <cell r="Q2485" t="str">
            <v>Vacancy</v>
          </cell>
          <cell r="S2485">
            <v>0.18</v>
          </cell>
        </row>
        <row r="2486">
          <cell r="D2486">
            <v>1108003261</v>
          </cell>
          <cell r="E2486" t="str">
            <v>DIGRACIA  NAPE</v>
          </cell>
          <cell r="F2486" t="str">
            <v>D (MD)</v>
          </cell>
          <cell r="G2486">
            <v>345636</v>
          </cell>
          <cell r="H2486" t="str">
            <v>Mayday</v>
          </cell>
          <cell r="I2486">
            <v>0.60416666666666663</v>
          </cell>
          <cell r="J2486">
            <v>0.85416666666666663</v>
          </cell>
          <cell r="K2486">
            <v>5.6666666670000003</v>
          </cell>
          <cell r="L2486">
            <v>182.98</v>
          </cell>
          <cell r="O2486" t="str">
            <v>Y</v>
          </cell>
          <cell r="P2486" t="str">
            <v>N</v>
          </cell>
          <cell r="Q2486" t="str">
            <v>Vacancy</v>
          </cell>
          <cell r="S2486">
            <v>0.15</v>
          </cell>
        </row>
        <row r="2487">
          <cell r="D2487">
            <v>1108003279</v>
          </cell>
          <cell r="E2487" t="str">
            <v>DONALD YANZA</v>
          </cell>
          <cell r="F2487" t="str">
            <v>D (Ch)</v>
          </cell>
          <cell r="H2487" t="str">
            <v>Choice</v>
          </cell>
          <cell r="I2487">
            <v>0.83333333333333337</v>
          </cell>
          <cell r="J2487">
            <v>0.33333333333333331</v>
          </cell>
          <cell r="K2487">
            <v>11.33333333</v>
          </cell>
          <cell r="L2487">
            <v>359.05</v>
          </cell>
          <cell r="O2487" t="str">
            <v>Y</v>
          </cell>
          <cell r="P2487" t="str">
            <v>N</v>
          </cell>
          <cell r="Q2487" t="str">
            <v>Vacancy</v>
          </cell>
          <cell r="S2487">
            <v>0.3</v>
          </cell>
        </row>
        <row r="2488">
          <cell r="D2488">
            <v>1108003751</v>
          </cell>
          <cell r="E2488" t="str">
            <v>DOROTHY MUTHWA</v>
          </cell>
          <cell r="F2488" t="str">
            <v>A (Ch)</v>
          </cell>
          <cell r="G2488">
            <v>17320</v>
          </cell>
          <cell r="H2488" t="str">
            <v>Choice</v>
          </cell>
          <cell r="I2488">
            <v>0.625</v>
          </cell>
          <cell r="J2488">
            <v>0.85416666666666663</v>
          </cell>
          <cell r="K2488">
            <v>5.5</v>
          </cell>
          <cell r="L2488">
            <v>60.99</v>
          </cell>
          <cell r="O2488" t="str">
            <v>Y</v>
          </cell>
          <cell r="P2488" t="str">
            <v>N</v>
          </cell>
          <cell r="Q2488" t="str">
            <v>Short Term Sick</v>
          </cell>
          <cell r="S2488">
            <v>0.15</v>
          </cell>
        </row>
        <row r="2489">
          <cell r="D2489">
            <v>1008005433</v>
          </cell>
          <cell r="E2489" t="str">
            <v>JAKE BROOKES</v>
          </cell>
          <cell r="F2489" t="str">
            <v>D General (Orio</v>
          </cell>
          <cell r="G2489">
            <v>18581</v>
          </cell>
          <cell r="H2489" t="str">
            <v>Orion</v>
          </cell>
          <cell r="I2489">
            <v>0.33333333333333331</v>
          </cell>
          <cell r="J2489">
            <v>0.75</v>
          </cell>
          <cell r="K2489">
            <v>9.6666666669999994</v>
          </cell>
          <cell r="L2489">
            <v>175.16</v>
          </cell>
          <cell r="O2489" t="str">
            <v>Y</v>
          </cell>
          <cell r="P2489" t="str">
            <v>N</v>
          </cell>
          <cell r="Q2489" t="str">
            <v>Long Term Sick</v>
          </cell>
          <cell r="S2489">
            <v>0.26</v>
          </cell>
        </row>
        <row r="2490">
          <cell r="D2490">
            <v>1108002696</v>
          </cell>
          <cell r="E2490" t="str">
            <v>JAMES MCCLEMENTS</v>
          </cell>
          <cell r="F2490" t="str">
            <v>D (MD)</v>
          </cell>
          <cell r="G2490">
            <v>345659</v>
          </cell>
          <cell r="H2490" t="str">
            <v>Mayday</v>
          </cell>
          <cell r="I2490">
            <v>0.5625</v>
          </cell>
          <cell r="J2490">
            <v>0.85416666666666663</v>
          </cell>
          <cell r="K2490">
            <v>6.6666666670000003</v>
          </cell>
          <cell r="L2490">
            <v>215.27</v>
          </cell>
          <cell r="O2490" t="str">
            <v>Y</v>
          </cell>
          <cell r="P2490" t="str">
            <v>N</v>
          </cell>
          <cell r="Q2490" t="str">
            <v>Vacancy</v>
          </cell>
          <cell r="S2490">
            <v>0.18</v>
          </cell>
        </row>
        <row r="2491">
          <cell r="D2491">
            <v>1108002928</v>
          </cell>
          <cell r="E2491" t="str">
            <v>JAMES MCCLEMENTS</v>
          </cell>
          <cell r="F2491" t="str">
            <v>D (MD)</v>
          </cell>
          <cell r="G2491">
            <v>345651</v>
          </cell>
          <cell r="H2491" t="str">
            <v>Mayday</v>
          </cell>
          <cell r="I2491">
            <v>0.3125</v>
          </cell>
          <cell r="J2491">
            <v>0.5625</v>
          </cell>
          <cell r="K2491">
            <v>5.6666666670000003</v>
          </cell>
          <cell r="L2491">
            <v>182.98</v>
          </cell>
          <cell r="O2491" t="str">
            <v>Y</v>
          </cell>
          <cell r="P2491" t="str">
            <v>N</v>
          </cell>
          <cell r="Q2491" t="str">
            <v>Under Established</v>
          </cell>
          <cell r="S2491">
            <v>0.15</v>
          </cell>
        </row>
        <row r="2492">
          <cell r="D2492">
            <v>1108003773</v>
          </cell>
          <cell r="E2492" t="str">
            <v>JANE DUNSMURE</v>
          </cell>
          <cell r="F2492" t="str">
            <v>D/5 (PS)</v>
          </cell>
          <cell r="H2492" t="str">
            <v>Pinnacle Staffing</v>
          </cell>
          <cell r="I2492">
            <v>0.82291666666666663</v>
          </cell>
          <cell r="J2492">
            <v>0.34375</v>
          </cell>
          <cell r="K2492">
            <v>11.5</v>
          </cell>
          <cell r="L2492">
            <v>254</v>
          </cell>
          <cell r="O2492" t="str">
            <v>Y</v>
          </cell>
          <cell r="P2492" t="str">
            <v>N</v>
          </cell>
          <cell r="Q2492" t="str">
            <v>Short Term Sick</v>
          </cell>
          <cell r="S2492">
            <v>0.31</v>
          </cell>
        </row>
        <row r="2493">
          <cell r="D2493">
            <v>1008004982</v>
          </cell>
          <cell r="E2493" t="str">
            <v>JEAN NGONA</v>
          </cell>
          <cell r="F2493" t="str">
            <v>D (MD)</v>
          </cell>
          <cell r="G2493">
            <v>346849</v>
          </cell>
          <cell r="H2493" t="str">
            <v>Mayday</v>
          </cell>
          <cell r="I2493">
            <v>0.625</v>
          </cell>
          <cell r="J2493">
            <v>0.875</v>
          </cell>
          <cell r="K2493">
            <v>5.75</v>
          </cell>
          <cell r="L2493">
            <v>185.67</v>
          </cell>
          <cell r="O2493" t="str">
            <v>Y</v>
          </cell>
          <cell r="P2493" t="str">
            <v>N</v>
          </cell>
          <cell r="Q2493" t="str">
            <v>Maternity Leave</v>
          </cell>
          <cell r="S2493">
            <v>0.15</v>
          </cell>
        </row>
        <row r="2494">
          <cell r="D2494">
            <v>1108002592</v>
          </cell>
          <cell r="E2494" t="str">
            <v>JEAN NGONA</v>
          </cell>
          <cell r="F2494" t="str">
            <v>D (MD)</v>
          </cell>
          <cell r="G2494">
            <v>346851</v>
          </cell>
          <cell r="H2494" t="str">
            <v>Mayday</v>
          </cell>
          <cell r="I2494">
            <v>0.29166666666666669</v>
          </cell>
          <cell r="J2494">
            <v>0.625</v>
          </cell>
          <cell r="K2494">
            <v>7.5</v>
          </cell>
          <cell r="L2494">
            <v>242.17</v>
          </cell>
          <cell r="O2494" t="str">
            <v>Y</v>
          </cell>
          <cell r="P2494" t="str">
            <v>N</v>
          </cell>
          <cell r="Q2494" t="str">
            <v>Extra Capacity</v>
          </cell>
          <cell r="S2494">
            <v>0.2</v>
          </cell>
        </row>
        <row r="2495">
          <cell r="D2495">
            <v>1008004401</v>
          </cell>
          <cell r="E2495" t="str">
            <v>JOANNE DUCKER</v>
          </cell>
          <cell r="F2495" t="str">
            <v>D / 5 General (</v>
          </cell>
          <cell r="G2495" t="str">
            <v>604-157474</v>
          </cell>
          <cell r="H2495" t="str">
            <v>Blue Arrow</v>
          </cell>
          <cell r="I2495">
            <v>0.32291666666666669</v>
          </cell>
          <cell r="J2495">
            <v>0.54166666666666663</v>
          </cell>
          <cell r="K2495">
            <v>5.25</v>
          </cell>
          <cell r="L2495">
            <v>88.62</v>
          </cell>
          <cell r="O2495" t="str">
            <v>Y</v>
          </cell>
          <cell r="P2495" t="str">
            <v>N</v>
          </cell>
          <cell r="Q2495" t="str">
            <v>Vacancy</v>
          </cell>
          <cell r="S2495">
            <v>0.14000000000000001</v>
          </cell>
        </row>
        <row r="2496">
          <cell r="D2496">
            <v>1108003323</v>
          </cell>
          <cell r="E2496" t="str">
            <v>KATE GUTHRIE</v>
          </cell>
          <cell r="F2496" t="str">
            <v>5 General (Adva</v>
          </cell>
          <cell r="H2496" t="str">
            <v>Advantage</v>
          </cell>
          <cell r="I2496">
            <v>0.83333333333333337</v>
          </cell>
          <cell r="J2496">
            <v>0.33333333333333331</v>
          </cell>
          <cell r="K2496">
            <v>11.33333333</v>
          </cell>
          <cell r="L2496">
            <v>236.32</v>
          </cell>
          <cell r="O2496" t="str">
            <v>Y</v>
          </cell>
          <cell r="P2496" t="str">
            <v>N</v>
          </cell>
          <cell r="Q2496" t="str">
            <v>Extra Capacity</v>
          </cell>
          <cell r="S2496">
            <v>0.3</v>
          </cell>
        </row>
        <row r="2497">
          <cell r="D2497">
            <v>1108003945</v>
          </cell>
          <cell r="E2497" t="str">
            <v>KATH BURTON</v>
          </cell>
          <cell r="F2497" t="str">
            <v>D (MD)</v>
          </cell>
          <cell r="G2497">
            <v>344580</v>
          </cell>
          <cell r="H2497" t="str">
            <v>Mayday</v>
          </cell>
          <cell r="I2497">
            <v>0.3125</v>
          </cell>
          <cell r="J2497">
            <v>0.64583333333333337</v>
          </cell>
          <cell r="K2497">
            <v>7.5</v>
          </cell>
          <cell r="L2497">
            <v>242.17</v>
          </cell>
          <cell r="O2497" t="str">
            <v>Y</v>
          </cell>
          <cell r="P2497" t="str">
            <v>N</v>
          </cell>
          <cell r="Q2497" t="str">
            <v>Vacancy</v>
          </cell>
          <cell r="S2497">
            <v>0.2</v>
          </cell>
        </row>
        <row r="2498">
          <cell r="D2498">
            <v>1008004671</v>
          </cell>
          <cell r="E2498" t="str">
            <v>KATIE KEAVENEY</v>
          </cell>
          <cell r="F2498" t="str">
            <v>D (MD)</v>
          </cell>
          <cell r="G2498">
            <v>344260</v>
          </cell>
          <cell r="H2498" t="str">
            <v>Mayday</v>
          </cell>
          <cell r="I2498">
            <v>0.29166666666666669</v>
          </cell>
          <cell r="J2498">
            <v>0.52083333333333337</v>
          </cell>
          <cell r="K2498">
            <v>5.5</v>
          </cell>
          <cell r="L2498">
            <v>177.59</v>
          </cell>
          <cell r="O2498" t="str">
            <v>Y</v>
          </cell>
          <cell r="P2498" t="str">
            <v>N</v>
          </cell>
          <cell r="Q2498" t="str">
            <v>Vacancy</v>
          </cell>
          <cell r="S2498">
            <v>0.15</v>
          </cell>
        </row>
        <row r="2499">
          <cell r="D2499">
            <v>1108003286</v>
          </cell>
          <cell r="E2499" t="str">
            <v>LETECIA MENIANO</v>
          </cell>
          <cell r="F2499" t="str">
            <v>D (MD)</v>
          </cell>
          <cell r="G2499">
            <v>344333</v>
          </cell>
          <cell r="H2499" t="str">
            <v>Mayday</v>
          </cell>
          <cell r="I2499">
            <v>0.3125</v>
          </cell>
          <cell r="J2499">
            <v>0.625</v>
          </cell>
          <cell r="K2499">
            <v>7.1666666670000003</v>
          </cell>
          <cell r="L2499">
            <v>231.41</v>
          </cell>
          <cell r="O2499" t="str">
            <v>Y</v>
          </cell>
          <cell r="P2499" t="str">
            <v>N</v>
          </cell>
          <cell r="Q2499" t="str">
            <v>Extra Capacity</v>
          </cell>
          <cell r="S2499">
            <v>0.19</v>
          </cell>
        </row>
        <row r="2500">
          <cell r="D2500">
            <v>1108003732</v>
          </cell>
          <cell r="E2500" t="str">
            <v>LETECIA MENIANO</v>
          </cell>
          <cell r="F2500" t="str">
            <v>D (MD)</v>
          </cell>
          <cell r="G2500">
            <v>344344</v>
          </cell>
          <cell r="H2500" t="str">
            <v>Mayday</v>
          </cell>
          <cell r="I2500">
            <v>0.625</v>
          </cell>
          <cell r="J2500">
            <v>0.89583333333333337</v>
          </cell>
          <cell r="K2500">
            <v>6</v>
          </cell>
          <cell r="L2500">
            <v>193.74</v>
          </cell>
          <cell r="O2500" t="str">
            <v>Y</v>
          </cell>
          <cell r="P2500" t="str">
            <v>N</v>
          </cell>
          <cell r="Q2500" t="str">
            <v>Vacancy</v>
          </cell>
          <cell r="S2500">
            <v>0.16</v>
          </cell>
        </row>
        <row r="2501">
          <cell r="D2501">
            <v>1108003254</v>
          </cell>
          <cell r="E2501" t="str">
            <v>MABEL MNISI</v>
          </cell>
          <cell r="F2501" t="str">
            <v>D (MD)</v>
          </cell>
          <cell r="G2501">
            <v>345668</v>
          </cell>
          <cell r="H2501" t="str">
            <v>Mayday</v>
          </cell>
          <cell r="I2501">
            <v>0.3125</v>
          </cell>
          <cell r="J2501">
            <v>0.60416666666666663</v>
          </cell>
          <cell r="K2501">
            <v>6.6666666670000003</v>
          </cell>
          <cell r="L2501">
            <v>215.27</v>
          </cell>
          <cell r="O2501" t="str">
            <v>Y</v>
          </cell>
          <cell r="P2501" t="str">
            <v>N</v>
          </cell>
          <cell r="Q2501" t="str">
            <v>Vacancy</v>
          </cell>
          <cell r="S2501">
            <v>0.18</v>
          </cell>
        </row>
        <row r="2502">
          <cell r="D2502">
            <v>1108003262</v>
          </cell>
          <cell r="E2502" t="str">
            <v>MABEL MNISI</v>
          </cell>
          <cell r="F2502" t="str">
            <v>D (MD)</v>
          </cell>
          <cell r="G2502">
            <v>345668</v>
          </cell>
          <cell r="H2502" t="str">
            <v>Mayday</v>
          </cell>
          <cell r="I2502">
            <v>0.60416666666666663</v>
          </cell>
          <cell r="J2502">
            <v>0.85416666666666663</v>
          </cell>
          <cell r="K2502">
            <v>5.6666666670000003</v>
          </cell>
          <cell r="L2502">
            <v>182.98</v>
          </cell>
          <cell r="O2502" t="str">
            <v>Y</v>
          </cell>
          <cell r="P2502" t="str">
            <v>N</v>
          </cell>
          <cell r="Q2502" t="str">
            <v>Vacancy</v>
          </cell>
          <cell r="S2502">
            <v>0.15</v>
          </cell>
        </row>
        <row r="2503">
          <cell r="D2503">
            <v>1108002232</v>
          </cell>
          <cell r="E2503" t="str">
            <v>MARIA METIU</v>
          </cell>
          <cell r="F2503" t="str">
            <v>D (Amb)</v>
          </cell>
          <cell r="G2503">
            <v>758933</v>
          </cell>
          <cell r="H2503" t="str">
            <v>Ambition</v>
          </cell>
          <cell r="I2503">
            <v>0.625</v>
          </cell>
          <cell r="J2503">
            <v>0.85416666666666663</v>
          </cell>
          <cell r="K2503">
            <v>5.5</v>
          </cell>
          <cell r="L2503">
            <v>215.05</v>
          </cell>
          <cell r="O2503" t="str">
            <v>Y</v>
          </cell>
          <cell r="P2503" t="str">
            <v>N</v>
          </cell>
          <cell r="Q2503" t="str">
            <v>Vacancy</v>
          </cell>
          <cell r="S2503">
            <v>0.15</v>
          </cell>
        </row>
        <row r="2504">
          <cell r="D2504">
            <v>1108003233</v>
          </cell>
          <cell r="E2504" t="str">
            <v>MICHAEL OKE</v>
          </cell>
          <cell r="F2504" t="str">
            <v>A (Ch)</v>
          </cell>
          <cell r="G2504">
            <v>17316</v>
          </cell>
          <cell r="H2504" t="str">
            <v>Choice</v>
          </cell>
          <cell r="I2504">
            <v>0.29166666666666669</v>
          </cell>
          <cell r="J2504">
            <v>0.625</v>
          </cell>
          <cell r="K2504">
            <v>7.6666666670000003</v>
          </cell>
          <cell r="L2504">
            <v>85.02</v>
          </cell>
          <cell r="O2504" t="str">
            <v>Y</v>
          </cell>
          <cell r="P2504" t="str">
            <v>N</v>
          </cell>
          <cell r="Q2504" t="str">
            <v>Specials</v>
          </cell>
          <cell r="S2504">
            <v>0.2</v>
          </cell>
        </row>
        <row r="2505">
          <cell r="D2505">
            <v>1108003235</v>
          </cell>
          <cell r="E2505" t="str">
            <v>MICHAEL OKE</v>
          </cell>
          <cell r="F2505" t="str">
            <v>A (Ch)</v>
          </cell>
          <cell r="G2505">
            <v>17316</v>
          </cell>
          <cell r="H2505" t="str">
            <v>Choice</v>
          </cell>
          <cell r="I2505">
            <v>0.625</v>
          </cell>
          <cell r="J2505">
            <v>0.88541666666666663</v>
          </cell>
          <cell r="K2505">
            <v>5.9166666670000003</v>
          </cell>
          <cell r="L2505">
            <v>65.62</v>
          </cell>
          <cell r="O2505" t="str">
            <v>Y</v>
          </cell>
          <cell r="P2505" t="str">
            <v>N</v>
          </cell>
          <cell r="Q2505" t="str">
            <v>Specials</v>
          </cell>
          <cell r="S2505">
            <v>0.16</v>
          </cell>
        </row>
        <row r="2506">
          <cell r="D2506">
            <v>1008007269</v>
          </cell>
          <cell r="E2506" t="str">
            <v>MIHAELA CHIRIBAU</v>
          </cell>
          <cell r="F2506" t="str">
            <v>D (MD)</v>
          </cell>
          <cell r="G2506">
            <v>345673</v>
          </cell>
          <cell r="H2506" t="str">
            <v>Mayday</v>
          </cell>
          <cell r="I2506">
            <v>0.5625</v>
          </cell>
          <cell r="J2506">
            <v>0.85416666666666663</v>
          </cell>
          <cell r="K2506">
            <v>6.6666666670000003</v>
          </cell>
          <cell r="L2506">
            <v>215.27</v>
          </cell>
          <cell r="O2506" t="str">
            <v>Y</v>
          </cell>
          <cell r="P2506" t="str">
            <v>N</v>
          </cell>
          <cell r="Q2506" t="str">
            <v>Short Term Sick</v>
          </cell>
          <cell r="S2506">
            <v>0.18</v>
          </cell>
        </row>
        <row r="2507">
          <cell r="D2507">
            <v>1008004063</v>
          </cell>
          <cell r="E2507" t="str">
            <v>NKOSI BHEBHE</v>
          </cell>
          <cell r="F2507" t="str">
            <v>D (Amb)</v>
          </cell>
          <cell r="G2507">
            <v>758934</v>
          </cell>
          <cell r="H2507" t="str">
            <v>Ambition</v>
          </cell>
          <cell r="I2507">
            <v>0.625</v>
          </cell>
          <cell r="J2507">
            <v>0.85416666666666663</v>
          </cell>
          <cell r="K2507">
            <v>5.5</v>
          </cell>
          <cell r="L2507">
            <v>215.05</v>
          </cell>
          <cell r="O2507" t="str">
            <v>Y</v>
          </cell>
          <cell r="P2507" t="str">
            <v>N</v>
          </cell>
          <cell r="Q2507" t="str">
            <v>Vacancy</v>
          </cell>
          <cell r="S2507">
            <v>0.15</v>
          </cell>
        </row>
        <row r="2508">
          <cell r="D2508">
            <v>1108003780</v>
          </cell>
          <cell r="E2508" t="str">
            <v>ALLI SUBRAMANIAM</v>
          </cell>
          <cell r="F2508" t="str">
            <v>D (MD)</v>
          </cell>
          <cell r="G2508">
            <v>345001</v>
          </cell>
          <cell r="H2508" t="str">
            <v>Mayday</v>
          </cell>
          <cell r="I2508">
            <v>0.30208333333333331</v>
          </cell>
          <cell r="J2508">
            <v>0.89583333333333337</v>
          </cell>
          <cell r="K2508">
            <v>13.58333333</v>
          </cell>
          <cell r="L2508">
            <v>438.61</v>
          </cell>
          <cell r="O2508" t="str">
            <v>Y</v>
          </cell>
          <cell r="P2508" t="str">
            <v>N</v>
          </cell>
          <cell r="Q2508" t="str">
            <v>Short Term Sick</v>
          </cell>
          <cell r="S2508">
            <v>0.36</v>
          </cell>
        </row>
        <row r="2509">
          <cell r="D2509">
            <v>1108003942</v>
          </cell>
          <cell r="E2509" t="str">
            <v>ANTHONY OGOEGBUNAN</v>
          </cell>
          <cell r="F2509" t="str">
            <v>D (MD)</v>
          </cell>
          <cell r="G2509">
            <v>345648</v>
          </cell>
          <cell r="H2509" t="str">
            <v>Mayday</v>
          </cell>
          <cell r="I2509">
            <v>0.83333333333333337</v>
          </cell>
          <cell r="J2509">
            <v>0.33333333333333331</v>
          </cell>
          <cell r="K2509">
            <v>11</v>
          </cell>
          <cell r="L2509">
            <v>461.75</v>
          </cell>
          <cell r="O2509" t="str">
            <v>Y</v>
          </cell>
          <cell r="P2509" t="str">
            <v>N</v>
          </cell>
          <cell r="Q2509" t="str">
            <v>Extra Capacity</v>
          </cell>
          <cell r="S2509">
            <v>0.28999999999999998</v>
          </cell>
        </row>
        <row r="2510">
          <cell r="D2510">
            <v>1108003281</v>
          </cell>
          <cell r="E2510" t="str">
            <v>ATINUKE OKE-OLATUNDE</v>
          </cell>
          <cell r="F2510" t="str">
            <v>D (MD)</v>
          </cell>
          <cell r="G2510">
            <v>347423</v>
          </cell>
          <cell r="H2510" t="str">
            <v>Mayday</v>
          </cell>
          <cell r="I2510">
            <v>0.83333333333333337</v>
          </cell>
          <cell r="J2510">
            <v>0.33333333333333331</v>
          </cell>
          <cell r="K2510">
            <v>11.33333333</v>
          </cell>
          <cell r="L2510">
            <v>475.74</v>
          </cell>
          <cell r="O2510" t="str">
            <v>Y</v>
          </cell>
          <cell r="P2510" t="str">
            <v>N</v>
          </cell>
          <cell r="Q2510" t="str">
            <v>Vacancy</v>
          </cell>
          <cell r="S2510">
            <v>0.3</v>
          </cell>
        </row>
        <row r="2511">
          <cell r="D2511">
            <v>1108003121</v>
          </cell>
          <cell r="E2511" t="str">
            <v>BERNADETTE SHINYA-NDUNUWANI</v>
          </cell>
          <cell r="F2511" t="str">
            <v>D (MD)</v>
          </cell>
          <cell r="G2511">
            <v>345678</v>
          </cell>
          <cell r="H2511" t="str">
            <v>Mayday</v>
          </cell>
          <cell r="I2511">
            <v>0.5625</v>
          </cell>
          <cell r="J2511">
            <v>0.85416666666666663</v>
          </cell>
          <cell r="K2511">
            <v>6.6666666670000003</v>
          </cell>
          <cell r="L2511">
            <v>215.27</v>
          </cell>
          <cell r="O2511" t="str">
            <v>Y</v>
          </cell>
          <cell r="P2511" t="str">
            <v>N</v>
          </cell>
          <cell r="Q2511" t="str">
            <v>Under Established</v>
          </cell>
          <cell r="S2511">
            <v>0.18</v>
          </cell>
        </row>
        <row r="2512">
          <cell r="D2512">
            <v>1108003642</v>
          </cell>
          <cell r="E2512" t="str">
            <v>BERNADETTE SHINYA-NDUNUWANI</v>
          </cell>
          <cell r="F2512" t="str">
            <v>D (MD)</v>
          </cell>
          <cell r="G2512">
            <v>345678</v>
          </cell>
          <cell r="H2512" t="str">
            <v>Mayday</v>
          </cell>
          <cell r="I2512">
            <v>0.3125</v>
          </cell>
          <cell r="J2512">
            <v>0.5625</v>
          </cell>
          <cell r="K2512">
            <v>5.6666666670000003</v>
          </cell>
          <cell r="L2512">
            <v>182.98</v>
          </cell>
          <cell r="O2512" t="str">
            <v>Y</v>
          </cell>
          <cell r="P2512" t="str">
            <v>N</v>
          </cell>
          <cell r="Q2512" t="str">
            <v>Under Established</v>
          </cell>
          <cell r="S2512">
            <v>0.15</v>
          </cell>
        </row>
        <row r="2513">
          <cell r="D2513">
            <v>1108003288</v>
          </cell>
          <cell r="E2513" t="str">
            <v>BRIGHTNESS NDEBELE</v>
          </cell>
          <cell r="F2513" t="str">
            <v>D (MD)</v>
          </cell>
          <cell r="G2513">
            <v>344315</v>
          </cell>
          <cell r="H2513" t="str">
            <v>Mayday</v>
          </cell>
          <cell r="I2513">
            <v>0.3125</v>
          </cell>
          <cell r="J2513">
            <v>0.625</v>
          </cell>
          <cell r="K2513">
            <v>7.1666666670000003</v>
          </cell>
          <cell r="L2513">
            <v>231.41</v>
          </cell>
          <cell r="O2513" t="str">
            <v>Y</v>
          </cell>
          <cell r="P2513" t="str">
            <v>N</v>
          </cell>
          <cell r="Q2513" t="str">
            <v>Extra Capacity</v>
          </cell>
          <cell r="S2513">
            <v>0.19</v>
          </cell>
        </row>
        <row r="2514">
          <cell r="D2514">
            <v>1008001041</v>
          </cell>
          <cell r="E2514" t="str">
            <v>CHRIS STULAR</v>
          </cell>
          <cell r="F2514" t="str">
            <v>D General (Orio</v>
          </cell>
          <cell r="G2514">
            <v>18396</v>
          </cell>
          <cell r="H2514" t="str">
            <v>Orion</v>
          </cell>
          <cell r="I2514">
            <v>0.33333333333333331</v>
          </cell>
          <cell r="J2514">
            <v>0.75</v>
          </cell>
          <cell r="K2514">
            <v>9.5</v>
          </cell>
          <cell r="L2514">
            <v>172.14</v>
          </cell>
          <cell r="O2514" t="str">
            <v>Y</v>
          </cell>
          <cell r="P2514" t="str">
            <v>N</v>
          </cell>
          <cell r="Q2514" t="str">
            <v>Backfill</v>
          </cell>
          <cell r="S2514">
            <v>0.25</v>
          </cell>
        </row>
        <row r="2515">
          <cell r="D2515">
            <v>1108003750</v>
          </cell>
          <cell r="E2515" t="str">
            <v>DAMILOLA AIKI</v>
          </cell>
          <cell r="F2515" t="str">
            <v>A (Ch)</v>
          </cell>
          <cell r="H2515" t="str">
            <v>Choice</v>
          </cell>
          <cell r="I2515">
            <v>0.58333333333333337</v>
          </cell>
          <cell r="J2515">
            <v>0.83333333333333337</v>
          </cell>
          <cell r="K2515">
            <v>5.6666666670000003</v>
          </cell>
          <cell r="L2515">
            <v>62.84</v>
          </cell>
          <cell r="O2515" t="str">
            <v>Y</v>
          </cell>
          <cell r="P2515" t="str">
            <v>N</v>
          </cell>
          <cell r="Q2515" t="str">
            <v>Specials</v>
          </cell>
          <cell r="S2515">
            <v>0.15</v>
          </cell>
        </row>
        <row r="2516">
          <cell r="D2516">
            <v>1108003814</v>
          </cell>
          <cell r="E2516" t="str">
            <v>DORICA MUNJERI</v>
          </cell>
          <cell r="F2516" t="str">
            <v>A (Ch)</v>
          </cell>
          <cell r="H2516" t="str">
            <v>Choice</v>
          </cell>
          <cell r="I2516">
            <v>0.83333333333333337</v>
          </cell>
          <cell r="J2516">
            <v>0.33333333333333331</v>
          </cell>
          <cell r="K2516">
            <v>11.33333333</v>
          </cell>
          <cell r="L2516">
            <v>167.58</v>
          </cell>
          <cell r="O2516" t="str">
            <v>Y</v>
          </cell>
          <cell r="P2516" t="str">
            <v>N</v>
          </cell>
          <cell r="Q2516" t="str">
            <v>Vacancy</v>
          </cell>
          <cell r="S2516">
            <v>0.3</v>
          </cell>
        </row>
        <row r="2517">
          <cell r="D2517">
            <v>1108003242</v>
          </cell>
          <cell r="E2517" t="str">
            <v>DOROTHY MUTHWA</v>
          </cell>
          <cell r="F2517" t="str">
            <v>A (Ch)</v>
          </cell>
          <cell r="G2517">
            <v>17316</v>
          </cell>
          <cell r="H2517" t="str">
            <v>Choice</v>
          </cell>
          <cell r="I2517">
            <v>0.625</v>
          </cell>
          <cell r="J2517">
            <v>0.88541666666666663</v>
          </cell>
          <cell r="K2517">
            <v>5.9166666670000003</v>
          </cell>
          <cell r="L2517">
            <v>65.62</v>
          </cell>
          <cell r="O2517" t="str">
            <v>Y</v>
          </cell>
          <cell r="P2517" t="str">
            <v>N</v>
          </cell>
          <cell r="Q2517" t="str">
            <v>Specials</v>
          </cell>
          <cell r="S2517">
            <v>0.16</v>
          </cell>
        </row>
        <row r="2518">
          <cell r="D2518">
            <v>1108003289</v>
          </cell>
          <cell r="E2518" t="str">
            <v>EMMANUEL SALAKO</v>
          </cell>
          <cell r="F2518" t="str">
            <v>D (MD)</v>
          </cell>
          <cell r="G2518">
            <v>344997</v>
          </cell>
          <cell r="H2518" t="str">
            <v>Mayday</v>
          </cell>
          <cell r="I2518">
            <v>0.3125</v>
          </cell>
          <cell r="J2518">
            <v>0.625</v>
          </cell>
          <cell r="K2518">
            <v>7.1666666670000003</v>
          </cell>
          <cell r="L2518">
            <v>231.41</v>
          </cell>
          <cell r="O2518" t="str">
            <v>Y</v>
          </cell>
          <cell r="P2518" t="str">
            <v>N</v>
          </cell>
          <cell r="Q2518" t="str">
            <v>Extra Capacity</v>
          </cell>
          <cell r="S2518">
            <v>0.19</v>
          </cell>
        </row>
        <row r="2519">
          <cell r="D2519">
            <v>1108003304</v>
          </cell>
          <cell r="E2519" t="str">
            <v>EMMANUEL SALAKO</v>
          </cell>
          <cell r="F2519" t="str">
            <v>D (MD)</v>
          </cell>
          <cell r="G2519">
            <v>344997</v>
          </cell>
          <cell r="H2519" t="str">
            <v>Mayday</v>
          </cell>
          <cell r="I2519">
            <v>0.625</v>
          </cell>
          <cell r="J2519">
            <v>0.85416666666666663</v>
          </cell>
          <cell r="K2519">
            <v>5.5</v>
          </cell>
          <cell r="L2519">
            <v>177.59</v>
          </cell>
          <cell r="O2519" t="str">
            <v>Y</v>
          </cell>
          <cell r="P2519" t="str">
            <v>N</v>
          </cell>
          <cell r="Q2519" t="str">
            <v>Extra Capacity</v>
          </cell>
          <cell r="S2519">
            <v>0.15</v>
          </cell>
        </row>
        <row r="2520">
          <cell r="D2520">
            <v>1108003120</v>
          </cell>
          <cell r="E2520" t="str">
            <v>FIONA DURKIN-GREER</v>
          </cell>
          <cell r="F2520" t="str">
            <v>D (MD)</v>
          </cell>
          <cell r="G2520">
            <v>345642</v>
          </cell>
          <cell r="H2520" t="str">
            <v>Mayday</v>
          </cell>
          <cell r="I2520">
            <v>0.5625</v>
          </cell>
          <cell r="J2520">
            <v>0.85416666666666663</v>
          </cell>
          <cell r="K2520">
            <v>6.6666666670000003</v>
          </cell>
          <cell r="L2520">
            <v>215.27</v>
          </cell>
          <cell r="O2520" t="str">
            <v>Y</v>
          </cell>
          <cell r="P2520" t="str">
            <v>N</v>
          </cell>
          <cell r="Q2520" t="str">
            <v>Annual Leave</v>
          </cell>
          <cell r="S2520">
            <v>0.18</v>
          </cell>
        </row>
        <row r="2521">
          <cell r="D2521">
            <v>1108003941</v>
          </cell>
          <cell r="E2521" t="str">
            <v>GEORGINA MAFISA</v>
          </cell>
          <cell r="F2521" t="str">
            <v>D (MD)</v>
          </cell>
          <cell r="G2521">
            <v>345634</v>
          </cell>
          <cell r="H2521" t="str">
            <v>Mayday</v>
          </cell>
          <cell r="I2521">
            <v>0.52083333333333337</v>
          </cell>
          <cell r="J2521">
            <v>0.85416666666666663</v>
          </cell>
          <cell r="K2521">
            <v>7.5</v>
          </cell>
          <cell r="L2521">
            <v>242.17</v>
          </cell>
          <cell r="O2521" t="str">
            <v>Y</v>
          </cell>
          <cell r="P2521" t="str">
            <v>N</v>
          </cell>
          <cell r="Q2521" t="str">
            <v>Extra Capacity</v>
          </cell>
          <cell r="S2521">
            <v>0.2</v>
          </cell>
        </row>
        <row r="2522">
          <cell r="D2522">
            <v>1108003325</v>
          </cell>
          <cell r="E2522" t="str">
            <v>GERTHY ALBANO</v>
          </cell>
          <cell r="F2522" t="str">
            <v>D (Ch)</v>
          </cell>
          <cell r="H2522" t="str">
            <v>Choice</v>
          </cell>
          <cell r="I2522">
            <v>0.83333333333333337</v>
          </cell>
          <cell r="J2522">
            <v>0.33333333333333331</v>
          </cell>
          <cell r="K2522">
            <v>11.33333333</v>
          </cell>
          <cell r="L2522">
            <v>359.05</v>
          </cell>
          <cell r="O2522" t="str">
            <v>Y</v>
          </cell>
          <cell r="P2522" t="str">
            <v>N</v>
          </cell>
          <cell r="Q2522" t="str">
            <v>Extra Capacity</v>
          </cell>
          <cell r="S2522">
            <v>0.3</v>
          </cell>
        </row>
        <row r="2523">
          <cell r="D2523">
            <v>1008005440</v>
          </cell>
          <cell r="E2523" t="str">
            <v>JAKE BROOKES</v>
          </cell>
          <cell r="F2523" t="str">
            <v>D General (Orio</v>
          </cell>
          <cell r="G2523">
            <v>18581</v>
          </cell>
          <cell r="H2523" t="str">
            <v>Orion</v>
          </cell>
          <cell r="I2523">
            <v>0.33333333333333331</v>
          </cell>
          <cell r="J2523">
            <v>0.75</v>
          </cell>
          <cell r="K2523">
            <v>9.6666666669999994</v>
          </cell>
          <cell r="L2523">
            <v>175.16</v>
          </cell>
          <cell r="O2523" t="str">
            <v>Y</v>
          </cell>
          <cell r="P2523" t="str">
            <v>N</v>
          </cell>
          <cell r="Q2523" t="str">
            <v>Long Term Sick</v>
          </cell>
          <cell r="S2523">
            <v>0.26</v>
          </cell>
        </row>
        <row r="2524">
          <cell r="D2524">
            <v>1108003256</v>
          </cell>
          <cell r="E2524" t="str">
            <v>JAMES MCCLEMENTS</v>
          </cell>
          <cell r="F2524" t="str">
            <v>D (MD)</v>
          </cell>
          <cell r="G2524">
            <v>345653</v>
          </cell>
          <cell r="H2524" t="str">
            <v>Mayday</v>
          </cell>
          <cell r="I2524">
            <v>0.3125</v>
          </cell>
          <cell r="J2524">
            <v>0.60416666666666663</v>
          </cell>
          <cell r="K2524">
            <v>6.6666666670000003</v>
          </cell>
          <cell r="L2524">
            <v>215.27</v>
          </cell>
          <cell r="O2524" t="str">
            <v>Y</v>
          </cell>
          <cell r="P2524" t="str">
            <v>N</v>
          </cell>
          <cell r="Q2524" t="str">
            <v>Vacancy</v>
          </cell>
          <cell r="S2524">
            <v>0.18</v>
          </cell>
        </row>
        <row r="2525">
          <cell r="D2525">
            <v>1108003264</v>
          </cell>
          <cell r="E2525" t="str">
            <v>JAMES MCCLEMENTS</v>
          </cell>
          <cell r="F2525" t="str">
            <v>D (MD)</v>
          </cell>
          <cell r="G2525">
            <v>345653</v>
          </cell>
          <cell r="H2525" t="str">
            <v>Mayday</v>
          </cell>
          <cell r="I2525">
            <v>0.60416666666666663</v>
          </cell>
          <cell r="J2525">
            <v>0.85416666666666663</v>
          </cell>
          <cell r="K2525">
            <v>5.6666666670000003</v>
          </cell>
          <cell r="L2525">
            <v>182.98</v>
          </cell>
          <cell r="O2525" t="str">
            <v>Y</v>
          </cell>
          <cell r="P2525" t="str">
            <v>N</v>
          </cell>
          <cell r="Q2525" t="str">
            <v>Vacancy</v>
          </cell>
          <cell r="S2525">
            <v>0.15</v>
          </cell>
        </row>
        <row r="2526">
          <cell r="D2526">
            <v>1108003324</v>
          </cell>
          <cell r="E2526" t="str">
            <v>JASON WENT</v>
          </cell>
          <cell r="F2526" t="str">
            <v>D / 5 General (</v>
          </cell>
          <cell r="G2526" t="str">
            <v>604-157533</v>
          </cell>
          <cell r="H2526" t="str">
            <v>Blue Arrow</v>
          </cell>
          <cell r="I2526">
            <v>0.83333333333333337</v>
          </cell>
          <cell r="J2526">
            <v>0.33333333333333331</v>
          </cell>
          <cell r="K2526">
            <v>11.33333333</v>
          </cell>
          <cell r="L2526">
            <v>248.7</v>
          </cell>
          <cell r="O2526" t="str">
            <v>Y</v>
          </cell>
          <cell r="P2526" t="str">
            <v>N</v>
          </cell>
          <cell r="Q2526" t="str">
            <v>Extra Capacity</v>
          </cell>
          <cell r="S2526">
            <v>0.3</v>
          </cell>
        </row>
        <row r="2527">
          <cell r="D2527">
            <v>1108002976</v>
          </cell>
          <cell r="E2527" t="str">
            <v>JEAN NGONA</v>
          </cell>
          <cell r="F2527" t="str">
            <v>D (MD)</v>
          </cell>
          <cell r="G2527">
            <v>346848</v>
          </cell>
          <cell r="H2527" t="str">
            <v>Mayday</v>
          </cell>
          <cell r="I2527">
            <v>0.3125</v>
          </cell>
          <cell r="J2527">
            <v>0.58333333333333337</v>
          </cell>
          <cell r="K2527">
            <v>6</v>
          </cell>
          <cell r="L2527">
            <v>193.74</v>
          </cell>
          <cell r="O2527" t="str">
            <v>Y</v>
          </cell>
          <cell r="P2527" t="str">
            <v>N</v>
          </cell>
          <cell r="Q2527" t="str">
            <v>Vacancy</v>
          </cell>
          <cell r="S2527">
            <v>0.16</v>
          </cell>
        </row>
        <row r="2528">
          <cell r="D2528">
            <v>1108004132</v>
          </cell>
          <cell r="E2528" t="str">
            <v>LAURA SUMMERS</v>
          </cell>
          <cell r="F2528" t="str">
            <v>D Midwife (Amb)</v>
          </cell>
          <cell r="G2528">
            <v>758955</v>
          </cell>
          <cell r="H2528" t="str">
            <v>Ambition</v>
          </cell>
          <cell r="I2528">
            <v>0.82291666666666663</v>
          </cell>
          <cell r="J2528">
            <v>0.34375</v>
          </cell>
          <cell r="K2528">
            <v>11.5</v>
          </cell>
          <cell r="L2528">
            <v>766.64</v>
          </cell>
          <cell r="O2528" t="str">
            <v>Y</v>
          </cell>
          <cell r="P2528" t="str">
            <v>N</v>
          </cell>
          <cell r="Q2528" t="str">
            <v>Vacancy</v>
          </cell>
          <cell r="S2528">
            <v>0.31</v>
          </cell>
        </row>
        <row r="2529">
          <cell r="D2529">
            <v>1108003778</v>
          </cell>
          <cell r="E2529" t="str">
            <v>LETECIA MENIANO</v>
          </cell>
          <cell r="F2529" t="str">
            <v>D (MD)</v>
          </cell>
          <cell r="G2529">
            <v>344332</v>
          </cell>
          <cell r="H2529" t="str">
            <v>Mayday</v>
          </cell>
          <cell r="I2529">
            <v>0.30208333333333331</v>
          </cell>
          <cell r="J2529">
            <v>0.89583333333333337</v>
          </cell>
          <cell r="K2529">
            <v>13.58333333</v>
          </cell>
          <cell r="L2529">
            <v>438.61</v>
          </cell>
          <cell r="O2529" t="str">
            <v>Y</v>
          </cell>
          <cell r="P2529" t="str">
            <v>N</v>
          </cell>
          <cell r="Q2529" t="str">
            <v>Short Term Sick</v>
          </cell>
          <cell r="S2529">
            <v>0.36</v>
          </cell>
        </row>
        <row r="2530">
          <cell r="D2530">
            <v>1108003255</v>
          </cell>
          <cell r="E2530" t="str">
            <v>MABEL MNISI</v>
          </cell>
          <cell r="F2530" t="str">
            <v>D (MD)</v>
          </cell>
          <cell r="G2530">
            <v>345665</v>
          </cell>
          <cell r="H2530" t="str">
            <v>Mayday</v>
          </cell>
          <cell r="I2530">
            <v>0.3125</v>
          </cell>
          <cell r="J2530">
            <v>0.60416666666666663</v>
          </cell>
          <cell r="K2530">
            <v>6.6666666670000003</v>
          </cell>
          <cell r="L2530">
            <v>215.27</v>
          </cell>
          <cell r="O2530" t="str">
            <v>Y</v>
          </cell>
          <cell r="P2530" t="str">
            <v>N</v>
          </cell>
          <cell r="Q2530" t="str">
            <v>Vacancy</v>
          </cell>
          <cell r="S2530">
            <v>0.18</v>
          </cell>
        </row>
        <row r="2531">
          <cell r="D2531">
            <v>1108003263</v>
          </cell>
          <cell r="E2531" t="str">
            <v>MABEL MNISI</v>
          </cell>
          <cell r="F2531" t="str">
            <v>D (MD)</v>
          </cell>
          <cell r="G2531">
            <v>345665</v>
          </cell>
          <cell r="H2531" t="str">
            <v>Mayday</v>
          </cell>
          <cell r="I2531">
            <v>0.60416666666666663</v>
          </cell>
          <cell r="J2531">
            <v>0.85416666666666663</v>
          </cell>
          <cell r="K2531">
            <v>5.6666666670000003</v>
          </cell>
          <cell r="L2531">
            <v>182.98</v>
          </cell>
          <cell r="O2531" t="str">
            <v>Y</v>
          </cell>
          <cell r="P2531" t="str">
            <v>N</v>
          </cell>
          <cell r="Q2531" t="str">
            <v>Vacancy</v>
          </cell>
          <cell r="S2531">
            <v>0.15</v>
          </cell>
        </row>
        <row r="2532">
          <cell r="D2532">
            <v>1108002978</v>
          </cell>
          <cell r="E2532" t="str">
            <v>MIHAELA CHIRIBAU</v>
          </cell>
          <cell r="F2532" t="str">
            <v>D (MD)</v>
          </cell>
          <cell r="G2532">
            <v>344354</v>
          </cell>
          <cell r="H2532" t="str">
            <v>Mayday</v>
          </cell>
          <cell r="I2532">
            <v>0.58333333333333337</v>
          </cell>
          <cell r="J2532">
            <v>0.83333333333333337</v>
          </cell>
          <cell r="K2532">
            <v>5.5</v>
          </cell>
          <cell r="L2532">
            <v>177.59</v>
          </cell>
          <cell r="O2532" t="str">
            <v>Y</v>
          </cell>
          <cell r="P2532" t="str">
            <v>N</v>
          </cell>
          <cell r="Q2532" t="str">
            <v>Vacancy</v>
          </cell>
          <cell r="S2532">
            <v>0.15</v>
          </cell>
        </row>
        <row r="2533">
          <cell r="D2533">
            <v>1108003733</v>
          </cell>
          <cell r="E2533" t="str">
            <v>MIHAELA CHIRIBAU</v>
          </cell>
          <cell r="F2533" t="str">
            <v>D (MD)</v>
          </cell>
          <cell r="G2533">
            <v>344354</v>
          </cell>
          <cell r="H2533" t="str">
            <v>Mayday</v>
          </cell>
          <cell r="I2533">
            <v>0.3125</v>
          </cell>
          <cell r="J2533">
            <v>0.58333333333333337</v>
          </cell>
          <cell r="K2533">
            <v>6</v>
          </cell>
          <cell r="L2533">
            <v>193.74</v>
          </cell>
          <cell r="O2533" t="str">
            <v>Y</v>
          </cell>
          <cell r="P2533" t="str">
            <v>N</v>
          </cell>
          <cell r="Q2533" t="str">
            <v>Vacancy</v>
          </cell>
          <cell r="S2533">
            <v>0.16</v>
          </cell>
        </row>
        <row r="2534">
          <cell r="D2534">
            <v>1108003959</v>
          </cell>
          <cell r="E2534" t="str">
            <v>MMAKOOTANE NGOMANE</v>
          </cell>
          <cell r="F2534" t="str">
            <v>D (Ch)</v>
          </cell>
          <cell r="H2534" t="str">
            <v>Choice</v>
          </cell>
          <cell r="I2534">
            <v>0.82291666666666663</v>
          </cell>
          <cell r="J2534">
            <v>0.34375</v>
          </cell>
          <cell r="K2534">
            <v>11.5</v>
          </cell>
          <cell r="L2534">
            <v>364.33</v>
          </cell>
          <cell r="O2534" t="str">
            <v>Y</v>
          </cell>
          <cell r="P2534" t="str">
            <v>N</v>
          </cell>
          <cell r="Q2534" t="str">
            <v>Vacancy</v>
          </cell>
          <cell r="S2534">
            <v>0.31</v>
          </cell>
        </row>
        <row r="2535">
          <cell r="D2535">
            <v>1108005101</v>
          </cell>
          <cell r="E2535" t="str">
            <v>MMAKOOTANE NGOMANE</v>
          </cell>
          <cell r="F2535" t="str">
            <v>D (Ch)</v>
          </cell>
          <cell r="H2535" t="str">
            <v>Choice</v>
          </cell>
          <cell r="I2535">
            <v>0.8125</v>
          </cell>
          <cell r="J2535">
            <v>0.33333333333333331</v>
          </cell>
          <cell r="K2535">
            <v>11.83333333</v>
          </cell>
          <cell r="L2535">
            <v>374.89</v>
          </cell>
          <cell r="O2535" t="str">
            <v>Y</v>
          </cell>
          <cell r="P2535" t="str">
            <v>N</v>
          </cell>
          <cell r="Q2535" t="str">
            <v>Vacancy</v>
          </cell>
          <cell r="S2535">
            <v>0.32</v>
          </cell>
        </row>
        <row r="2536">
          <cell r="D2536">
            <v>1108004031</v>
          </cell>
          <cell r="E2536" t="str">
            <v>NOLIZWI MGANDELA</v>
          </cell>
          <cell r="F2536" t="str">
            <v>D (MD)</v>
          </cell>
          <cell r="G2536">
            <v>345490</v>
          </cell>
          <cell r="H2536" t="str">
            <v>Mayday</v>
          </cell>
          <cell r="I2536">
            <v>0.875</v>
          </cell>
          <cell r="J2536">
            <v>0.33333333333333331</v>
          </cell>
          <cell r="K2536">
            <v>10</v>
          </cell>
          <cell r="L2536">
            <v>322.89999999999998</v>
          </cell>
          <cell r="O2536" t="str">
            <v>Y</v>
          </cell>
          <cell r="P2536" t="str">
            <v>N</v>
          </cell>
          <cell r="Q2536" t="str">
            <v>Short Term Sick</v>
          </cell>
          <cell r="S2536">
            <v>0.27</v>
          </cell>
        </row>
        <row r="2537">
          <cell r="D2537">
            <v>1108002354</v>
          </cell>
          <cell r="E2537" t="str">
            <v>PEGGY MAPOGO</v>
          </cell>
          <cell r="F2537" t="str">
            <v>D (Ch)</v>
          </cell>
          <cell r="G2537">
            <v>17303</v>
          </cell>
          <cell r="H2537" t="str">
            <v>Choice</v>
          </cell>
          <cell r="I2537">
            <v>0.625</v>
          </cell>
          <cell r="J2537">
            <v>0.90625</v>
          </cell>
          <cell r="K2537">
            <v>6.75</v>
          </cell>
          <cell r="L2537">
            <v>164.5</v>
          </cell>
          <cell r="O2537" t="str">
            <v>Y</v>
          </cell>
          <cell r="P2537" t="str">
            <v>N</v>
          </cell>
          <cell r="Q2537" t="str">
            <v>Extra Capacity</v>
          </cell>
          <cell r="S2537">
            <v>0.18</v>
          </cell>
        </row>
        <row r="2538">
          <cell r="D2538">
            <v>1108002593</v>
          </cell>
          <cell r="E2538" t="str">
            <v>PEGGY MAPOGO</v>
          </cell>
          <cell r="F2538" t="str">
            <v>D (Ch)</v>
          </cell>
          <cell r="H2538" t="str">
            <v>Choice</v>
          </cell>
          <cell r="I2538">
            <v>0.29166666666666669</v>
          </cell>
          <cell r="J2538">
            <v>0.625</v>
          </cell>
          <cell r="K2538">
            <v>7.5</v>
          </cell>
          <cell r="L2538">
            <v>182.78</v>
          </cell>
          <cell r="O2538" t="str">
            <v>Y</v>
          </cell>
          <cell r="P2538" t="str">
            <v>N</v>
          </cell>
          <cell r="Q2538" t="str">
            <v>Extra Capacity</v>
          </cell>
          <cell r="S2538">
            <v>0.2</v>
          </cell>
        </row>
        <row r="2539">
          <cell r="D2539">
            <v>1108003958</v>
          </cell>
          <cell r="E2539" t="str">
            <v>RODA RAMERIZ</v>
          </cell>
          <cell r="F2539" t="str">
            <v>D (Ch)</v>
          </cell>
          <cell r="H2539" t="str">
            <v>Choice</v>
          </cell>
          <cell r="I2539">
            <v>0.82291666666666663</v>
          </cell>
          <cell r="J2539">
            <v>0.34375</v>
          </cell>
          <cell r="K2539">
            <v>11.5</v>
          </cell>
          <cell r="L2539">
            <v>364.33</v>
          </cell>
          <cell r="O2539" t="str">
            <v>Y</v>
          </cell>
          <cell r="P2539" t="str">
            <v>N</v>
          </cell>
          <cell r="Q2539" t="str">
            <v>Vacancy</v>
          </cell>
          <cell r="S2539">
            <v>0.31</v>
          </cell>
        </row>
        <row r="2540">
          <cell r="D2540">
            <v>1008005697</v>
          </cell>
          <cell r="E2540" t="str">
            <v>ROHEYATOU NDOW-NJIE</v>
          </cell>
          <cell r="F2540" t="str">
            <v>D (Ch)</v>
          </cell>
          <cell r="G2540">
            <v>17371</v>
          </cell>
          <cell r="H2540" t="str">
            <v>Choice</v>
          </cell>
          <cell r="I2540">
            <v>0.3125</v>
          </cell>
          <cell r="J2540">
            <v>0.5625</v>
          </cell>
          <cell r="K2540">
            <v>5.6666666670000003</v>
          </cell>
          <cell r="L2540">
            <v>138.1</v>
          </cell>
          <cell r="O2540" t="str">
            <v>Y</v>
          </cell>
          <cell r="P2540" t="str">
            <v>N</v>
          </cell>
          <cell r="Q2540" t="str">
            <v>Vacancy</v>
          </cell>
          <cell r="S2540">
            <v>0.15</v>
          </cell>
        </row>
        <row r="2541">
          <cell r="D2541">
            <v>1008005701</v>
          </cell>
          <cell r="E2541" t="str">
            <v>ROHEYATOU NDOW-NJIE</v>
          </cell>
          <cell r="F2541" t="str">
            <v>D (Ch)</v>
          </cell>
          <cell r="G2541">
            <v>17371</v>
          </cell>
          <cell r="H2541" t="str">
            <v>Choice</v>
          </cell>
          <cell r="I2541">
            <v>0.5625</v>
          </cell>
          <cell r="J2541">
            <v>0.875</v>
          </cell>
          <cell r="K2541">
            <v>7.1666666670000003</v>
          </cell>
          <cell r="L2541">
            <v>174.65</v>
          </cell>
          <cell r="O2541" t="str">
            <v>Y</v>
          </cell>
          <cell r="P2541" t="str">
            <v>N</v>
          </cell>
          <cell r="Q2541" t="str">
            <v>Vacancy</v>
          </cell>
          <cell r="S2541">
            <v>0.19</v>
          </cell>
        </row>
        <row r="2542">
          <cell r="D2542">
            <v>1108003925</v>
          </cell>
          <cell r="E2542" t="str">
            <v>SAM KELEM</v>
          </cell>
          <cell r="F2542" t="str">
            <v>D (Ch)</v>
          </cell>
          <cell r="H2542" t="str">
            <v>Choice</v>
          </cell>
          <cell r="I2542">
            <v>0.83333333333333337</v>
          </cell>
          <cell r="J2542">
            <v>0.33333333333333331</v>
          </cell>
          <cell r="K2542">
            <v>11.33333333</v>
          </cell>
          <cell r="L2542">
            <v>359.05</v>
          </cell>
          <cell r="O2542" t="str">
            <v>Y</v>
          </cell>
          <cell r="P2542" t="str">
            <v>N</v>
          </cell>
          <cell r="Q2542" t="str">
            <v>Short Term Sick</v>
          </cell>
          <cell r="S2542">
            <v>0.3</v>
          </cell>
        </row>
        <row r="2543">
          <cell r="D2543">
            <v>1108004000</v>
          </cell>
          <cell r="E2543" t="str">
            <v>TAEL MHANGO</v>
          </cell>
          <cell r="F2543" t="str">
            <v>D (Ch)</v>
          </cell>
          <cell r="G2543">
            <v>17312</v>
          </cell>
          <cell r="H2543" t="str">
            <v>Choice</v>
          </cell>
          <cell r="I2543">
            <v>0.83333333333333337</v>
          </cell>
          <cell r="J2543">
            <v>0.33333333333333331</v>
          </cell>
          <cell r="K2543">
            <v>11.33333333</v>
          </cell>
          <cell r="L2543">
            <v>359.05</v>
          </cell>
          <cell r="O2543" t="str">
            <v>Y</v>
          </cell>
          <cell r="P2543" t="str">
            <v>N</v>
          </cell>
          <cell r="Q2543" t="str">
            <v>Short Term Sick</v>
          </cell>
          <cell r="S2543">
            <v>0.3</v>
          </cell>
        </row>
        <row r="2544">
          <cell r="D2544">
            <v>1108003245</v>
          </cell>
          <cell r="E2544" t="str">
            <v>TRUST CHIWUNDURA</v>
          </cell>
          <cell r="F2544" t="str">
            <v>A (Ch)</v>
          </cell>
          <cell r="G2544">
            <v>17316</v>
          </cell>
          <cell r="H2544" t="str">
            <v>Choice</v>
          </cell>
          <cell r="I2544">
            <v>0.88541666666666663</v>
          </cell>
          <cell r="J2544">
            <v>0.3125</v>
          </cell>
          <cell r="K2544">
            <v>9.25</v>
          </cell>
          <cell r="L2544">
            <v>136.78</v>
          </cell>
          <cell r="O2544" t="str">
            <v>Y</v>
          </cell>
          <cell r="P2544" t="str">
            <v>N</v>
          </cell>
          <cell r="Q2544" t="str">
            <v>Specials</v>
          </cell>
          <cell r="S2544">
            <v>0.25</v>
          </cell>
        </row>
        <row r="2545">
          <cell r="D2545">
            <v>1108004018</v>
          </cell>
          <cell r="E2545" t="str">
            <v>ZOE SALVEFEN</v>
          </cell>
          <cell r="F2545" t="str">
            <v>D (MD)</v>
          </cell>
          <cell r="H2545" t="str">
            <v>Mayday</v>
          </cell>
          <cell r="I2545">
            <v>0.83333333333333337</v>
          </cell>
          <cell r="J2545">
            <v>0.33333333333333331</v>
          </cell>
          <cell r="K2545">
            <v>11.33333333</v>
          </cell>
          <cell r="L2545">
            <v>475.74</v>
          </cell>
          <cell r="O2545" t="str">
            <v>Y</v>
          </cell>
          <cell r="P2545" t="str">
            <v>N</v>
          </cell>
          <cell r="Q2545" t="str">
            <v>Extra Capacity</v>
          </cell>
          <cell r="S2545">
            <v>0.3</v>
          </cell>
        </row>
        <row r="2546">
          <cell r="D2546">
            <v>1108002444</v>
          </cell>
          <cell r="E2546" t="str">
            <v>ALLI SUBRAMANIAM</v>
          </cell>
          <cell r="F2546" t="str">
            <v>D (MD)</v>
          </cell>
          <cell r="G2546">
            <v>347733</v>
          </cell>
          <cell r="H2546" t="str">
            <v>Mayday</v>
          </cell>
          <cell r="I2546">
            <v>0.3125</v>
          </cell>
          <cell r="J2546">
            <v>0.60416666666666663</v>
          </cell>
          <cell r="K2546">
            <v>6.6666666670000003</v>
          </cell>
          <cell r="L2546">
            <v>215.27</v>
          </cell>
          <cell r="O2546" t="str">
            <v>Y</v>
          </cell>
          <cell r="P2546" t="str">
            <v>N</v>
          </cell>
          <cell r="Q2546" t="str">
            <v>Short Term Sick</v>
          </cell>
          <cell r="S2546">
            <v>0.18</v>
          </cell>
        </row>
        <row r="2547">
          <cell r="D2547">
            <v>1108003944</v>
          </cell>
          <cell r="E2547" t="str">
            <v>ANTHONY OGOEGBUNAN</v>
          </cell>
          <cell r="F2547" t="str">
            <v>D (MD)</v>
          </cell>
          <cell r="G2547">
            <v>345646</v>
          </cell>
          <cell r="H2547" t="str">
            <v>Mayday</v>
          </cell>
          <cell r="I2547">
            <v>0.83333333333333337</v>
          </cell>
          <cell r="J2547">
            <v>0.33333333333333331</v>
          </cell>
          <cell r="K2547">
            <v>11</v>
          </cell>
          <cell r="L2547">
            <v>461.75</v>
          </cell>
          <cell r="O2547" t="str">
            <v>Y</v>
          </cell>
          <cell r="P2547" t="str">
            <v>N</v>
          </cell>
          <cell r="Q2547" t="str">
            <v>Long Term Sick</v>
          </cell>
          <cell r="S2547">
            <v>0.28999999999999998</v>
          </cell>
        </row>
        <row r="2548">
          <cell r="D2548">
            <v>1108002447</v>
          </cell>
          <cell r="E2548" t="str">
            <v>BERNADETTE SHINYA-NDUNUWANI</v>
          </cell>
          <cell r="F2548" t="str">
            <v>D (MD)</v>
          </cell>
          <cell r="G2548">
            <v>344361</v>
          </cell>
          <cell r="H2548" t="str">
            <v>Mayday</v>
          </cell>
          <cell r="I2548">
            <v>0.3125</v>
          </cell>
          <cell r="J2548">
            <v>0.60416666666666663</v>
          </cell>
          <cell r="K2548">
            <v>6.6666666670000003</v>
          </cell>
          <cell r="L2548">
            <v>215.27</v>
          </cell>
          <cell r="O2548" t="str">
            <v>Y</v>
          </cell>
          <cell r="P2548" t="str">
            <v>N</v>
          </cell>
          <cell r="Q2548" t="str">
            <v>Short Term Sick</v>
          </cell>
          <cell r="S2548">
            <v>0.18</v>
          </cell>
        </row>
        <row r="2549">
          <cell r="D2549">
            <v>1108002448</v>
          </cell>
          <cell r="E2549" t="str">
            <v>BERNADETTE SHINYA-NDUNUWANI</v>
          </cell>
          <cell r="F2549" t="str">
            <v>D (MD)</v>
          </cell>
          <cell r="G2549">
            <v>344361</v>
          </cell>
          <cell r="H2549" t="str">
            <v>Mayday</v>
          </cell>
          <cell r="I2549">
            <v>0.60416666666666663</v>
          </cell>
          <cell r="J2549">
            <v>0.85416666666666663</v>
          </cell>
          <cell r="K2549">
            <v>5.6666666670000003</v>
          </cell>
          <cell r="L2549">
            <v>182.98</v>
          </cell>
          <cell r="O2549" t="str">
            <v>Y</v>
          </cell>
          <cell r="P2549" t="str">
            <v>N</v>
          </cell>
          <cell r="Q2549" t="str">
            <v>Short Term Sick</v>
          </cell>
          <cell r="S2549">
            <v>0.15</v>
          </cell>
        </row>
        <row r="2550">
          <cell r="D2550">
            <v>1008003010</v>
          </cell>
          <cell r="E2550" t="str">
            <v>BIDDY CHAFESUKA</v>
          </cell>
          <cell r="F2550" t="str">
            <v>D (Ch)</v>
          </cell>
          <cell r="G2550">
            <v>17325</v>
          </cell>
          <cell r="H2550" t="str">
            <v>Choice</v>
          </cell>
          <cell r="I2550">
            <v>0.60416666666666663</v>
          </cell>
          <cell r="J2550">
            <v>0.85416666666666663</v>
          </cell>
          <cell r="K2550">
            <v>5.6666666670000003</v>
          </cell>
          <cell r="L2550">
            <v>138.1</v>
          </cell>
          <cell r="O2550" t="str">
            <v>Y</v>
          </cell>
          <cell r="P2550" t="str">
            <v>N</v>
          </cell>
          <cell r="Q2550" t="str">
            <v>Vacancy</v>
          </cell>
          <cell r="S2550">
            <v>0.15</v>
          </cell>
        </row>
        <row r="2551">
          <cell r="D2551">
            <v>1108003291</v>
          </cell>
          <cell r="E2551" t="str">
            <v>BRIGHTNESS NDEBELE</v>
          </cell>
          <cell r="F2551" t="str">
            <v>D (MD)</v>
          </cell>
          <cell r="H2551" t="str">
            <v>Mayday</v>
          </cell>
          <cell r="I2551">
            <v>0.3125</v>
          </cell>
          <cell r="J2551">
            <v>0.625</v>
          </cell>
          <cell r="K2551">
            <v>7.1666666670000003</v>
          </cell>
          <cell r="L2551">
            <v>231.41</v>
          </cell>
          <cell r="O2551" t="str">
            <v>Y</v>
          </cell>
          <cell r="P2551" t="str">
            <v>N</v>
          </cell>
          <cell r="Q2551" t="str">
            <v>Extra Capacity</v>
          </cell>
          <cell r="S2551">
            <v>0.19</v>
          </cell>
        </row>
        <row r="2552">
          <cell r="D2552">
            <v>1108003980</v>
          </cell>
          <cell r="E2552" t="str">
            <v>BRIGHTNESS NDEBELE</v>
          </cell>
          <cell r="F2552" t="str">
            <v>D (MD)</v>
          </cell>
          <cell r="G2552">
            <v>344326</v>
          </cell>
          <cell r="H2552" t="str">
            <v>Mayday</v>
          </cell>
          <cell r="I2552">
            <v>0.625</v>
          </cell>
          <cell r="J2552">
            <v>0.83333333333333337</v>
          </cell>
          <cell r="K2552">
            <v>5</v>
          </cell>
          <cell r="L2552">
            <v>161.44999999999999</v>
          </cell>
          <cell r="O2552" t="str">
            <v>Y</v>
          </cell>
          <cell r="P2552" t="str">
            <v>N</v>
          </cell>
          <cell r="Q2552" t="str">
            <v>Acuity</v>
          </cell>
          <cell r="S2552">
            <v>0.13</v>
          </cell>
        </row>
        <row r="2553">
          <cell r="D2553">
            <v>1108004409</v>
          </cell>
          <cell r="E2553" t="str">
            <v>CATH CHIDAVAYENZI</v>
          </cell>
          <cell r="F2553" t="str">
            <v>D (Ch)</v>
          </cell>
          <cell r="G2553">
            <v>17316</v>
          </cell>
          <cell r="H2553" t="str">
            <v>Choice</v>
          </cell>
          <cell r="I2553">
            <v>0.88541666666666663</v>
          </cell>
          <cell r="J2553">
            <v>0.3125</v>
          </cell>
          <cell r="K2553">
            <v>9.25</v>
          </cell>
          <cell r="L2553">
            <v>293.05</v>
          </cell>
          <cell r="O2553" t="str">
            <v>Y</v>
          </cell>
          <cell r="P2553" t="str">
            <v>N</v>
          </cell>
          <cell r="Q2553" t="str">
            <v>Nurse Moved</v>
          </cell>
          <cell r="S2553">
            <v>0.25</v>
          </cell>
        </row>
        <row r="2554">
          <cell r="D2554">
            <v>1108002867</v>
          </cell>
          <cell r="E2554" t="str">
            <v>CHARLOTTE TAYLOR</v>
          </cell>
          <cell r="F2554" t="str">
            <v>D/5 (PS)</v>
          </cell>
          <cell r="H2554" t="str">
            <v>Pinnacle Staffing</v>
          </cell>
          <cell r="I2554">
            <v>0.83333333333333337</v>
          </cell>
          <cell r="J2554">
            <v>0.33333333333333331</v>
          </cell>
          <cell r="K2554">
            <v>11.33333333</v>
          </cell>
          <cell r="L2554">
            <v>250.32</v>
          </cell>
          <cell r="O2554" t="str">
            <v>Y</v>
          </cell>
          <cell r="P2554" t="str">
            <v>N</v>
          </cell>
          <cell r="Q2554" t="str">
            <v>Vacancy</v>
          </cell>
          <cell r="S2554">
            <v>0.3</v>
          </cell>
        </row>
        <row r="2555">
          <cell r="D2555">
            <v>1008001042</v>
          </cell>
          <cell r="E2555" t="str">
            <v>CHRIS STULAR</v>
          </cell>
          <cell r="F2555" t="str">
            <v>D General (Orio</v>
          </cell>
          <cell r="G2555">
            <v>18396</v>
          </cell>
          <cell r="H2555" t="str">
            <v>Orion</v>
          </cell>
          <cell r="I2555">
            <v>0.33333333333333331</v>
          </cell>
          <cell r="J2555">
            <v>0.75</v>
          </cell>
          <cell r="K2555">
            <v>9.5</v>
          </cell>
          <cell r="L2555">
            <v>172.14</v>
          </cell>
          <cell r="O2555" t="str">
            <v>Y</v>
          </cell>
          <cell r="P2555" t="str">
            <v>N</v>
          </cell>
          <cell r="Q2555" t="str">
            <v>Backfill</v>
          </cell>
          <cell r="S2555">
            <v>0.25</v>
          </cell>
        </row>
        <row r="2556">
          <cell r="D2556">
            <v>1008005705</v>
          </cell>
          <cell r="E2556" t="str">
            <v>COLLEN SIBANDA</v>
          </cell>
          <cell r="F2556" t="str">
            <v>D (Ch)</v>
          </cell>
          <cell r="G2556">
            <v>17301</v>
          </cell>
          <cell r="H2556" t="str">
            <v>Choice</v>
          </cell>
          <cell r="I2556">
            <v>0.3125</v>
          </cell>
          <cell r="J2556">
            <v>0.5625</v>
          </cell>
          <cell r="K2556">
            <v>5.6666666670000003</v>
          </cell>
          <cell r="L2556">
            <v>138.1</v>
          </cell>
          <cell r="O2556" t="str">
            <v>Y</v>
          </cell>
          <cell r="P2556" t="str">
            <v>N</v>
          </cell>
          <cell r="Q2556" t="str">
            <v>Vacancy</v>
          </cell>
          <cell r="S2556">
            <v>0.15</v>
          </cell>
        </row>
        <row r="2557">
          <cell r="D2557">
            <v>1008005710</v>
          </cell>
          <cell r="E2557" t="str">
            <v>COLLEN SIBANDA</v>
          </cell>
          <cell r="F2557" t="str">
            <v>D (Ch)</v>
          </cell>
          <cell r="G2557">
            <v>17301</v>
          </cell>
          <cell r="H2557" t="str">
            <v>Choice</v>
          </cell>
          <cell r="I2557">
            <v>0.5625</v>
          </cell>
          <cell r="J2557">
            <v>0.875</v>
          </cell>
          <cell r="K2557">
            <v>7.1666666670000003</v>
          </cell>
          <cell r="L2557">
            <v>174.65</v>
          </cell>
          <cell r="O2557" t="str">
            <v>Y</v>
          </cell>
          <cell r="P2557" t="str">
            <v>N</v>
          </cell>
          <cell r="Q2557" t="str">
            <v>Vacancy</v>
          </cell>
          <cell r="S2557">
            <v>0.19</v>
          </cell>
        </row>
        <row r="2558">
          <cell r="D2558">
            <v>1108003737</v>
          </cell>
          <cell r="E2558" t="str">
            <v>DAMILOLA AIKI</v>
          </cell>
          <cell r="F2558" t="str">
            <v>A (Ch)</v>
          </cell>
          <cell r="G2558">
            <v>17316</v>
          </cell>
          <cell r="H2558" t="str">
            <v>Choice</v>
          </cell>
          <cell r="I2558">
            <v>0.29166666666666669</v>
          </cell>
          <cell r="J2558">
            <v>0.625</v>
          </cell>
          <cell r="K2558">
            <v>7.6666666670000003</v>
          </cell>
          <cell r="L2558">
            <v>85.02</v>
          </cell>
          <cell r="O2558" t="str">
            <v>Y</v>
          </cell>
          <cell r="P2558" t="str">
            <v>N</v>
          </cell>
          <cell r="Q2558" t="str">
            <v>Specials</v>
          </cell>
          <cell r="S2558">
            <v>0.2</v>
          </cell>
        </row>
        <row r="2559">
          <cell r="D2559">
            <v>1108003739</v>
          </cell>
          <cell r="E2559" t="str">
            <v>DAMILOLA AIKI</v>
          </cell>
          <cell r="F2559" t="str">
            <v>A (Ch)</v>
          </cell>
          <cell r="G2559">
            <v>17316</v>
          </cell>
          <cell r="H2559" t="str">
            <v>Choice</v>
          </cell>
          <cell r="I2559">
            <v>0.625</v>
          </cell>
          <cell r="J2559">
            <v>0.875</v>
          </cell>
          <cell r="K2559">
            <v>5.75</v>
          </cell>
          <cell r="L2559">
            <v>63.77</v>
          </cell>
          <cell r="O2559" t="str">
            <v>Y</v>
          </cell>
          <cell r="P2559" t="str">
            <v>N</v>
          </cell>
          <cell r="Q2559" t="str">
            <v>Specials</v>
          </cell>
          <cell r="S2559">
            <v>0.15</v>
          </cell>
        </row>
        <row r="2560">
          <cell r="D2560">
            <v>1108003736</v>
          </cell>
          <cell r="E2560" t="str">
            <v>DOROTHY MUTHWA</v>
          </cell>
          <cell r="F2560" t="str">
            <v>A (Ch)</v>
          </cell>
          <cell r="H2560" t="str">
            <v>Choice</v>
          </cell>
          <cell r="I2560">
            <v>0.29166666666666669</v>
          </cell>
          <cell r="J2560">
            <v>0.625</v>
          </cell>
          <cell r="K2560">
            <v>7.6666666670000003</v>
          </cell>
          <cell r="L2560">
            <v>85.02</v>
          </cell>
          <cell r="O2560" t="str">
            <v>Y</v>
          </cell>
          <cell r="P2560" t="str">
            <v>N</v>
          </cell>
          <cell r="Q2560" t="str">
            <v>Specials</v>
          </cell>
          <cell r="S2560">
            <v>0.2</v>
          </cell>
        </row>
        <row r="2561">
          <cell r="D2561">
            <v>1008007016</v>
          </cell>
          <cell r="E2561" t="str">
            <v>EDMA ITALIA</v>
          </cell>
          <cell r="F2561" t="str">
            <v>D (Ch)</v>
          </cell>
          <cell r="G2561">
            <v>17307</v>
          </cell>
          <cell r="H2561" t="str">
            <v>Choice</v>
          </cell>
          <cell r="I2561">
            <v>0.84375</v>
          </cell>
          <cell r="J2561">
            <v>0.3125</v>
          </cell>
          <cell r="K2561">
            <v>10.25</v>
          </cell>
          <cell r="L2561">
            <v>324.73</v>
          </cell>
          <cell r="O2561" t="str">
            <v>Y</v>
          </cell>
          <cell r="P2561" t="str">
            <v>N</v>
          </cell>
          <cell r="Q2561" t="str">
            <v>Vacancy</v>
          </cell>
          <cell r="S2561">
            <v>0.27</v>
          </cell>
        </row>
        <row r="2562">
          <cell r="D2562">
            <v>1108002237</v>
          </cell>
          <cell r="E2562" t="str">
            <v>FIONA DURKIN-GREER</v>
          </cell>
          <cell r="F2562" t="str">
            <v>D (MD)</v>
          </cell>
          <cell r="G2562">
            <v>345643</v>
          </cell>
          <cell r="H2562" t="str">
            <v>Mayday</v>
          </cell>
          <cell r="I2562">
            <v>0.625</v>
          </cell>
          <cell r="J2562">
            <v>0.85416666666666663</v>
          </cell>
          <cell r="K2562">
            <v>5.5</v>
          </cell>
          <cell r="L2562">
            <v>177.59</v>
          </cell>
          <cell r="O2562" t="str">
            <v>Y</v>
          </cell>
          <cell r="P2562" t="str">
            <v>N</v>
          </cell>
          <cell r="Q2562" t="str">
            <v>Vacancy</v>
          </cell>
          <cell r="S2562">
            <v>0.15</v>
          </cell>
        </row>
        <row r="2563">
          <cell r="D2563">
            <v>1108003975</v>
          </cell>
          <cell r="E2563" t="str">
            <v>FURTHERMORE MUTSINZE</v>
          </cell>
          <cell r="F2563" t="str">
            <v>A (Ch)</v>
          </cell>
          <cell r="G2563">
            <v>17308</v>
          </cell>
          <cell r="H2563" t="str">
            <v>Choice</v>
          </cell>
          <cell r="I2563">
            <v>0.32291666666666669</v>
          </cell>
          <cell r="J2563">
            <v>0.5625</v>
          </cell>
          <cell r="K2563">
            <v>5.75</v>
          </cell>
          <cell r="L2563">
            <v>63.77</v>
          </cell>
          <cell r="O2563" t="str">
            <v>Y</v>
          </cell>
          <cell r="P2563" t="str">
            <v>N</v>
          </cell>
          <cell r="Q2563" t="str">
            <v>Specials</v>
          </cell>
          <cell r="S2563">
            <v>0.15</v>
          </cell>
        </row>
        <row r="2564">
          <cell r="D2564">
            <v>1108004119</v>
          </cell>
          <cell r="E2564" t="str">
            <v>FURTHERMORE MUTSINZE</v>
          </cell>
          <cell r="F2564" t="str">
            <v>A (Ch)</v>
          </cell>
          <cell r="G2564">
            <v>17308</v>
          </cell>
          <cell r="H2564" t="str">
            <v>Choice</v>
          </cell>
          <cell r="I2564">
            <v>0.58333333333333337</v>
          </cell>
          <cell r="J2564">
            <v>0.83333333333333337</v>
          </cell>
          <cell r="K2564">
            <v>5.6666666670000003</v>
          </cell>
          <cell r="L2564">
            <v>62.84</v>
          </cell>
          <cell r="O2564" t="str">
            <v>Y</v>
          </cell>
          <cell r="P2564" t="str">
            <v>N</v>
          </cell>
          <cell r="Q2564" t="str">
            <v>Specials</v>
          </cell>
          <cell r="S2564">
            <v>0.15</v>
          </cell>
        </row>
        <row r="2565">
          <cell r="D2565">
            <v>1108003943</v>
          </cell>
          <cell r="E2565" t="str">
            <v>GEORGINA MAFISA</v>
          </cell>
          <cell r="F2565" t="str">
            <v>D (MD)</v>
          </cell>
          <cell r="G2565">
            <v>345634</v>
          </cell>
          <cell r="H2565" t="str">
            <v>Mayday</v>
          </cell>
          <cell r="I2565">
            <v>0.3125</v>
          </cell>
          <cell r="J2565">
            <v>0.85416666666666663</v>
          </cell>
          <cell r="K2565">
            <v>12.33333333</v>
          </cell>
          <cell r="L2565">
            <v>398.24</v>
          </cell>
          <cell r="O2565" t="str">
            <v>Y</v>
          </cell>
          <cell r="P2565" t="str">
            <v>N</v>
          </cell>
          <cell r="Q2565" t="str">
            <v>Extra Capacity</v>
          </cell>
          <cell r="S2565">
            <v>0.33</v>
          </cell>
        </row>
        <row r="2566">
          <cell r="D2566">
            <v>1108004376</v>
          </cell>
          <cell r="E2566" t="str">
            <v>GLENDA RONA</v>
          </cell>
          <cell r="F2566" t="str">
            <v>D (Ch)</v>
          </cell>
          <cell r="H2566" t="str">
            <v>Choice</v>
          </cell>
          <cell r="I2566">
            <v>0.8125</v>
          </cell>
          <cell r="J2566">
            <v>0.33333333333333331</v>
          </cell>
          <cell r="K2566">
            <v>11.83333333</v>
          </cell>
          <cell r="L2566">
            <v>374.89</v>
          </cell>
          <cell r="O2566" t="str">
            <v>Y</v>
          </cell>
          <cell r="P2566" t="str">
            <v>N</v>
          </cell>
          <cell r="Q2566" t="str">
            <v>Short Term Sick</v>
          </cell>
          <cell r="S2566">
            <v>0.32</v>
          </cell>
        </row>
        <row r="2567">
          <cell r="D2567">
            <v>1008005443</v>
          </cell>
          <cell r="E2567" t="str">
            <v>JAKE BROOKES</v>
          </cell>
          <cell r="F2567" t="str">
            <v>D General (Orio</v>
          </cell>
          <cell r="G2567">
            <v>18581</v>
          </cell>
          <cell r="H2567" t="str">
            <v>Orion</v>
          </cell>
          <cell r="I2567">
            <v>0.33333333333333331</v>
          </cell>
          <cell r="J2567">
            <v>0.75</v>
          </cell>
          <cell r="K2567">
            <v>9.6666666669999994</v>
          </cell>
          <cell r="L2567">
            <v>175.16</v>
          </cell>
          <cell r="O2567" t="str">
            <v>Y</v>
          </cell>
          <cell r="P2567" t="str">
            <v>N</v>
          </cell>
          <cell r="Q2567" t="str">
            <v>Long Term Sick</v>
          </cell>
          <cell r="S2567">
            <v>0.26</v>
          </cell>
        </row>
        <row r="2568">
          <cell r="D2568">
            <v>1008004067</v>
          </cell>
          <cell r="E2568" t="str">
            <v>JAMES MCCLEMENTS</v>
          </cell>
          <cell r="F2568" t="str">
            <v>D (MD)</v>
          </cell>
          <cell r="G2568">
            <v>345652</v>
          </cell>
          <cell r="H2568" t="str">
            <v>Mayday</v>
          </cell>
          <cell r="I2568">
            <v>0.625</v>
          </cell>
          <cell r="J2568">
            <v>0.85416666666666663</v>
          </cell>
          <cell r="K2568">
            <v>5.5</v>
          </cell>
          <cell r="L2568">
            <v>177.59</v>
          </cell>
          <cell r="O2568" t="str">
            <v>Y</v>
          </cell>
          <cell r="P2568" t="str">
            <v>N</v>
          </cell>
          <cell r="Q2568" t="str">
            <v>Vacancy</v>
          </cell>
          <cell r="S2568">
            <v>0.15</v>
          </cell>
        </row>
        <row r="2569">
          <cell r="D2569">
            <v>1108005119</v>
          </cell>
          <cell r="E2569" t="str">
            <v>JASMINE ESGUERRA</v>
          </cell>
          <cell r="F2569" t="str">
            <v>D (Ch)</v>
          </cell>
          <cell r="H2569" t="str">
            <v>Choice</v>
          </cell>
          <cell r="I2569">
            <v>0.83333333333333337</v>
          </cell>
          <cell r="J2569">
            <v>0.33333333333333331</v>
          </cell>
          <cell r="K2569">
            <v>11.33333333</v>
          </cell>
          <cell r="L2569">
            <v>359.05</v>
          </cell>
          <cell r="O2569" t="str">
            <v>Y</v>
          </cell>
          <cell r="P2569" t="str">
            <v>N</v>
          </cell>
          <cell r="Q2569" t="str">
            <v>Nurse Moved</v>
          </cell>
          <cell r="S2569">
            <v>0.3</v>
          </cell>
        </row>
        <row r="2570">
          <cell r="D2570">
            <v>1008005711</v>
          </cell>
          <cell r="E2570" t="str">
            <v>JEAN NGONA</v>
          </cell>
          <cell r="F2570" t="str">
            <v>D (MD)</v>
          </cell>
          <cell r="G2570">
            <v>348481</v>
          </cell>
          <cell r="H2570" t="str">
            <v>Mayday</v>
          </cell>
          <cell r="I2570">
            <v>0.5625</v>
          </cell>
          <cell r="J2570">
            <v>0.875</v>
          </cell>
          <cell r="K2570">
            <v>7.1666666670000003</v>
          </cell>
          <cell r="L2570">
            <v>231.41</v>
          </cell>
          <cell r="O2570" t="str">
            <v>Y</v>
          </cell>
          <cell r="P2570" t="str">
            <v>N</v>
          </cell>
          <cell r="Q2570" t="str">
            <v>Vacancy</v>
          </cell>
          <cell r="S2570">
            <v>0.19</v>
          </cell>
        </row>
        <row r="2571">
          <cell r="D2571">
            <v>1008007272</v>
          </cell>
          <cell r="E2571" t="str">
            <v>JEAN NGONA</v>
          </cell>
          <cell r="F2571" t="str">
            <v>D (MD)</v>
          </cell>
          <cell r="G2571">
            <v>348458</v>
          </cell>
          <cell r="H2571" t="str">
            <v>Mayday</v>
          </cell>
          <cell r="I2571">
            <v>0.3125</v>
          </cell>
          <cell r="J2571">
            <v>0.5625</v>
          </cell>
          <cell r="K2571">
            <v>5.6666666670000003</v>
          </cell>
          <cell r="L2571">
            <v>182.98</v>
          </cell>
          <cell r="O2571" t="str">
            <v>Y</v>
          </cell>
          <cell r="P2571" t="str">
            <v>N</v>
          </cell>
          <cell r="Q2571" t="str">
            <v>Short Term Sick</v>
          </cell>
          <cell r="S2571">
            <v>0.15</v>
          </cell>
        </row>
        <row r="2572">
          <cell r="D2572">
            <v>1108004176</v>
          </cell>
          <cell r="E2572" t="str">
            <v>KINGSLEY IORPENDA</v>
          </cell>
          <cell r="F2572" t="str">
            <v>2 General (Adva</v>
          </cell>
          <cell r="H2572" t="str">
            <v>Advantage</v>
          </cell>
          <cell r="I2572">
            <v>0.82291666666666663</v>
          </cell>
          <cell r="J2572">
            <v>0.33333333333333331</v>
          </cell>
          <cell r="K2572">
            <v>11.58333333</v>
          </cell>
          <cell r="L2572">
            <v>143.16999999999999</v>
          </cell>
          <cell r="O2572" t="str">
            <v>Y</v>
          </cell>
          <cell r="P2572" t="str">
            <v>N</v>
          </cell>
          <cell r="Q2572" t="str">
            <v>Specials</v>
          </cell>
          <cell r="S2572">
            <v>0.31</v>
          </cell>
        </row>
        <row r="2573">
          <cell r="D2573">
            <v>1108002360</v>
          </cell>
          <cell r="E2573" t="str">
            <v>LETECIA MENIANO</v>
          </cell>
          <cell r="F2573" t="str">
            <v>D (MD)</v>
          </cell>
          <cell r="G2573">
            <v>344336</v>
          </cell>
          <cell r="H2573" t="str">
            <v>Mayday</v>
          </cell>
          <cell r="I2573">
            <v>0.625</v>
          </cell>
          <cell r="J2573">
            <v>0.90625</v>
          </cell>
          <cell r="K2573">
            <v>6.75</v>
          </cell>
          <cell r="L2573">
            <v>217.96</v>
          </cell>
          <cell r="O2573" t="str">
            <v>Y</v>
          </cell>
          <cell r="P2573" t="str">
            <v>N</v>
          </cell>
          <cell r="Q2573" t="str">
            <v>Extra Capacity</v>
          </cell>
          <cell r="S2573">
            <v>0.18</v>
          </cell>
        </row>
        <row r="2574">
          <cell r="D2574">
            <v>1108003290</v>
          </cell>
          <cell r="E2574" t="str">
            <v>LETECIA MENIANO</v>
          </cell>
          <cell r="F2574" t="str">
            <v>D (MD)</v>
          </cell>
          <cell r="G2574">
            <v>344340</v>
          </cell>
          <cell r="H2574" t="str">
            <v>Mayday</v>
          </cell>
          <cell r="I2574">
            <v>0.3125</v>
          </cell>
          <cell r="J2574">
            <v>0.625</v>
          </cell>
          <cell r="K2574">
            <v>7.1666666670000003</v>
          </cell>
          <cell r="L2574">
            <v>231.41</v>
          </cell>
          <cell r="O2574" t="str">
            <v>Y</v>
          </cell>
          <cell r="P2574" t="str">
            <v>N</v>
          </cell>
          <cell r="Q2574" t="str">
            <v>Extra Capacity</v>
          </cell>
          <cell r="S2574">
            <v>0.19</v>
          </cell>
        </row>
        <row r="2575">
          <cell r="D2575">
            <v>1108003258</v>
          </cell>
          <cell r="E2575" t="str">
            <v>MABEL MNISI</v>
          </cell>
          <cell r="F2575" t="str">
            <v>D (MD)</v>
          </cell>
          <cell r="G2575">
            <v>345666</v>
          </cell>
          <cell r="H2575" t="str">
            <v>Mayday</v>
          </cell>
          <cell r="I2575">
            <v>0.3125</v>
          </cell>
          <cell r="J2575">
            <v>0.60416666666666663</v>
          </cell>
          <cell r="K2575">
            <v>6.6666666670000003</v>
          </cell>
          <cell r="L2575">
            <v>215.27</v>
          </cell>
          <cell r="O2575" t="str">
            <v>Y</v>
          </cell>
          <cell r="P2575" t="str">
            <v>N</v>
          </cell>
          <cell r="Q2575" t="str">
            <v>Vacancy</v>
          </cell>
          <cell r="S2575">
            <v>0.18</v>
          </cell>
        </row>
        <row r="2576">
          <cell r="D2576">
            <v>1108003267</v>
          </cell>
          <cell r="E2576" t="str">
            <v>MABEL MNISI</v>
          </cell>
          <cell r="F2576" t="str">
            <v>D (MD)</v>
          </cell>
          <cell r="G2576">
            <v>345666</v>
          </cell>
          <cell r="H2576" t="str">
            <v>Mayday</v>
          </cell>
          <cell r="I2576">
            <v>0.60416666666666663</v>
          </cell>
          <cell r="J2576">
            <v>0.85416666666666663</v>
          </cell>
          <cell r="K2576">
            <v>5.6666666670000003</v>
          </cell>
          <cell r="L2576">
            <v>182.98</v>
          </cell>
          <cell r="O2576" t="str">
            <v>Y</v>
          </cell>
          <cell r="P2576" t="str">
            <v>N</v>
          </cell>
          <cell r="Q2576" t="str">
            <v>Vacancy</v>
          </cell>
          <cell r="S2576">
            <v>0.15</v>
          </cell>
        </row>
        <row r="2577">
          <cell r="D2577">
            <v>1008005709</v>
          </cell>
          <cell r="E2577" t="str">
            <v>MIHAELA CHIRIBAU</v>
          </cell>
          <cell r="F2577" t="str">
            <v>D (MD)</v>
          </cell>
          <cell r="G2577">
            <v>345671</v>
          </cell>
          <cell r="H2577" t="str">
            <v>Mayday</v>
          </cell>
          <cell r="I2577">
            <v>0.5625</v>
          </cell>
          <cell r="J2577">
            <v>0.875</v>
          </cell>
          <cell r="K2577">
            <v>7.1666666670000003</v>
          </cell>
          <cell r="L2577">
            <v>231.41</v>
          </cell>
          <cell r="O2577" t="str">
            <v>Y</v>
          </cell>
          <cell r="P2577" t="str">
            <v>N</v>
          </cell>
          <cell r="Q2577" t="str">
            <v>Vacancy</v>
          </cell>
          <cell r="S2577">
            <v>0.19</v>
          </cell>
        </row>
        <row r="2578">
          <cell r="D2578">
            <v>1008000809</v>
          </cell>
          <cell r="E2578" t="str">
            <v>MMAKOOTANE NGOMANE</v>
          </cell>
          <cell r="F2578" t="str">
            <v>D (Ch)</v>
          </cell>
          <cell r="G2578">
            <v>17320</v>
          </cell>
          <cell r="H2578" t="str">
            <v>Choice</v>
          </cell>
          <cell r="I2578">
            <v>0.83333333333333337</v>
          </cell>
          <cell r="J2578">
            <v>0.33333333333333331</v>
          </cell>
          <cell r="K2578">
            <v>11.33333333</v>
          </cell>
          <cell r="L2578">
            <v>359.05</v>
          </cell>
          <cell r="O2578" t="str">
            <v>Y</v>
          </cell>
          <cell r="P2578" t="str">
            <v>N</v>
          </cell>
          <cell r="Q2578" t="str">
            <v>Vacancy</v>
          </cell>
          <cell r="S2578">
            <v>0.3</v>
          </cell>
        </row>
        <row r="2579">
          <cell r="D2579">
            <v>1108003283</v>
          </cell>
          <cell r="E2579" t="str">
            <v>OMAR SENGHORE</v>
          </cell>
          <cell r="F2579" t="str">
            <v>D (MD)</v>
          </cell>
          <cell r="G2579">
            <v>346555</v>
          </cell>
          <cell r="H2579" t="str">
            <v>Mayday</v>
          </cell>
          <cell r="I2579">
            <v>0.83333333333333337</v>
          </cell>
          <cell r="J2579">
            <v>0.33333333333333331</v>
          </cell>
          <cell r="K2579">
            <v>11.33333333</v>
          </cell>
          <cell r="L2579">
            <v>475.74</v>
          </cell>
          <cell r="O2579" t="str">
            <v>Y</v>
          </cell>
          <cell r="P2579" t="str">
            <v>N</v>
          </cell>
          <cell r="Q2579" t="str">
            <v>Vacancy</v>
          </cell>
          <cell r="S2579">
            <v>0.3</v>
          </cell>
        </row>
        <row r="2580">
          <cell r="D2580">
            <v>1108003922</v>
          </cell>
          <cell r="E2580" t="str">
            <v>PAT DUBE</v>
          </cell>
          <cell r="F2580" t="str">
            <v>D (MD)</v>
          </cell>
          <cell r="G2580">
            <v>344989</v>
          </cell>
          <cell r="H2580" t="str">
            <v>Mayday</v>
          </cell>
          <cell r="I2580">
            <v>0.5625</v>
          </cell>
          <cell r="J2580">
            <v>0.89583333333333337</v>
          </cell>
          <cell r="K2580">
            <v>7.5</v>
          </cell>
          <cell r="L2580">
            <v>242.17</v>
          </cell>
          <cell r="O2580" t="str">
            <v>Y</v>
          </cell>
          <cell r="P2580" t="str">
            <v>N</v>
          </cell>
          <cell r="Q2580" t="str">
            <v>Vacancy</v>
          </cell>
          <cell r="S2580">
            <v>0.2</v>
          </cell>
        </row>
        <row r="2581">
          <cell r="D2581">
            <v>1108003257</v>
          </cell>
          <cell r="E2581" t="str">
            <v>PEGGY MAPOGO</v>
          </cell>
          <cell r="F2581" t="str">
            <v>D (Ch)</v>
          </cell>
          <cell r="H2581" t="str">
            <v>Choice</v>
          </cell>
          <cell r="I2581">
            <v>0.3125</v>
          </cell>
          <cell r="J2581">
            <v>0.60416666666666663</v>
          </cell>
          <cell r="K2581">
            <v>6.6666666670000003</v>
          </cell>
          <cell r="L2581">
            <v>162.47</v>
          </cell>
          <cell r="O2581" t="str">
            <v>Y</v>
          </cell>
          <cell r="P2581" t="str">
            <v>N</v>
          </cell>
          <cell r="Q2581" t="str">
            <v>Vacancy</v>
          </cell>
          <cell r="S2581">
            <v>0.18</v>
          </cell>
        </row>
        <row r="2582">
          <cell r="D2582">
            <v>1108003265</v>
          </cell>
          <cell r="E2582" t="str">
            <v>PEGGY MAPOGO</v>
          </cell>
          <cell r="F2582" t="str">
            <v>D (Ch)</v>
          </cell>
          <cell r="H2582" t="str">
            <v>Choice</v>
          </cell>
          <cell r="I2582">
            <v>0.60416666666666663</v>
          </cell>
          <cell r="J2582">
            <v>0.85416666666666663</v>
          </cell>
          <cell r="K2582">
            <v>5.6666666670000003</v>
          </cell>
          <cell r="L2582">
            <v>138.1</v>
          </cell>
          <cell r="O2582" t="str">
            <v>Y</v>
          </cell>
          <cell r="P2582" t="str">
            <v>N</v>
          </cell>
          <cell r="Q2582" t="str">
            <v>Vacancy</v>
          </cell>
          <cell r="S2582">
            <v>0.15</v>
          </cell>
        </row>
        <row r="2583">
          <cell r="D2583">
            <v>1108002866</v>
          </cell>
          <cell r="E2583" t="str">
            <v>PURITY EHREUREICH</v>
          </cell>
          <cell r="F2583" t="str">
            <v>D (MD)</v>
          </cell>
          <cell r="G2583">
            <v>344998</v>
          </cell>
          <cell r="H2583" t="str">
            <v>Mayday</v>
          </cell>
          <cell r="I2583">
            <v>0.625</v>
          </cell>
          <cell r="J2583">
            <v>0.85416666666666663</v>
          </cell>
          <cell r="K2583">
            <v>5.5</v>
          </cell>
          <cell r="L2583">
            <v>177.59</v>
          </cell>
          <cell r="O2583" t="str">
            <v>Y</v>
          </cell>
          <cell r="P2583" t="str">
            <v>N</v>
          </cell>
          <cell r="Q2583" t="str">
            <v>Vacancy</v>
          </cell>
          <cell r="S2583">
            <v>0.15</v>
          </cell>
        </row>
        <row r="2584">
          <cell r="D2584">
            <v>1108003960</v>
          </cell>
          <cell r="E2584" t="str">
            <v>RICCA PARADA</v>
          </cell>
          <cell r="F2584" t="str">
            <v>D (Ch)</v>
          </cell>
          <cell r="H2584" t="str">
            <v>Choice</v>
          </cell>
          <cell r="I2584">
            <v>0.3125</v>
          </cell>
          <cell r="J2584">
            <v>0.54166666666666663</v>
          </cell>
          <cell r="K2584">
            <v>5.5</v>
          </cell>
          <cell r="L2584">
            <v>134.03</v>
          </cell>
          <cell r="O2584" t="str">
            <v>Y</v>
          </cell>
          <cell r="P2584" t="str">
            <v>N</v>
          </cell>
          <cell r="Q2584" t="str">
            <v>Short Term Sick</v>
          </cell>
          <cell r="S2584">
            <v>0.15</v>
          </cell>
        </row>
        <row r="2585">
          <cell r="D2585">
            <v>1108005134</v>
          </cell>
          <cell r="E2585" t="str">
            <v>SAMSON BARACENA</v>
          </cell>
          <cell r="F2585" t="str">
            <v>D (Ch)</v>
          </cell>
          <cell r="G2585">
            <v>17319</v>
          </cell>
          <cell r="H2585" t="str">
            <v>Choice</v>
          </cell>
          <cell r="I2585">
            <v>0.83333333333333337</v>
          </cell>
          <cell r="J2585">
            <v>0.33333333333333331</v>
          </cell>
          <cell r="K2585">
            <v>11.33333333</v>
          </cell>
          <cell r="L2585">
            <v>359.05</v>
          </cell>
          <cell r="O2585" t="str">
            <v>Y</v>
          </cell>
          <cell r="P2585" t="str">
            <v>N</v>
          </cell>
          <cell r="Q2585" t="str">
            <v>Nurse Moved</v>
          </cell>
          <cell r="S2585">
            <v>0.3</v>
          </cell>
        </row>
        <row r="2586">
          <cell r="D2586">
            <v>1108003282</v>
          </cell>
          <cell r="E2586" t="str">
            <v>TEMBE NGIDI</v>
          </cell>
          <cell r="F2586" t="str">
            <v>D (MD)</v>
          </cell>
          <cell r="G2586">
            <v>345639</v>
          </cell>
          <cell r="H2586" t="str">
            <v>Mayday</v>
          </cell>
          <cell r="I2586">
            <v>0.83333333333333337</v>
          </cell>
          <cell r="J2586">
            <v>0.33333333333333331</v>
          </cell>
          <cell r="K2586">
            <v>11.33333333</v>
          </cell>
          <cell r="L2586">
            <v>475.74</v>
          </cell>
          <cell r="O2586" t="str">
            <v>Y</v>
          </cell>
          <cell r="P2586" t="str">
            <v>N</v>
          </cell>
          <cell r="Q2586" t="str">
            <v>Vacancy</v>
          </cell>
          <cell r="S2586">
            <v>0.3</v>
          </cell>
        </row>
        <row r="2587">
          <cell r="D2587">
            <v>1108003740</v>
          </cell>
          <cell r="E2587" t="str">
            <v>TRUST CHIWUNDURA</v>
          </cell>
          <cell r="F2587" t="str">
            <v>A (Ch)</v>
          </cell>
          <cell r="G2587">
            <v>17316</v>
          </cell>
          <cell r="H2587" t="str">
            <v>Choice</v>
          </cell>
          <cell r="I2587">
            <v>0.88541666666666663</v>
          </cell>
          <cell r="J2587">
            <v>0.3125</v>
          </cell>
          <cell r="K2587">
            <v>9.25</v>
          </cell>
          <cell r="L2587">
            <v>136.78</v>
          </cell>
          <cell r="O2587" t="str">
            <v>Y</v>
          </cell>
          <cell r="P2587" t="str">
            <v>N</v>
          </cell>
          <cell r="Q2587" t="str">
            <v>Specials</v>
          </cell>
          <cell r="S2587">
            <v>0.25</v>
          </cell>
        </row>
        <row r="2588">
          <cell r="D2588">
            <v>1008005018</v>
          </cell>
          <cell r="E2588" t="str">
            <v>VICTORIA MAESTRANI</v>
          </cell>
          <cell r="F2588" t="str">
            <v>D (MD)</v>
          </cell>
          <cell r="G2588">
            <v>344306</v>
          </cell>
          <cell r="H2588" t="str">
            <v>Mayday</v>
          </cell>
          <cell r="I2588">
            <v>0.625</v>
          </cell>
          <cell r="J2588">
            <v>0.85416666666666663</v>
          </cell>
          <cell r="K2588">
            <v>5.5</v>
          </cell>
          <cell r="L2588">
            <v>177.59</v>
          </cell>
          <cell r="O2588" t="str">
            <v>Y</v>
          </cell>
          <cell r="P2588" t="str">
            <v>N</v>
          </cell>
          <cell r="Q2588" t="str">
            <v>Vacancy</v>
          </cell>
          <cell r="S2588">
            <v>0.15</v>
          </cell>
        </row>
        <row r="2589">
          <cell r="D2589">
            <v>1108003293</v>
          </cell>
          <cell r="E2589" t="str">
            <v>ALLI SUBRAMANIAM</v>
          </cell>
          <cell r="F2589" t="str">
            <v>D (MD)</v>
          </cell>
          <cell r="G2589">
            <v>347731</v>
          </cell>
          <cell r="H2589" t="str">
            <v>Mayday</v>
          </cell>
          <cell r="I2589">
            <v>0.3125</v>
          </cell>
          <cell r="J2589">
            <v>0.625</v>
          </cell>
          <cell r="K2589">
            <v>7.1666666670000003</v>
          </cell>
          <cell r="L2589">
            <v>231.41</v>
          </cell>
          <cell r="O2589" t="str">
            <v>Y</v>
          </cell>
          <cell r="P2589" t="str">
            <v>N</v>
          </cell>
          <cell r="Q2589" t="str">
            <v>Extra Capacity</v>
          </cell>
          <cell r="S2589">
            <v>0.19</v>
          </cell>
        </row>
        <row r="2590">
          <cell r="D2590">
            <v>1108003308</v>
          </cell>
          <cell r="E2590" t="str">
            <v>ALLI SUBRAMANIAM</v>
          </cell>
          <cell r="F2590" t="str">
            <v>D (MD)</v>
          </cell>
          <cell r="G2590">
            <v>347731</v>
          </cell>
          <cell r="H2590" t="str">
            <v>Mayday</v>
          </cell>
          <cell r="I2590">
            <v>0.625</v>
          </cell>
          <cell r="J2590">
            <v>0.85416666666666663</v>
          </cell>
          <cell r="K2590">
            <v>5.5</v>
          </cell>
          <cell r="L2590">
            <v>177.59</v>
          </cell>
          <cell r="O2590" t="str">
            <v>Y</v>
          </cell>
          <cell r="P2590" t="str">
            <v>N</v>
          </cell>
          <cell r="Q2590" t="str">
            <v>Extra Capacity</v>
          </cell>
          <cell r="S2590">
            <v>0.15</v>
          </cell>
        </row>
        <row r="2591">
          <cell r="D2591">
            <v>1108003961</v>
          </cell>
          <cell r="E2591" t="str">
            <v>AMBER PERRY</v>
          </cell>
          <cell r="F2591" t="str">
            <v>D (MD)</v>
          </cell>
          <cell r="G2591">
            <v>345637</v>
          </cell>
          <cell r="H2591" t="str">
            <v>Mayday</v>
          </cell>
          <cell r="I2591">
            <v>0.3125</v>
          </cell>
          <cell r="J2591">
            <v>0.54166666666666663</v>
          </cell>
          <cell r="K2591">
            <v>5.5</v>
          </cell>
          <cell r="L2591">
            <v>177.59</v>
          </cell>
          <cell r="O2591" t="str">
            <v>Y</v>
          </cell>
          <cell r="P2591" t="str">
            <v>N</v>
          </cell>
          <cell r="Q2591" t="str">
            <v>Short Term Sick</v>
          </cell>
          <cell r="S2591">
            <v>0.15</v>
          </cell>
        </row>
        <row r="2592">
          <cell r="D2592">
            <v>1008006172</v>
          </cell>
          <cell r="E2592" t="str">
            <v>ANNA BONNERUP</v>
          </cell>
          <cell r="F2592" t="str">
            <v>D / 5 General (</v>
          </cell>
          <cell r="G2592" t="str">
            <v>604-163717</v>
          </cell>
          <cell r="H2592" t="str">
            <v>Blue Arrow</v>
          </cell>
          <cell r="I2592">
            <v>0.625</v>
          </cell>
          <cell r="J2592">
            <v>0.85416666666666663</v>
          </cell>
          <cell r="K2592">
            <v>5.5</v>
          </cell>
          <cell r="L2592">
            <v>92.84</v>
          </cell>
          <cell r="O2592" t="str">
            <v>Y</v>
          </cell>
          <cell r="P2592" t="str">
            <v>N</v>
          </cell>
          <cell r="Q2592" t="str">
            <v>Vacancy</v>
          </cell>
          <cell r="S2592">
            <v>0.15</v>
          </cell>
        </row>
        <row r="2593">
          <cell r="D2593">
            <v>1008007285</v>
          </cell>
          <cell r="E2593" t="str">
            <v>BERNADETTE SHINYA-NDUNUWANI</v>
          </cell>
          <cell r="F2593" t="str">
            <v>D (MD)</v>
          </cell>
          <cell r="G2593">
            <v>345676</v>
          </cell>
          <cell r="H2593" t="str">
            <v>Mayday</v>
          </cell>
          <cell r="I2593">
            <v>0.5625</v>
          </cell>
          <cell r="J2593">
            <v>0.85416666666666663</v>
          </cell>
          <cell r="K2593">
            <v>6.6666666670000003</v>
          </cell>
          <cell r="L2593">
            <v>215.27</v>
          </cell>
          <cell r="O2593" t="str">
            <v>Y</v>
          </cell>
          <cell r="P2593" t="str">
            <v>N</v>
          </cell>
          <cell r="Q2593" t="str">
            <v>Short Term Sick</v>
          </cell>
          <cell r="S2593">
            <v>0.18</v>
          </cell>
        </row>
        <row r="2594">
          <cell r="D2594">
            <v>1008001043</v>
          </cell>
          <cell r="E2594" t="str">
            <v>CHRIS STULAR</v>
          </cell>
          <cell r="F2594" t="str">
            <v>D General (Orio</v>
          </cell>
          <cell r="G2594">
            <v>18396</v>
          </cell>
          <cell r="H2594" t="str">
            <v>Orion</v>
          </cell>
          <cell r="I2594">
            <v>0.33333333333333331</v>
          </cell>
          <cell r="J2594">
            <v>0.75</v>
          </cell>
          <cell r="K2594">
            <v>9.5</v>
          </cell>
          <cell r="L2594">
            <v>172.14</v>
          </cell>
          <cell r="O2594" t="str">
            <v>Y</v>
          </cell>
          <cell r="P2594" t="str">
            <v>N</v>
          </cell>
          <cell r="Q2594" t="str">
            <v>Backfill</v>
          </cell>
          <cell r="S2594">
            <v>0.25</v>
          </cell>
        </row>
        <row r="2595">
          <cell r="D2595">
            <v>1108003898</v>
          </cell>
          <cell r="E2595" t="str">
            <v>DAMILOLA AIKI</v>
          </cell>
          <cell r="F2595" t="str">
            <v>A (Ch)</v>
          </cell>
          <cell r="G2595">
            <v>17316</v>
          </cell>
          <cell r="H2595" t="str">
            <v>Choice</v>
          </cell>
          <cell r="I2595">
            <v>0.29166666666666669</v>
          </cell>
          <cell r="J2595">
            <v>0.625</v>
          </cell>
          <cell r="K2595">
            <v>7.6666666670000003</v>
          </cell>
          <cell r="L2595">
            <v>85.02</v>
          </cell>
          <cell r="O2595" t="str">
            <v>Y</v>
          </cell>
          <cell r="P2595" t="str">
            <v>N</v>
          </cell>
          <cell r="Q2595" t="str">
            <v>Specials</v>
          </cell>
          <cell r="S2595">
            <v>0.2</v>
          </cell>
        </row>
        <row r="2596">
          <cell r="D2596">
            <v>1108004377</v>
          </cell>
          <cell r="E2596" t="str">
            <v>DAMILOLA AIKI</v>
          </cell>
          <cell r="F2596" t="str">
            <v>A (Ch)</v>
          </cell>
          <cell r="G2596">
            <v>17316</v>
          </cell>
          <cell r="H2596" t="str">
            <v>Choice</v>
          </cell>
          <cell r="I2596">
            <v>0.625</v>
          </cell>
          <cell r="J2596">
            <v>0.875</v>
          </cell>
          <cell r="K2596">
            <v>5.75</v>
          </cell>
          <cell r="L2596">
            <v>63.77</v>
          </cell>
          <cell r="O2596" t="str">
            <v>Y</v>
          </cell>
          <cell r="P2596" t="str">
            <v>N</v>
          </cell>
          <cell r="Q2596" t="str">
            <v>Compassionate Leave</v>
          </cell>
          <cell r="S2596">
            <v>0.15</v>
          </cell>
        </row>
        <row r="2597">
          <cell r="D2597">
            <v>1108003900</v>
          </cell>
          <cell r="E2597" t="str">
            <v>DOROTHY MUTHWA</v>
          </cell>
          <cell r="F2597" t="str">
            <v>A (Ch)</v>
          </cell>
          <cell r="G2597">
            <v>17316</v>
          </cell>
          <cell r="H2597" t="str">
            <v>Choice</v>
          </cell>
          <cell r="I2597">
            <v>0.29166666666666669</v>
          </cell>
          <cell r="J2597">
            <v>0.625</v>
          </cell>
          <cell r="K2597">
            <v>7.6666666670000003</v>
          </cell>
          <cell r="L2597">
            <v>85.02</v>
          </cell>
          <cell r="O2597" t="str">
            <v>Y</v>
          </cell>
          <cell r="P2597" t="str">
            <v>N</v>
          </cell>
          <cell r="Q2597" t="str">
            <v>Specials</v>
          </cell>
          <cell r="S2597">
            <v>0.2</v>
          </cell>
        </row>
        <row r="2598">
          <cell r="D2598">
            <v>1108003984</v>
          </cell>
          <cell r="E2598" t="str">
            <v>DOROTHY MUTHWA</v>
          </cell>
          <cell r="F2598" t="str">
            <v>A (Ch)</v>
          </cell>
          <cell r="G2598">
            <v>17316</v>
          </cell>
          <cell r="H2598" t="str">
            <v>Choice</v>
          </cell>
          <cell r="I2598">
            <v>0.625</v>
          </cell>
          <cell r="J2598">
            <v>0.875</v>
          </cell>
          <cell r="K2598">
            <v>5.75</v>
          </cell>
          <cell r="L2598">
            <v>63.77</v>
          </cell>
          <cell r="O2598" t="str">
            <v>Y</v>
          </cell>
          <cell r="P2598" t="str">
            <v>N</v>
          </cell>
          <cell r="Q2598" t="str">
            <v>Short Term Sick</v>
          </cell>
          <cell r="S2598">
            <v>0.15</v>
          </cell>
        </row>
        <row r="2599">
          <cell r="D2599">
            <v>1108004440</v>
          </cell>
          <cell r="E2599" t="str">
            <v>ELENOR PARAZO</v>
          </cell>
          <cell r="F2599" t="str">
            <v>D (MD)</v>
          </cell>
          <cell r="G2599">
            <v>344082</v>
          </cell>
          <cell r="H2599" t="str">
            <v>Mayday</v>
          </cell>
          <cell r="I2599">
            <v>0.8125</v>
          </cell>
          <cell r="J2599">
            <v>0.33333333333333331</v>
          </cell>
          <cell r="K2599">
            <v>11.83333333</v>
          </cell>
          <cell r="L2599">
            <v>496.73</v>
          </cell>
          <cell r="O2599" t="str">
            <v>Y</v>
          </cell>
          <cell r="P2599" t="str">
            <v>N</v>
          </cell>
          <cell r="Q2599" t="str">
            <v>Vacancy</v>
          </cell>
          <cell r="S2599">
            <v>0.32</v>
          </cell>
        </row>
        <row r="2600">
          <cell r="D2600">
            <v>1108004412</v>
          </cell>
          <cell r="E2600" t="str">
            <v>EUNICE ADEBANJO</v>
          </cell>
          <cell r="F2600" t="str">
            <v>D (Ch)</v>
          </cell>
          <cell r="G2600">
            <v>17308</v>
          </cell>
          <cell r="H2600" t="str">
            <v>Choice</v>
          </cell>
          <cell r="I2600">
            <v>0.82291666666666663</v>
          </cell>
          <cell r="J2600">
            <v>0.34375</v>
          </cell>
          <cell r="K2600">
            <v>11.5</v>
          </cell>
          <cell r="L2600">
            <v>364.33</v>
          </cell>
          <cell r="O2600" t="str">
            <v>Y</v>
          </cell>
          <cell r="P2600" t="str">
            <v>N</v>
          </cell>
          <cell r="Q2600" t="str">
            <v>Vacancy</v>
          </cell>
          <cell r="S2600">
            <v>0.31</v>
          </cell>
        </row>
        <row r="2601">
          <cell r="D2601">
            <v>1108002930</v>
          </cell>
          <cell r="E2601" t="str">
            <v>FIONA DURKIN-GREER</v>
          </cell>
          <cell r="F2601" t="str">
            <v>D (MD)</v>
          </cell>
          <cell r="G2601">
            <v>345640</v>
          </cell>
          <cell r="H2601" t="str">
            <v>Mayday</v>
          </cell>
          <cell r="I2601">
            <v>0.5625</v>
          </cell>
          <cell r="J2601">
            <v>0.85416666666666663</v>
          </cell>
          <cell r="K2601">
            <v>6.6666666670000003</v>
          </cell>
          <cell r="L2601">
            <v>215.27</v>
          </cell>
          <cell r="O2601" t="str">
            <v>Y</v>
          </cell>
          <cell r="P2601" t="str">
            <v>N</v>
          </cell>
          <cell r="Q2601" t="str">
            <v>Under Established</v>
          </cell>
          <cell r="S2601">
            <v>0.18</v>
          </cell>
        </row>
        <row r="2602">
          <cell r="D2602">
            <v>1108005083</v>
          </cell>
          <cell r="E2602" t="str">
            <v>GEORGINA MAFISA</v>
          </cell>
          <cell r="F2602" t="str">
            <v>D (MD)</v>
          </cell>
          <cell r="G2602">
            <v>345634</v>
          </cell>
          <cell r="H2602" t="str">
            <v>Mayday</v>
          </cell>
          <cell r="I2602">
            <v>0.3125</v>
          </cell>
          <cell r="J2602">
            <v>0.64583333333333337</v>
          </cell>
          <cell r="K2602">
            <v>7.5</v>
          </cell>
          <cell r="L2602">
            <v>242.17</v>
          </cell>
          <cell r="O2602" t="str">
            <v>Y</v>
          </cell>
          <cell r="P2602" t="str">
            <v>N</v>
          </cell>
          <cell r="Q2602" t="str">
            <v>Short Term Sick</v>
          </cell>
          <cell r="S2602">
            <v>0.2</v>
          </cell>
        </row>
        <row r="2603">
          <cell r="D2603">
            <v>1108003329</v>
          </cell>
          <cell r="E2603" t="str">
            <v>GLENDA RONA</v>
          </cell>
          <cell r="F2603" t="str">
            <v>D (Ch)</v>
          </cell>
          <cell r="H2603" t="str">
            <v>Choice</v>
          </cell>
          <cell r="I2603">
            <v>0.83333333333333337</v>
          </cell>
          <cell r="J2603">
            <v>0.33333333333333331</v>
          </cell>
          <cell r="K2603">
            <v>11.33333333</v>
          </cell>
          <cell r="L2603">
            <v>359.05</v>
          </cell>
          <cell r="O2603" t="str">
            <v>Y</v>
          </cell>
          <cell r="P2603" t="str">
            <v>N</v>
          </cell>
          <cell r="Q2603" t="str">
            <v>Extra Capacity</v>
          </cell>
          <cell r="S2603">
            <v>0.3</v>
          </cell>
        </row>
        <row r="2604">
          <cell r="D2604">
            <v>1108002502</v>
          </cell>
          <cell r="E2604" t="str">
            <v>HELEN SMITHSON</v>
          </cell>
          <cell r="F2604" t="str">
            <v>5 General (Adva</v>
          </cell>
          <cell r="H2604" t="str">
            <v>Advantage</v>
          </cell>
          <cell r="I2604">
            <v>0.8125</v>
          </cell>
          <cell r="J2604">
            <v>0.33333333333333331</v>
          </cell>
          <cell r="K2604">
            <v>11.83333333</v>
          </cell>
          <cell r="L2604">
            <v>246.75</v>
          </cell>
          <cell r="O2604" t="str">
            <v>Y</v>
          </cell>
          <cell r="P2604" t="str">
            <v>N</v>
          </cell>
          <cell r="Q2604" t="str">
            <v>Short Term Sick</v>
          </cell>
          <cell r="S2604">
            <v>0.32</v>
          </cell>
        </row>
        <row r="2605">
          <cell r="D2605">
            <v>1008005444</v>
          </cell>
          <cell r="E2605" t="str">
            <v>JAKE BROOKES</v>
          </cell>
          <cell r="F2605" t="str">
            <v>D General (Orio</v>
          </cell>
          <cell r="G2605">
            <v>18581</v>
          </cell>
          <cell r="H2605" t="str">
            <v>Orion</v>
          </cell>
          <cell r="I2605">
            <v>0.33333333333333331</v>
          </cell>
          <cell r="J2605">
            <v>0.75</v>
          </cell>
          <cell r="K2605">
            <v>9.6666666669999994</v>
          </cell>
          <cell r="L2605">
            <v>175.16</v>
          </cell>
          <cell r="O2605" t="str">
            <v>Y</v>
          </cell>
          <cell r="P2605" t="str">
            <v>N</v>
          </cell>
          <cell r="Q2605" t="str">
            <v>Long Term Sick</v>
          </cell>
          <cell r="S2605">
            <v>0.26</v>
          </cell>
        </row>
        <row r="2606">
          <cell r="D2606">
            <v>1108002931</v>
          </cell>
          <cell r="E2606" t="str">
            <v>JAMES MCCLEMENTS</v>
          </cell>
          <cell r="F2606" t="str">
            <v>D (MD)</v>
          </cell>
          <cell r="G2606">
            <v>345658</v>
          </cell>
          <cell r="H2606" t="str">
            <v>Mayday</v>
          </cell>
          <cell r="I2606">
            <v>0.5625</v>
          </cell>
          <cell r="J2606">
            <v>0.85416666666666663</v>
          </cell>
          <cell r="K2606">
            <v>6.6666666670000003</v>
          </cell>
          <cell r="L2606">
            <v>215.27</v>
          </cell>
          <cell r="O2606" t="str">
            <v>Y</v>
          </cell>
          <cell r="P2606" t="str">
            <v>N</v>
          </cell>
          <cell r="Q2606" t="str">
            <v>Under Established</v>
          </cell>
          <cell r="S2606">
            <v>0.18</v>
          </cell>
        </row>
        <row r="2607">
          <cell r="D2607">
            <v>1108003962</v>
          </cell>
          <cell r="E2607" t="str">
            <v>JAMES MCCLEMENTS</v>
          </cell>
          <cell r="F2607" t="str">
            <v>D (MD)</v>
          </cell>
          <cell r="G2607">
            <v>345656</v>
          </cell>
          <cell r="H2607" t="str">
            <v>Mayday</v>
          </cell>
          <cell r="I2607">
            <v>0.3125</v>
          </cell>
          <cell r="J2607">
            <v>0.54166666666666663</v>
          </cell>
          <cell r="K2607">
            <v>5.5</v>
          </cell>
          <cell r="L2607">
            <v>177.59</v>
          </cell>
          <cell r="O2607" t="str">
            <v>Y</v>
          </cell>
          <cell r="P2607" t="str">
            <v>N</v>
          </cell>
          <cell r="Q2607" t="str">
            <v>Short Term Sick</v>
          </cell>
          <cell r="S2607">
            <v>0.15</v>
          </cell>
        </row>
        <row r="2608">
          <cell r="D2608">
            <v>1108001004</v>
          </cell>
          <cell r="E2608" t="str">
            <v>JEAN NGONA</v>
          </cell>
          <cell r="F2608" t="str">
            <v>D (MD)</v>
          </cell>
          <cell r="G2608">
            <v>348799</v>
          </cell>
          <cell r="H2608" t="str">
            <v>Mayday</v>
          </cell>
          <cell r="I2608">
            <v>0.32291666666666669</v>
          </cell>
          <cell r="J2608">
            <v>0.57291666666666663</v>
          </cell>
          <cell r="K2608">
            <v>5.6666666670000003</v>
          </cell>
          <cell r="L2608">
            <v>182.98</v>
          </cell>
          <cell r="O2608" t="str">
            <v>Y</v>
          </cell>
          <cell r="P2608" t="str">
            <v>N</v>
          </cell>
          <cell r="Q2608" t="str">
            <v>Vacancy</v>
          </cell>
          <cell r="S2608">
            <v>0.15</v>
          </cell>
        </row>
        <row r="2609">
          <cell r="D2609">
            <v>1108003268</v>
          </cell>
          <cell r="E2609" t="str">
            <v>JOHANNA HATUIKULIPI</v>
          </cell>
          <cell r="F2609" t="str">
            <v>D (MD)</v>
          </cell>
          <cell r="H2609" t="str">
            <v>Mayday</v>
          </cell>
          <cell r="I2609">
            <v>0.60416666666666663</v>
          </cell>
          <cell r="J2609">
            <v>0.85416666666666663</v>
          </cell>
          <cell r="K2609">
            <v>5.6666666670000003</v>
          </cell>
          <cell r="L2609">
            <v>182.98</v>
          </cell>
          <cell r="O2609" t="str">
            <v>Y</v>
          </cell>
          <cell r="P2609" t="str">
            <v>N</v>
          </cell>
          <cell r="Q2609" t="str">
            <v>Vacancy</v>
          </cell>
          <cell r="S2609">
            <v>0.15</v>
          </cell>
        </row>
        <row r="2610">
          <cell r="D2610">
            <v>1008007286</v>
          </cell>
          <cell r="E2610" t="str">
            <v>KAREN STRUDWICK</v>
          </cell>
          <cell r="F2610" t="str">
            <v>D (Ch)</v>
          </cell>
          <cell r="G2610">
            <v>17312</v>
          </cell>
          <cell r="H2610" t="str">
            <v>Choice</v>
          </cell>
          <cell r="I2610">
            <v>0.83333333333333337</v>
          </cell>
          <cell r="J2610">
            <v>0.33333333333333331</v>
          </cell>
          <cell r="K2610">
            <v>11.33333333</v>
          </cell>
          <cell r="L2610">
            <v>359.05</v>
          </cell>
          <cell r="O2610" t="str">
            <v>Y</v>
          </cell>
          <cell r="P2610" t="str">
            <v>N</v>
          </cell>
          <cell r="Q2610" t="str">
            <v>Vacancy</v>
          </cell>
          <cell r="S2610">
            <v>0.3</v>
          </cell>
        </row>
        <row r="2611">
          <cell r="D2611">
            <v>1108003057</v>
          </cell>
          <cell r="E2611" t="str">
            <v>LETECIA MENIANO</v>
          </cell>
          <cell r="F2611" t="str">
            <v>D (MD)</v>
          </cell>
          <cell r="G2611">
            <v>344269</v>
          </cell>
          <cell r="H2611" t="str">
            <v>Mayday</v>
          </cell>
          <cell r="I2611">
            <v>0.625</v>
          </cell>
          <cell r="J2611">
            <v>0.89583333333333337</v>
          </cell>
          <cell r="K2611">
            <v>6</v>
          </cell>
          <cell r="L2611">
            <v>193.74</v>
          </cell>
          <cell r="O2611" t="str">
            <v>Y</v>
          </cell>
          <cell r="P2611" t="str">
            <v>N</v>
          </cell>
          <cell r="Q2611" t="str">
            <v>Annual Leave</v>
          </cell>
          <cell r="S2611">
            <v>0.16</v>
          </cell>
        </row>
        <row r="2612">
          <cell r="D2612">
            <v>1108003292</v>
          </cell>
          <cell r="E2612" t="str">
            <v>LETECIA MENIANO</v>
          </cell>
          <cell r="F2612" t="str">
            <v>D (MD)</v>
          </cell>
          <cell r="G2612">
            <v>344267</v>
          </cell>
          <cell r="H2612" t="str">
            <v>Mayday</v>
          </cell>
          <cell r="I2612">
            <v>0.3125</v>
          </cell>
          <cell r="J2612">
            <v>0.625</v>
          </cell>
          <cell r="K2612">
            <v>7.1666666670000003</v>
          </cell>
          <cell r="L2612">
            <v>231.41</v>
          </cell>
          <cell r="O2612" t="str">
            <v>Y</v>
          </cell>
          <cell r="P2612" t="str">
            <v>N</v>
          </cell>
          <cell r="Q2612" t="str">
            <v>Extra Capacity</v>
          </cell>
          <cell r="S2612">
            <v>0.19</v>
          </cell>
        </row>
        <row r="2613">
          <cell r="D2613">
            <v>1108003767</v>
          </cell>
          <cell r="E2613" t="str">
            <v>LIZ BAGGIO</v>
          </cell>
          <cell r="F2613" t="str">
            <v>A/2 (PS)</v>
          </cell>
          <cell r="H2613" t="str">
            <v>Pinnacle Staffing</v>
          </cell>
          <cell r="I2613">
            <v>0.83333333333333337</v>
          </cell>
          <cell r="J2613">
            <v>0.33333333333333331</v>
          </cell>
          <cell r="K2613">
            <v>11.33333333</v>
          </cell>
          <cell r="L2613">
            <v>141.74</v>
          </cell>
          <cell r="O2613" t="str">
            <v>Y</v>
          </cell>
          <cell r="P2613" t="str">
            <v>N</v>
          </cell>
          <cell r="Q2613" t="str">
            <v>Short Term Sick</v>
          </cell>
          <cell r="S2613">
            <v>0.3</v>
          </cell>
        </row>
        <row r="2614">
          <cell r="D2614">
            <v>1108001003</v>
          </cell>
          <cell r="E2614" t="str">
            <v>MERCY AFELE</v>
          </cell>
          <cell r="F2614" t="str">
            <v>D (MD)</v>
          </cell>
          <cell r="G2614">
            <v>344262</v>
          </cell>
          <cell r="H2614" t="str">
            <v>Mayday</v>
          </cell>
          <cell r="I2614">
            <v>0.32291666666666669</v>
          </cell>
          <cell r="J2614">
            <v>0.57291666666666663</v>
          </cell>
          <cell r="K2614">
            <v>5.6666666670000003</v>
          </cell>
          <cell r="L2614">
            <v>182.98</v>
          </cell>
          <cell r="O2614" t="str">
            <v>Y</v>
          </cell>
          <cell r="P2614" t="str">
            <v>N</v>
          </cell>
          <cell r="Q2614" t="str">
            <v>Maternity Leave</v>
          </cell>
          <cell r="S2614">
            <v>0.15</v>
          </cell>
        </row>
        <row r="2615">
          <cell r="D2615">
            <v>1108005089</v>
          </cell>
          <cell r="E2615" t="str">
            <v>MERCY SIBANDA</v>
          </cell>
          <cell r="F2615" t="str">
            <v>A (Ch)</v>
          </cell>
          <cell r="G2615">
            <v>17313</v>
          </cell>
          <cell r="H2615" t="str">
            <v>Choice</v>
          </cell>
          <cell r="I2615">
            <v>0.32291666666666669</v>
          </cell>
          <cell r="J2615">
            <v>0.84375</v>
          </cell>
          <cell r="K2615">
            <v>11.5</v>
          </cell>
          <cell r="L2615">
            <v>127.53</v>
          </cell>
          <cell r="O2615" t="str">
            <v>Y</v>
          </cell>
          <cell r="P2615" t="str">
            <v>N</v>
          </cell>
          <cell r="Q2615" t="str">
            <v>On-Call</v>
          </cell>
          <cell r="S2615">
            <v>0.31</v>
          </cell>
        </row>
        <row r="2616">
          <cell r="D2616">
            <v>1108003259</v>
          </cell>
          <cell r="E2616" t="str">
            <v>MIHAELA CHIRIBAU</v>
          </cell>
          <cell r="F2616" t="str">
            <v>D (MD)</v>
          </cell>
          <cell r="G2616">
            <v>345670</v>
          </cell>
          <cell r="H2616" t="str">
            <v>Mayday</v>
          </cell>
          <cell r="I2616">
            <v>0.3125</v>
          </cell>
          <cell r="J2616">
            <v>0.60416666666666663</v>
          </cell>
          <cell r="K2616">
            <v>6.6666666670000003</v>
          </cell>
          <cell r="L2616">
            <v>215.27</v>
          </cell>
          <cell r="O2616" t="str">
            <v>Y</v>
          </cell>
          <cell r="P2616" t="str">
            <v>N</v>
          </cell>
          <cell r="Q2616" t="str">
            <v>Vacancy</v>
          </cell>
          <cell r="S2616">
            <v>0.18</v>
          </cell>
        </row>
        <row r="2617">
          <cell r="D2617">
            <v>1108003269</v>
          </cell>
          <cell r="E2617" t="str">
            <v>MIHAELA CHIRIBAU</v>
          </cell>
          <cell r="F2617" t="str">
            <v>D (MD)</v>
          </cell>
          <cell r="G2617">
            <v>345670</v>
          </cell>
          <cell r="H2617" t="str">
            <v>Mayday</v>
          </cell>
          <cell r="I2617">
            <v>0.60416666666666663</v>
          </cell>
          <cell r="J2617">
            <v>0.85416666666666663</v>
          </cell>
          <cell r="K2617">
            <v>5.6666666670000003</v>
          </cell>
          <cell r="L2617">
            <v>182.98</v>
          </cell>
          <cell r="O2617" t="str">
            <v>Y</v>
          </cell>
          <cell r="P2617" t="str">
            <v>N</v>
          </cell>
          <cell r="Q2617" t="str">
            <v>Vacancy</v>
          </cell>
          <cell r="S2617">
            <v>0.15</v>
          </cell>
        </row>
        <row r="2618">
          <cell r="D2618">
            <v>1108003260</v>
          </cell>
          <cell r="E2618" t="str">
            <v>PAT NKOSI</v>
          </cell>
          <cell r="F2618" t="str">
            <v>D (MD)</v>
          </cell>
          <cell r="G2618">
            <v>345662</v>
          </cell>
          <cell r="H2618" t="str">
            <v>Mayday</v>
          </cell>
          <cell r="I2618">
            <v>0.3125</v>
          </cell>
          <cell r="J2618">
            <v>0.60416666666666663</v>
          </cell>
          <cell r="K2618">
            <v>6.6666666670000003</v>
          </cell>
          <cell r="L2618">
            <v>215.27</v>
          </cell>
          <cell r="O2618" t="str">
            <v>Y</v>
          </cell>
          <cell r="P2618" t="str">
            <v>N</v>
          </cell>
          <cell r="Q2618" t="str">
            <v>Vacancy</v>
          </cell>
          <cell r="S2618">
            <v>0.18</v>
          </cell>
        </row>
        <row r="2619">
          <cell r="D2619">
            <v>1108005090</v>
          </cell>
          <cell r="E2619" t="str">
            <v>PEGGY MAPOGO</v>
          </cell>
          <cell r="F2619" t="str">
            <v>D (Ch)</v>
          </cell>
          <cell r="G2619">
            <v>17314</v>
          </cell>
          <cell r="H2619" t="str">
            <v>Choice</v>
          </cell>
          <cell r="I2619">
            <v>0.3125</v>
          </cell>
          <cell r="J2619">
            <v>0.58333333333333337</v>
          </cell>
          <cell r="K2619">
            <v>6.1666666670000003</v>
          </cell>
          <cell r="L2619">
            <v>150.28</v>
          </cell>
          <cell r="O2619" t="str">
            <v>Y</v>
          </cell>
          <cell r="P2619" t="str">
            <v>N</v>
          </cell>
          <cell r="Q2619" t="str">
            <v>On-Call</v>
          </cell>
          <cell r="S2619">
            <v>0.16</v>
          </cell>
        </row>
        <row r="2620">
          <cell r="D2620">
            <v>1108004385</v>
          </cell>
          <cell r="E2620" t="str">
            <v>RAY THWALA</v>
          </cell>
          <cell r="F2620" t="str">
            <v>A (Ch)</v>
          </cell>
          <cell r="G2620">
            <v>17316</v>
          </cell>
          <cell r="H2620" t="str">
            <v>Choice</v>
          </cell>
          <cell r="I2620">
            <v>0.88541666666666663</v>
          </cell>
          <cell r="J2620">
            <v>0.3125</v>
          </cell>
          <cell r="K2620">
            <v>9.25</v>
          </cell>
          <cell r="L2620">
            <v>136.78</v>
          </cell>
          <cell r="O2620" t="str">
            <v>Y</v>
          </cell>
          <cell r="P2620" t="str">
            <v>N</v>
          </cell>
          <cell r="Q2620" t="str">
            <v>Specials</v>
          </cell>
          <cell r="S2620">
            <v>0.25</v>
          </cell>
        </row>
        <row r="2621">
          <cell r="D2621">
            <v>1008004934</v>
          </cell>
          <cell r="E2621" t="str">
            <v>RITCHIE RUBIA</v>
          </cell>
          <cell r="F2621" t="str">
            <v>D (Ch)</v>
          </cell>
          <cell r="G2621">
            <v>17305</v>
          </cell>
          <cell r="H2621" t="str">
            <v>Choice</v>
          </cell>
          <cell r="I2621">
            <v>0.82291666666666663</v>
          </cell>
          <cell r="J2621">
            <v>0.34375</v>
          </cell>
          <cell r="K2621">
            <v>11.5</v>
          </cell>
          <cell r="L2621">
            <v>364.33</v>
          </cell>
          <cell r="O2621" t="str">
            <v>Y</v>
          </cell>
          <cell r="P2621" t="str">
            <v>N</v>
          </cell>
          <cell r="Q2621" t="str">
            <v>Maternity Leave</v>
          </cell>
          <cell r="S2621">
            <v>0.31</v>
          </cell>
        </row>
        <row r="2622">
          <cell r="D2622">
            <v>1108004226</v>
          </cell>
          <cell r="E2622" t="str">
            <v>ROMMEL MAQUEDA</v>
          </cell>
          <cell r="F2622" t="str">
            <v>D (Ch)</v>
          </cell>
          <cell r="H2622" t="str">
            <v>Choice</v>
          </cell>
          <cell r="I2622">
            <v>0.84375</v>
          </cell>
          <cell r="J2622">
            <v>0.3125</v>
          </cell>
          <cell r="K2622">
            <v>10.25</v>
          </cell>
          <cell r="L2622">
            <v>324.73</v>
          </cell>
          <cell r="O2622" t="str">
            <v>Y</v>
          </cell>
          <cell r="P2622" t="str">
            <v>N</v>
          </cell>
          <cell r="Q2622" t="str">
            <v>Under Established</v>
          </cell>
          <cell r="S2622">
            <v>0.27</v>
          </cell>
        </row>
        <row r="2623">
          <cell r="D2623">
            <v>1108004414</v>
          </cell>
          <cell r="E2623" t="str">
            <v>SAM KELEM</v>
          </cell>
          <cell r="F2623" t="str">
            <v>D (Ch)</v>
          </cell>
          <cell r="G2623">
            <v>17301</v>
          </cell>
          <cell r="H2623" t="str">
            <v>Choice</v>
          </cell>
          <cell r="I2623">
            <v>0.875</v>
          </cell>
          <cell r="J2623">
            <v>0.33333333333333331</v>
          </cell>
          <cell r="K2623">
            <v>10.66666667</v>
          </cell>
          <cell r="L2623">
            <v>337.93</v>
          </cell>
          <cell r="O2623" t="str">
            <v>Y</v>
          </cell>
          <cell r="P2623" t="str">
            <v>N</v>
          </cell>
          <cell r="Q2623" t="str">
            <v>Vacancy</v>
          </cell>
          <cell r="S2623">
            <v>0.28000000000000003</v>
          </cell>
        </row>
        <row r="2624">
          <cell r="D2624">
            <v>1108003328</v>
          </cell>
          <cell r="E2624" t="str">
            <v>SAMSON BARACENA</v>
          </cell>
          <cell r="F2624" t="str">
            <v>D (Ch)</v>
          </cell>
          <cell r="G2624">
            <v>17536</v>
          </cell>
          <cell r="H2624" t="str">
            <v>Choice</v>
          </cell>
          <cell r="I2624">
            <v>0.83333333333333337</v>
          </cell>
          <cell r="J2624">
            <v>0.33333333333333331</v>
          </cell>
          <cell r="K2624">
            <v>11.33333333</v>
          </cell>
          <cell r="L2624">
            <v>359.05</v>
          </cell>
          <cell r="O2624" t="str">
            <v>Y</v>
          </cell>
          <cell r="P2624" t="str">
            <v>N</v>
          </cell>
          <cell r="Q2624" t="str">
            <v>Extra Capacity</v>
          </cell>
          <cell r="S2624">
            <v>0.3</v>
          </cell>
        </row>
        <row r="2625">
          <cell r="D2625">
            <v>1108002595</v>
          </cell>
          <cell r="E2625" t="str">
            <v>TAMBU JENA</v>
          </cell>
          <cell r="F2625" t="str">
            <v>D (Ch)</v>
          </cell>
          <cell r="H2625" t="str">
            <v>Choice</v>
          </cell>
          <cell r="I2625">
            <v>0.29166666666666669</v>
          </cell>
          <cell r="J2625">
            <v>0.625</v>
          </cell>
          <cell r="K2625">
            <v>7.5</v>
          </cell>
          <cell r="L2625">
            <v>182.78</v>
          </cell>
          <cell r="O2625" t="str">
            <v>Y</v>
          </cell>
          <cell r="P2625" t="str">
            <v>N</v>
          </cell>
          <cell r="Q2625" t="str">
            <v>Extra Capacity</v>
          </cell>
          <cell r="S2625">
            <v>0.2</v>
          </cell>
        </row>
        <row r="2626">
          <cell r="D2626">
            <v>1108004269</v>
          </cell>
          <cell r="E2626" t="str">
            <v>TAMBU JENA</v>
          </cell>
          <cell r="F2626" t="str">
            <v>D (Ch)</v>
          </cell>
          <cell r="G2626">
            <v>17319</v>
          </cell>
          <cell r="H2626" t="str">
            <v>Choice</v>
          </cell>
          <cell r="I2626">
            <v>0.625</v>
          </cell>
          <cell r="J2626">
            <v>0.89583333333333337</v>
          </cell>
          <cell r="K2626">
            <v>6</v>
          </cell>
          <cell r="L2626">
            <v>146.22</v>
          </cell>
          <cell r="O2626" t="str">
            <v>Y</v>
          </cell>
          <cell r="P2626" t="str">
            <v>N</v>
          </cell>
          <cell r="Q2626" t="str">
            <v>Short Term Sick</v>
          </cell>
          <cell r="S2626">
            <v>0.16</v>
          </cell>
        </row>
        <row r="2627">
          <cell r="D2627">
            <v>1108004441</v>
          </cell>
          <cell r="E2627" t="str">
            <v>TEMBE NGIDI</v>
          </cell>
          <cell r="F2627" t="str">
            <v>D (MD)</v>
          </cell>
          <cell r="G2627">
            <v>344085</v>
          </cell>
          <cell r="H2627" t="str">
            <v>Mayday</v>
          </cell>
          <cell r="I2627">
            <v>0.8125</v>
          </cell>
          <cell r="J2627">
            <v>0.33333333333333331</v>
          </cell>
          <cell r="K2627">
            <v>11.83333333</v>
          </cell>
          <cell r="L2627">
            <v>496.73</v>
          </cell>
          <cell r="O2627" t="str">
            <v>Y</v>
          </cell>
          <cell r="P2627" t="str">
            <v>N</v>
          </cell>
          <cell r="Q2627" t="str">
            <v>Vacancy</v>
          </cell>
          <cell r="S2627">
            <v>0.32</v>
          </cell>
        </row>
        <row r="2628">
          <cell r="D2628">
            <v>1108004565</v>
          </cell>
          <cell r="E2628" t="str">
            <v>TERRY MANWAIRE</v>
          </cell>
          <cell r="F2628" t="str">
            <v>D (Ch)</v>
          </cell>
          <cell r="G2628">
            <v>17311</v>
          </cell>
          <cell r="H2628" t="str">
            <v>Choice</v>
          </cell>
          <cell r="I2628">
            <v>0.875</v>
          </cell>
          <cell r="J2628">
            <v>0.3125</v>
          </cell>
          <cell r="K2628">
            <v>10.16666667</v>
          </cell>
          <cell r="L2628">
            <v>322.08999999999997</v>
          </cell>
          <cell r="O2628" t="str">
            <v>Y</v>
          </cell>
          <cell r="P2628" t="str">
            <v>N</v>
          </cell>
          <cell r="Q2628" t="str">
            <v>Short Term Sick</v>
          </cell>
          <cell r="S2628">
            <v>0.27</v>
          </cell>
        </row>
        <row r="2629">
          <cell r="D2629">
            <v>1108002451</v>
          </cell>
          <cell r="E2629" t="str">
            <v>VICTORIA MAESTRANI</v>
          </cell>
          <cell r="F2629" t="str">
            <v>D (MD)</v>
          </cell>
          <cell r="G2629">
            <v>344309</v>
          </cell>
          <cell r="H2629" t="str">
            <v>Mayday</v>
          </cell>
          <cell r="I2629">
            <v>0.3125</v>
          </cell>
          <cell r="J2629">
            <v>0.60416666666666663</v>
          </cell>
          <cell r="K2629">
            <v>6.6666666670000003</v>
          </cell>
          <cell r="L2629">
            <v>215.27</v>
          </cell>
          <cell r="O2629" t="str">
            <v>Y</v>
          </cell>
          <cell r="P2629" t="str">
            <v>N</v>
          </cell>
          <cell r="Q2629" t="str">
            <v>Short Term Sick</v>
          </cell>
          <cell r="S2629">
            <v>0.18</v>
          </cell>
        </row>
        <row r="2630">
          <cell r="D2630">
            <v>1108004674</v>
          </cell>
          <cell r="E2630" t="str">
            <v>ADEOLA SOGBESAN</v>
          </cell>
          <cell r="F2630" t="str">
            <v>D (MD)</v>
          </cell>
          <cell r="G2630">
            <v>348645</v>
          </cell>
          <cell r="H2630" t="str">
            <v>Mayday</v>
          </cell>
          <cell r="I2630">
            <v>0.3125</v>
          </cell>
          <cell r="J2630">
            <v>0.83333333333333337</v>
          </cell>
          <cell r="K2630">
            <v>11.83333333</v>
          </cell>
          <cell r="L2630">
            <v>496.73</v>
          </cell>
          <cell r="O2630" t="str">
            <v>Y</v>
          </cell>
          <cell r="P2630" t="str">
            <v>N</v>
          </cell>
          <cell r="Q2630" t="str">
            <v>Vacancy</v>
          </cell>
          <cell r="S2630">
            <v>0.32</v>
          </cell>
        </row>
        <row r="2631">
          <cell r="D2631">
            <v>1108002458</v>
          </cell>
          <cell r="E2631" t="str">
            <v>ALLI SUBRAMANIAM</v>
          </cell>
          <cell r="F2631" t="str">
            <v>D (MD)</v>
          </cell>
          <cell r="G2631">
            <v>347730</v>
          </cell>
          <cell r="H2631" t="str">
            <v>Mayday</v>
          </cell>
          <cell r="I2631">
            <v>0.5625</v>
          </cell>
          <cell r="J2631">
            <v>0.85416666666666663</v>
          </cell>
          <cell r="K2631">
            <v>6.6666666670000003</v>
          </cell>
          <cell r="L2631">
            <v>279.85000000000002</v>
          </cell>
          <cell r="O2631" t="str">
            <v>Y</v>
          </cell>
          <cell r="P2631" t="str">
            <v>N</v>
          </cell>
          <cell r="Q2631" t="str">
            <v>Short Term Sick</v>
          </cell>
          <cell r="S2631">
            <v>0.18</v>
          </cell>
        </row>
        <row r="2632">
          <cell r="D2632">
            <v>1108004675</v>
          </cell>
          <cell r="E2632" t="str">
            <v>BRIGHTNESS NDEBELE</v>
          </cell>
          <cell r="F2632" t="str">
            <v>D (MD)</v>
          </cell>
          <cell r="G2632">
            <v>344076</v>
          </cell>
          <cell r="H2632" t="str">
            <v>Mayday</v>
          </cell>
          <cell r="I2632">
            <v>0.8125</v>
          </cell>
          <cell r="J2632">
            <v>0.33333333333333331</v>
          </cell>
          <cell r="K2632">
            <v>11.83333333</v>
          </cell>
          <cell r="L2632">
            <v>496.73</v>
          </cell>
          <cell r="O2632" t="str">
            <v>Y</v>
          </cell>
          <cell r="P2632" t="str">
            <v>N</v>
          </cell>
          <cell r="Q2632" t="str">
            <v>Vacancy</v>
          </cell>
          <cell r="S2632">
            <v>0.32</v>
          </cell>
        </row>
        <row r="2633">
          <cell r="D2633">
            <v>1108005073</v>
          </cell>
          <cell r="E2633" t="str">
            <v>CATH CHIDAVAYENZI</v>
          </cell>
          <cell r="F2633" t="str">
            <v>D (Ch)</v>
          </cell>
          <cell r="G2633">
            <v>17302</v>
          </cell>
          <cell r="H2633" t="str">
            <v>Choice</v>
          </cell>
          <cell r="I2633">
            <v>0.83333333333333337</v>
          </cell>
          <cell r="J2633">
            <v>0.33333333333333331</v>
          </cell>
          <cell r="K2633">
            <v>11.33333333</v>
          </cell>
          <cell r="L2633">
            <v>359.05</v>
          </cell>
          <cell r="O2633" t="str">
            <v>Y</v>
          </cell>
          <cell r="P2633" t="str">
            <v>N</v>
          </cell>
          <cell r="Q2633" t="str">
            <v>On-Call</v>
          </cell>
          <cell r="S2633">
            <v>0.3</v>
          </cell>
        </row>
        <row r="2634">
          <cell r="D2634">
            <v>1108004386</v>
          </cell>
          <cell r="E2634" t="str">
            <v>DAMILOLA AIKI</v>
          </cell>
          <cell r="F2634" t="str">
            <v>A (Ch)</v>
          </cell>
          <cell r="G2634">
            <v>17316</v>
          </cell>
          <cell r="H2634" t="str">
            <v>Choice</v>
          </cell>
          <cell r="I2634">
            <v>0.29166666666666669</v>
          </cell>
          <cell r="J2634">
            <v>0.54166666666666663</v>
          </cell>
          <cell r="K2634">
            <v>5.75</v>
          </cell>
          <cell r="L2634">
            <v>85.02</v>
          </cell>
          <cell r="O2634" t="str">
            <v>Y</v>
          </cell>
          <cell r="P2634" t="str">
            <v>N</v>
          </cell>
          <cell r="Q2634" t="str">
            <v>Specials</v>
          </cell>
          <cell r="S2634">
            <v>0.15</v>
          </cell>
        </row>
        <row r="2635">
          <cell r="D2635">
            <v>1108005075</v>
          </cell>
          <cell r="E2635" t="str">
            <v>DONALD YANZA</v>
          </cell>
          <cell r="F2635" t="str">
            <v>D (Ch)</v>
          </cell>
          <cell r="G2635">
            <v>17311</v>
          </cell>
          <cell r="H2635" t="str">
            <v>Choice</v>
          </cell>
          <cell r="I2635">
            <v>0.875</v>
          </cell>
          <cell r="J2635">
            <v>0.3125</v>
          </cell>
          <cell r="K2635">
            <v>10.16666667</v>
          </cell>
          <cell r="L2635">
            <v>322.08999999999997</v>
          </cell>
          <cell r="O2635" t="str">
            <v>Y</v>
          </cell>
          <cell r="P2635" t="str">
            <v>N</v>
          </cell>
          <cell r="Q2635" t="str">
            <v>On-Call</v>
          </cell>
          <cell r="S2635">
            <v>0.27</v>
          </cell>
        </row>
        <row r="2636">
          <cell r="D2636">
            <v>1008004994</v>
          </cell>
          <cell r="E2636" t="str">
            <v>DOROTHY MUTHWA</v>
          </cell>
          <cell r="F2636" t="str">
            <v>A (Ch)</v>
          </cell>
          <cell r="G2636">
            <v>17316</v>
          </cell>
          <cell r="H2636" t="str">
            <v>Choice</v>
          </cell>
          <cell r="I2636">
            <v>0.29166666666666669</v>
          </cell>
          <cell r="J2636">
            <v>0.54166666666666663</v>
          </cell>
          <cell r="K2636">
            <v>5.75</v>
          </cell>
          <cell r="L2636">
            <v>85.02</v>
          </cell>
          <cell r="O2636" t="str">
            <v>Y</v>
          </cell>
          <cell r="P2636" t="str">
            <v>N</v>
          </cell>
          <cell r="Q2636" t="str">
            <v>Vacancy</v>
          </cell>
          <cell r="S2636">
            <v>0.15</v>
          </cell>
        </row>
        <row r="2637">
          <cell r="D2637">
            <v>1108004673</v>
          </cell>
          <cell r="E2637" t="str">
            <v>ELLEN HALCROW</v>
          </cell>
          <cell r="F2637" t="str">
            <v>D (Amb)</v>
          </cell>
          <cell r="G2637">
            <v>758914</v>
          </cell>
          <cell r="H2637" t="str">
            <v>Ambition</v>
          </cell>
          <cell r="I2637">
            <v>0.5</v>
          </cell>
          <cell r="J2637">
            <v>0.83333333333333337</v>
          </cell>
          <cell r="K2637">
            <v>7.6666666670000003</v>
          </cell>
          <cell r="L2637">
            <v>389.7</v>
          </cell>
          <cell r="O2637" t="str">
            <v>Y</v>
          </cell>
          <cell r="P2637" t="str">
            <v>N</v>
          </cell>
          <cell r="Q2637" t="str">
            <v>Vacancy</v>
          </cell>
          <cell r="S2637">
            <v>0.2</v>
          </cell>
        </row>
        <row r="2638">
          <cell r="D2638">
            <v>1108004677</v>
          </cell>
          <cell r="E2638" t="str">
            <v>EUNICE ADEBANJO</v>
          </cell>
          <cell r="F2638" t="str">
            <v>D (Ch)</v>
          </cell>
          <cell r="H2638" t="str">
            <v>Choice</v>
          </cell>
          <cell r="I2638">
            <v>0.8125</v>
          </cell>
          <cell r="J2638">
            <v>0.33333333333333331</v>
          </cell>
          <cell r="K2638">
            <v>11.83333333</v>
          </cell>
          <cell r="L2638">
            <v>374.89</v>
          </cell>
          <cell r="O2638" t="str">
            <v>Y</v>
          </cell>
          <cell r="P2638" t="str">
            <v>N</v>
          </cell>
          <cell r="Q2638" t="str">
            <v>Vacancy</v>
          </cell>
          <cell r="S2638">
            <v>0.32</v>
          </cell>
        </row>
        <row r="2639">
          <cell r="D2639">
            <v>1108004642</v>
          </cell>
          <cell r="E2639" t="str">
            <v>HELEN SMITHSON</v>
          </cell>
          <cell r="F2639" t="str">
            <v>5 General (Adva</v>
          </cell>
          <cell r="H2639" t="str">
            <v>Advantage</v>
          </cell>
          <cell r="I2639">
            <v>0.8125</v>
          </cell>
          <cell r="J2639">
            <v>0.33333333333333331</v>
          </cell>
          <cell r="K2639">
            <v>11.83333333</v>
          </cell>
          <cell r="L2639">
            <v>246.75</v>
          </cell>
          <cell r="O2639" t="str">
            <v>Y</v>
          </cell>
          <cell r="P2639" t="str">
            <v>N</v>
          </cell>
          <cell r="Q2639" t="str">
            <v>Vacancy</v>
          </cell>
          <cell r="S2639">
            <v>0.32</v>
          </cell>
        </row>
        <row r="2640">
          <cell r="D2640">
            <v>1108005074</v>
          </cell>
          <cell r="E2640" t="str">
            <v>JOY MABITLE</v>
          </cell>
          <cell r="F2640" t="str">
            <v>D (MD)</v>
          </cell>
          <cell r="G2640">
            <v>361146</v>
          </cell>
          <cell r="H2640" t="str">
            <v>Mayday</v>
          </cell>
          <cell r="I2640">
            <v>0.875</v>
          </cell>
          <cell r="J2640">
            <v>0.30208333333333331</v>
          </cell>
          <cell r="K2640">
            <v>9.9166666669999994</v>
          </cell>
          <cell r="L2640">
            <v>416.27</v>
          </cell>
          <cell r="O2640" t="str">
            <v>Y</v>
          </cell>
          <cell r="P2640" t="str">
            <v>N</v>
          </cell>
          <cell r="Q2640" t="str">
            <v>On-Call</v>
          </cell>
          <cell r="S2640">
            <v>0.26</v>
          </cell>
        </row>
        <row r="2641">
          <cell r="D2641">
            <v>1108003921</v>
          </cell>
          <cell r="E2641" t="str">
            <v>KATIE KEAVENEY</v>
          </cell>
          <cell r="F2641" t="str">
            <v>D (MD)</v>
          </cell>
          <cell r="G2641">
            <v>344258</v>
          </cell>
          <cell r="H2641" t="str">
            <v>Mayday</v>
          </cell>
          <cell r="I2641">
            <v>0.58333333333333337</v>
          </cell>
          <cell r="J2641">
            <v>0.875</v>
          </cell>
          <cell r="K2641">
            <v>7</v>
          </cell>
          <cell r="L2641">
            <v>293.83999999999997</v>
          </cell>
          <cell r="O2641" t="str">
            <v>Y</v>
          </cell>
          <cell r="P2641" t="str">
            <v>N</v>
          </cell>
          <cell r="Q2641" t="str">
            <v>Vacancy</v>
          </cell>
          <cell r="S2641">
            <v>0.19</v>
          </cell>
        </row>
        <row r="2642">
          <cell r="D2642">
            <v>1108005085</v>
          </cell>
          <cell r="E2642" t="str">
            <v>NIKKI ANDERTON</v>
          </cell>
          <cell r="F2642" t="str">
            <v>D (MD)</v>
          </cell>
          <cell r="G2642">
            <v>345661</v>
          </cell>
          <cell r="H2642" t="str">
            <v>Mayday</v>
          </cell>
          <cell r="I2642">
            <v>0.52083333333333337</v>
          </cell>
          <cell r="J2642">
            <v>0.85416666666666663</v>
          </cell>
          <cell r="K2642">
            <v>7.5</v>
          </cell>
          <cell r="L2642">
            <v>314.83</v>
          </cell>
          <cell r="O2642" t="str">
            <v>Y</v>
          </cell>
          <cell r="P2642" t="str">
            <v>N</v>
          </cell>
          <cell r="Q2642" t="str">
            <v>Short Term Sick</v>
          </cell>
          <cell r="S2642">
            <v>0.2</v>
          </cell>
        </row>
        <row r="2643">
          <cell r="D2643">
            <v>1108003330</v>
          </cell>
          <cell r="E2643" t="str">
            <v>NILO DANUGO</v>
          </cell>
          <cell r="F2643" t="str">
            <v>D (Ch)</v>
          </cell>
          <cell r="G2643">
            <v>17319</v>
          </cell>
          <cell r="H2643" t="str">
            <v>Choice</v>
          </cell>
          <cell r="I2643">
            <v>0.83333333333333337</v>
          </cell>
          <cell r="J2643">
            <v>0.33333333333333331</v>
          </cell>
          <cell r="K2643">
            <v>11.33333333</v>
          </cell>
          <cell r="L2643">
            <v>359.05</v>
          </cell>
          <cell r="O2643" t="str">
            <v>Y</v>
          </cell>
          <cell r="P2643" t="str">
            <v>N</v>
          </cell>
          <cell r="Q2643" t="str">
            <v>Extra Capacity</v>
          </cell>
          <cell r="S2643">
            <v>0.3</v>
          </cell>
        </row>
        <row r="2644">
          <cell r="D2644">
            <v>1108002376</v>
          </cell>
          <cell r="E2644" t="str">
            <v>PEGGY MAPOGO</v>
          </cell>
          <cell r="F2644" t="str">
            <v>D (Ch)</v>
          </cell>
          <cell r="G2644">
            <v>17381</v>
          </cell>
          <cell r="H2644" t="str">
            <v>Choice</v>
          </cell>
          <cell r="I2644">
            <v>0.625</v>
          </cell>
          <cell r="J2644">
            <v>0.90625</v>
          </cell>
          <cell r="K2644">
            <v>6.75</v>
          </cell>
          <cell r="L2644">
            <v>213.85</v>
          </cell>
          <cell r="O2644" t="str">
            <v>Y</v>
          </cell>
          <cell r="P2644" t="str">
            <v>N</v>
          </cell>
          <cell r="Q2644" t="str">
            <v>Extra Capacity</v>
          </cell>
          <cell r="S2644">
            <v>0.18</v>
          </cell>
        </row>
        <row r="2645">
          <cell r="D2645">
            <v>1108003331</v>
          </cell>
          <cell r="E2645" t="str">
            <v>SAMSON BARACENA</v>
          </cell>
          <cell r="F2645" t="str">
            <v>D (Ch)</v>
          </cell>
          <cell r="G2645">
            <v>17319</v>
          </cell>
          <cell r="H2645" t="str">
            <v>Choice</v>
          </cell>
          <cell r="I2645">
            <v>0.83333333333333337</v>
          </cell>
          <cell r="J2645">
            <v>0.33333333333333331</v>
          </cell>
          <cell r="K2645">
            <v>11.33333333</v>
          </cell>
          <cell r="L2645">
            <v>359.05</v>
          </cell>
          <cell r="O2645" t="str">
            <v>Y</v>
          </cell>
          <cell r="P2645" t="str">
            <v>N</v>
          </cell>
          <cell r="Q2645" t="str">
            <v>Extra Capacity</v>
          </cell>
          <cell r="S2645">
            <v>0.3</v>
          </cell>
        </row>
        <row r="2646">
          <cell r="D2646">
            <v>1108003295</v>
          </cell>
          <cell r="E2646" t="str">
            <v>TAMBU JENA</v>
          </cell>
          <cell r="F2646" t="str">
            <v>D (Ch)</v>
          </cell>
          <cell r="G2646">
            <v>17325</v>
          </cell>
          <cell r="H2646" t="str">
            <v>Choice</v>
          </cell>
          <cell r="I2646">
            <v>0.3125</v>
          </cell>
          <cell r="J2646">
            <v>0.625</v>
          </cell>
          <cell r="K2646">
            <v>7.1666666670000003</v>
          </cell>
          <cell r="L2646">
            <v>227.05</v>
          </cell>
          <cell r="O2646" t="str">
            <v>Y</v>
          </cell>
          <cell r="P2646" t="str">
            <v>N</v>
          </cell>
          <cell r="Q2646" t="str">
            <v>Extra Capacity</v>
          </cell>
          <cell r="S2646">
            <v>0.19</v>
          </cell>
        </row>
        <row r="2647">
          <cell r="D2647">
            <v>1108003310</v>
          </cell>
          <cell r="E2647" t="str">
            <v>TAMBU JENA</v>
          </cell>
          <cell r="F2647" t="str">
            <v>D (Ch)</v>
          </cell>
          <cell r="H2647" t="str">
            <v>Choice</v>
          </cell>
          <cell r="I2647">
            <v>0.625</v>
          </cell>
          <cell r="J2647">
            <v>0.85416666666666663</v>
          </cell>
          <cell r="K2647">
            <v>5.5</v>
          </cell>
          <cell r="L2647">
            <v>174.25</v>
          </cell>
          <cell r="O2647" t="str">
            <v>Y</v>
          </cell>
          <cell r="P2647" t="str">
            <v>N</v>
          </cell>
          <cell r="Q2647" t="str">
            <v>Extra Capacity</v>
          </cell>
          <cell r="S2647">
            <v>0.15</v>
          </cell>
        </row>
        <row r="2648">
          <cell r="D2648">
            <v>1108002457</v>
          </cell>
          <cell r="E2648" t="str">
            <v>VICTORIA MAESTRANI</v>
          </cell>
          <cell r="F2648" t="str">
            <v>D (MD)</v>
          </cell>
          <cell r="G2648">
            <v>344282</v>
          </cell>
          <cell r="H2648" t="str">
            <v>Mayday</v>
          </cell>
          <cell r="I2648">
            <v>0.5625</v>
          </cell>
          <cell r="J2648">
            <v>0.85416666666666663</v>
          </cell>
          <cell r="K2648">
            <v>6.6666666670000003</v>
          </cell>
          <cell r="L2648">
            <v>279.85000000000002</v>
          </cell>
          <cell r="O2648" t="str">
            <v>Y</v>
          </cell>
          <cell r="P2648" t="str">
            <v>N</v>
          </cell>
          <cell r="Q2648" t="str">
            <v>Short Term Sick</v>
          </cell>
          <cell r="S2648">
            <v>0.18</v>
          </cell>
        </row>
        <row r="2649">
          <cell r="D2649">
            <v>1108002456</v>
          </cell>
          <cell r="E2649" t="str">
            <v>WAKAMUZI MOYO</v>
          </cell>
          <cell r="F2649" t="str">
            <v>D (Ch)</v>
          </cell>
          <cell r="H2649" t="str">
            <v>Choice</v>
          </cell>
          <cell r="I2649">
            <v>0.3125</v>
          </cell>
          <cell r="J2649">
            <v>0.60416666666666663</v>
          </cell>
          <cell r="K2649">
            <v>6.6666666670000003</v>
          </cell>
          <cell r="L2649">
            <v>211.21</v>
          </cell>
          <cell r="O2649" t="str">
            <v>Y</v>
          </cell>
          <cell r="P2649" t="str">
            <v>N</v>
          </cell>
          <cell r="Q2649" t="str">
            <v>Short Term Sick</v>
          </cell>
          <cell r="S2649">
            <v>0.18</v>
          </cell>
        </row>
        <row r="2650">
          <cell r="D2650">
            <v>1108004678</v>
          </cell>
          <cell r="E2650" t="str">
            <v>ADEOLA SOGBESAN</v>
          </cell>
          <cell r="F2650" t="str">
            <v>D (MD)</v>
          </cell>
          <cell r="G2650">
            <v>348645</v>
          </cell>
          <cell r="H2650" t="str">
            <v>Mayday</v>
          </cell>
          <cell r="I2650">
            <v>0.3125</v>
          </cell>
          <cell r="J2650">
            <v>0.83333333333333337</v>
          </cell>
          <cell r="K2650">
            <v>11.83333333</v>
          </cell>
          <cell r="L2650">
            <v>611.36</v>
          </cell>
          <cell r="O2650" t="str">
            <v>Y</v>
          </cell>
          <cell r="P2650" t="str">
            <v>N</v>
          </cell>
          <cell r="Q2650" t="str">
            <v>Vacancy</v>
          </cell>
          <cell r="S2650">
            <v>0.32</v>
          </cell>
        </row>
        <row r="2651">
          <cell r="D2651">
            <v>1108005091</v>
          </cell>
          <cell r="E2651" t="str">
            <v>BERNADETTE SHINYA-NDUNUWANI</v>
          </cell>
          <cell r="F2651" t="str">
            <v>D (MD)</v>
          </cell>
          <cell r="G2651">
            <v>345626</v>
          </cell>
          <cell r="H2651" t="str">
            <v>Mayday</v>
          </cell>
          <cell r="I2651">
            <v>0.3125</v>
          </cell>
          <cell r="J2651">
            <v>0.85416666666666663</v>
          </cell>
          <cell r="K2651">
            <v>12.5</v>
          </cell>
          <cell r="L2651">
            <v>645.79999999999995</v>
          </cell>
          <cell r="O2651" t="str">
            <v>Y</v>
          </cell>
          <cell r="P2651" t="str">
            <v>N</v>
          </cell>
          <cell r="Q2651" t="str">
            <v>Short Term Sick</v>
          </cell>
          <cell r="S2651">
            <v>0.33</v>
          </cell>
        </row>
        <row r="2652">
          <cell r="D2652">
            <v>1108004980</v>
          </cell>
          <cell r="E2652" t="str">
            <v>BIDDY CHAFESUKA</v>
          </cell>
          <cell r="F2652" t="str">
            <v>D (Ch)</v>
          </cell>
          <cell r="G2652">
            <v>17322</v>
          </cell>
          <cell r="H2652" t="str">
            <v>Choice</v>
          </cell>
          <cell r="I2652">
            <v>0.33333333333333331</v>
          </cell>
          <cell r="J2652">
            <v>0.83333333333333337</v>
          </cell>
          <cell r="K2652">
            <v>11.33333333</v>
          </cell>
          <cell r="L2652">
            <v>441.91</v>
          </cell>
          <cell r="O2652" t="str">
            <v>Y</v>
          </cell>
          <cell r="P2652" t="str">
            <v>N</v>
          </cell>
          <cell r="Q2652" t="str">
            <v>Short Term Sick</v>
          </cell>
          <cell r="S2652">
            <v>0.3</v>
          </cell>
        </row>
        <row r="2653">
          <cell r="D2653">
            <v>1108004684</v>
          </cell>
          <cell r="E2653" t="str">
            <v>BRIGHTNESS NDEBELE</v>
          </cell>
          <cell r="F2653" t="str">
            <v>D (MD)</v>
          </cell>
          <cell r="G2653">
            <v>344072</v>
          </cell>
          <cell r="H2653" t="str">
            <v>Mayday</v>
          </cell>
          <cell r="I2653">
            <v>0.8125</v>
          </cell>
          <cell r="J2653">
            <v>0.33333333333333331</v>
          </cell>
          <cell r="K2653">
            <v>11.83333333</v>
          </cell>
          <cell r="L2653">
            <v>611.36</v>
          </cell>
          <cell r="O2653" t="str">
            <v>Y</v>
          </cell>
          <cell r="P2653" t="str">
            <v>N</v>
          </cell>
          <cell r="Q2653" t="str">
            <v>Vacancy</v>
          </cell>
          <cell r="S2653">
            <v>0.32</v>
          </cell>
        </row>
        <row r="2654">
          <cell r="D2654">
            <v>1108005194</v>
          </cell>
          <cell r="E2654" t="str">
            <v>CAROLINE DEABILL</v>
          </cell>
          <cell r="F2654" t="str">
            <v>2 General (Adva</v>
          </cell>
          <cell r="H2654" t="str">
            <v>Advantage</v>
          </cell>
          <cell r="I2654">
            <v>0.88541666666666663</v>
          </cell>
          <cell r="J2654">
            <v>0.3125</v>
          </cell>
          <cell r="K2654">
            <v>9.25</v>
          </cell>
          <cell r="L2654">
            <v>142.91</v>
          </cell>
          <cell r="O2654" t="str">
            <v>Y</v>
          </cell>
          <cell r="P2654" t="str">
            <v>N</v>
          </cell>
          <cell r="Q2654" t="str">
            <v>Specials</v>
          </cell>
          <cell r="S2654">
            <v>0.25</v>
          </cell>
        </row>
        <row r="2655">
          <cell r="D2655">
            <v>1108004943</v>
          </cell>
          <cell r="E2655" t="str">
            <v>COLLEN SIBANDA</v>
          </cell>
          <cell r="F2655" t="str">
            <v>D (Ch)</v>
          </cell>
          <cell r="H2655" t="str">
            <v>Choice</v>
          </cell>
          <cell r="I2655">
            <v>0.54166666666666663</v>
          </cell>
          <cell r="J2655">
            <v>0.85416666666666663</v>
          </cell>
          <cell r="K2655">
            <v>6</v>
          </cell>
          <cell r="L2655">
            <v>233.95</v>
          </cell>
          <cell r="O2655" t="str">
            <v>Y</v>
          </cell>
          <cell r="P2655" t="str">
            <v>N</v>
          </cell>
          <cell r="Q2655" t="str">
            <v>On-Call</v>
          </cell>
          <cell r="S2655">
            <v>0.16</v>
          </cell>
        </row>
        <row r="2656">
          <cell r="D2656">
            <v>1108004389</v>
          </cell>
          <cell r="E2656" t="str">
            <v>CRAIG CALCOTT</v>
          </cell>
          <cell r="F2656" t="str">
            <v>2 General (Adva</v>
          </cell>
          <cell r="H2656" t="str">
            <v>Advantage</v>
          </cell>
          <cell r="I2656">
            <v>0.29166666666666669</v>
          </cell>
          <cell r="J2656">
            <v>0.625</v>
          </cell>
          <cell r="K2656">
            <v>7.6666666670000003</v>
          </cell>
          <cell r="L2656">
            <v>118.45</v>
          </cell>
          <cell r="O2656" t="str">
            <v>Y</v>
          </cell>
          <cell r="P2656" t="str">
            <v>N</v>
          </cell>
          <cell r="Q2656" t="str">
            <v>Specials</v>
          </cell>
          <cell r="S2656">
            <v>0.2</v>
          </cell>
        </row>
        <row r="2657">
          <cell r="D2657">
            <v>1108004444</v>
          </cell>
          <cell r="E2657" t="str">
            <v>CRAIG CALCOTT</v>
          </cell>
          <cell r="F2657" t="str">
            <v>2 General (Adva</v>
          </cell>
          <cell r="H2657" t="str">
            <v>Advantage</v>
          </cell>
          <cell r="I2657">
            <v>0.625</v>
          </cell>
          <cell r="J2657">
            <v>0.875</v>
          </cell>
          <cell r="K2657">
            <v>5.75</v>
          </cell>
          <cell r="L2657">
            <v>88.84</v>
          </cell>
          <cell r="O2657" t="str">
            <v>Y</v>
          </cell>
          <cell r="P2657" t="str">
            <v>N</v>
          </cell>
          <cell r="Q2657" t="str">
            <v>Nurse Moved</v>
          </cell>
          <cell r="S2657">
            <v>0.15</v>
          </cell>
        </row>
        <row r="2658">
          <cell r="D2658">
            <v>1008007294</v>
          </cell>
          <cell r="E2658" t="str">
            <v>DOROTHY MUTHWA</v>
          </cell>
          <cell r="F2658" t="str">
            <v>A (Ch)</v>
          </cell>
          <cell r="G2658">
            <v>17312</v>
          </cell>
          <cell r="H2658" t="str">
            <v>Choice</v>
          </cell>
          <cell r="I2658">
            <v>0.3125</v>
          </cell>
          <cell r="J2658">
            <v>0.5625</v>
          </cell>
          <cell r="K2658">
            <v>5.6666666670000003</v>
          </cell>
          <cell r="L2658">
            <v>104.74</v>
          </cell>
          <cell r="O2658" t="str">
            <v>Y</v>
          </cell>
          <cell r="P2658" t="str">
            <v>N</v>
          </cell>
          <cell r="Q2658" t="str">
            <v>Vacancy</v>
          </cell>
          <cell r="S2658">
            <v>0.15</v>
          </cell>
        </row>
        <row r="2659">
          <cell r="D2659">
            <v>1108004683</v>
          </cell>
          <cell r="E2659" t="str">
            <v>ELENOR PARAZO</v>
          </cell>
          <cell r="F2659" t="str">
            <v>D (MD)</v>
          </cell>
          <cell r="G2659">
            <v>344079</v>
          </cell>
          <cell r="H2659" t="str">
            <v>Mayday</v>
          </cell>
          <cell r="I2659">
            <v>0.8125</v>
          </cell>
          <cell r="J2659">
            <v>0.33333333333333331</v>
          </cell>
          <cell r="K2659">
            <v>11.83333333</v>
          </cell>
          <cell r="L2659">
            <v>611.36</v>
          </cell>
          <cell r="O2659" t="str">
            <v>Y</v>
          </cell>
          <cell r="P2659" t="str">
            <v>N</v>
          </cell>
          <cell r="Q2659" t="str">
            <v>Vacancy</v>
          </cell>
          <cell r="S2659">
            <v>0.32</v>
          </cell>
        </row>
        <row r="2660">
          <cell r="D2660">
            <v>1008004080</v>
          </cell>
          <cell r="E2660" t="str">
            <v>EVELYN PANESA</v>
          </cell>
          <cell r="F2660" t="str">
            <v>D (Ch)</v>
          </cell>
          <cell r="G2660">
            <v>17300</v>
          </cell>
          <cell r="H2660" t="str">
            <v>Choice</v>
          </cell>
          <cell r="I2660">
            <v>0.83333333333333337</v>
          </cell>
          <cell r="J2660">
            <v>0.33333333333333331</v>
          </cell>
          <cell r="K2660">
            <v>11.33333333</v>
          </cell>
          <cell r="L2660">
            <v>441.91</v>
          </cell>
          <cell r="O2660" t="str">
            <v>Y</v>
          </cell>
          <cell r="P2660" t="str">
            <v>N</v>
          </cell>
          <cell r="Q2660" t="str">
            <v>Vacancy</v>
          </cell>
          <cell r="S2660">
            <v>0.3</v>
          </cell>
        </row>
        <row r="2661">
          <cell r="D2661">
            <v>1108003332</v>
          </cell>
          <cell r="E2661" t="str">
            <v>GLENDA RONA</v>
          </cell>
          <cell r="F2661" t="str">
            <v>D (Ch)</v>
          </cell>
          <cell r="H2661" t="str">
            <v>Choice</v>
          </cell>
          <cell r="I2661">
            <v>0.83333333333333337</v>
          </cell>
          <cell r="J2661">
            <v>0.33333333333333331</v>
          </cell>
          <cell r="K2661">
            <v>11.33333333</v>
          </cell>
          <cell r="L2661">
            <v>441.91</v>
          </cell>
          <cell r="O2661" t="str">
            <v>Y</v>
          </cell>
          <cell r="P2661" t="str">
            <v>N</v>
          </cell>
          <cell r="Q2661" t="str">
            <v>Extra Capacity</v>
          </cell>
          <cell r="S2661">
            <v>0.3</v>
          </cell>
        </row>
        <row r="2662">
          <cell r="D2662">
            <v>1108004679</v>
          </cell>
          <cell r="E2662" t="str">
            <v>GRACE NDABAMBI</v>
          </cell>
          <cell r="F2662" t="str">
            <v>D (Amb)</v>
          </cell>
          <cell r="G2662">
            <v>760747</v>
          </cell>
          <cell r="H2662" t="str">
            <v>Ambition</v>
          </cell>
          <cell r="I2662">
            <v>0.3125</v>
          </cell>
          <cell r="J2662">
            <v>0.83333333333333337</v>
          </cell>
          <cell r="K2662">
            <v>11.83333333</v>
          </cell>
          <cell r="L2662">
            <v>740.29</v>
          </cell>
          <cell r="O2662" t="str">
            <v>Y</v>
          </cell>
          <cell r="P2662" t="str">
            <v>N</v>
          </cell>
          <cell r="Q2662" t="str">
            <v>Vacancy</v>
          </cell>
          <cell r="S2662">
            <v>0.32</v>
          </cell>
        </row>
        <row r="2663">
          <cell r="D2663">
            <v>1108004643</v>
          </cell>
          <cell r="E2663" t="str">
            <v>HELEN SMITHSON</v>
          </cell>
          <cell r="F2663" t="str">
            <v>5 General (Adva</v>
          </cell>
          <cell r="H2663" t="str">
            <v>Advantage</v>
          </cell>
          <cell r="I2663">
            <v>0.8125</v>
          </cell>
          <cell r="J2663">
            <v>0.33333333333333331</v>
          </cell>
          <cell r="K2663">
            <v>11.83333333</v>
          </cell>
          <cell r="L2663">
            <v>303.69</v>
          </cell>
          <cell r="O2663" t="str">
            <v>Y</v>
          </cell>
          <cell r="P2663" t="str">
            <v>N</v>
          </cell>
          <cell r="Q2663" t="str">
            <v>Vacancy</v>
          </cell>
          <cell r="S2663">
            <v>0.32</v>
          </cell>
        </row>
        <row r="2664">
          <cell r="D2664">
            <v>1108004947</v>
          </cell>
          <cell r="E2664" t="str">
            <v>JASMINE ESGUERRA</v>
          </cell>
          <cell r="F2664" t="str">
            <v>D (Ch)</v>
          </cell>
          <cell r="H2664" t="str">
            <v>Choice</v>
          </cell>
          <cell r="I2664">
            <v>0.30208333333333331</v>
          </cell>
          <cell r="J2664">
            <v>0.89583333333333337</v>
          </cell>
          <cell r="K2664">
            <v>12.33333333</v>
          </cell>
          <cell r="L2664">
            <v>480.9</v>
          </cell>
          <cell r="O2664" t="str">
            <v>Y</v>
          </cell>
          <cell r="P2664" t="str">
            <v>N</v>
          </cell>
          <cell r="Q2664" t="str">
            <v>On-Call</v>
          </cell>
          <cell r="S2664">
            <v>0.33</v>
          </cell>
        </row>
        <row r="2665">
          <cell r="D2665">
            <v>1108002003</v>
          </cell>
          <cell r="E2665" t="str">
            <v>LORRAINE WAFAWANAKA</v>
          </cell>
          <cell r="F2665" t="str">
            <v>D (Amb)</v>
          </cell>
          <cell r="G2665">
            <v>760749</v>
          </cell>
          <cell r="H2665" t="str">
            <v>Ambition</v>
          </cell>
          <cell r="I2665">
            <v>0.8125</v>
          </cell>
          <cell r="J2665">
            <v>0.33333333333333331</v>
          </cell>
          <cell r="K2665">
            <v>11.83333333</v>
          </cell>
          <cell r="L2665">
            <v>740.29</v>
          </cell>
          <cell r="O2665" t="str">
            <v>Y</v>
          </cell>
          <cell r="P2665" t="str">
            <v>N</v>
          </cell>
          <cell r="Q2665" t="str">
            <v>Long Term Sick</v>
          </cell>
          <cell r="S2665">
            <v>0.32</v>
          </cell>
        </row>
        <row r="2666">
          <cell r="D2666">
            <v>1108004644</v>
          </cell>
          <cell r="E2666" t="str">
            <v>MARCY ELY</v>
          </cell>
          <cell r="F2666" t="str">
            <v>5 General (Adva</v>
          </cell>
          <cell r="H2666" t="str">
            <v>Advantage</v>
          </cell>
          <cell r="I2666">
            <v>0.3125</v>
          </cell>
          <cell r="J2666">
            <v>0.83333333333333337</v>
          </cell>
          <cell r="K2666">
            <v>7.6666666670000003</v>
          </cell>
          <cell r="L2666">
            <v>196.76</v>
          </cell>
          <cell r="O2666" t="str">
            <v>Y</v>
          </cell>
          <cell r="P2666" t="str">
            <v>N</v>
          </cell>
          <cell r="Q2666" t="str">
            <v>Vacancy</v>
          </cell>
          <cell r="S2666">
            <v>0.2</v>
          </cell>
        </row>
        <row r="2667">
          <cell r="D2667">
            <v>1108003562</v>
          </cell>
          <cell r="E2667" t="str">
            <v>MARIA LINGAT</v>
          </cell>
          <cell r="F2667" t="str">
            <v>D (Ch)</v>
          </cell>
          <cell r="G2667">
            <v>17378</v>
          </cell>
          <cell r="H2667" t="str">
            <v>Choice</v>
          </cell>
          <cell r="I2667">
            <v>0.875</v>
          </cell>
          <cell r="J2667">
            <v>0.3125</v>
          </cell>
          <cell r="K2667">
            <v>10.16666667</v>
          </cell>
          <cell r="L2667">
            <v>396.42</v>
          </cell>
          <cell r="O2667" t="str">
            <v>Y</v>
          </cell>
          <cell r="P2667" t="str">
            <v>N</v>
          </cell>
          <cell r="Q2667" t="str">
            <v>Vacancy</v>
          </cell>
          <cell r="S2667">
            <v>0.27</v>
          </cell>
        </row>
        <row r="2668">
          <cell r="D2668">
            <v>1108003333</v>
          </cell>
          <cell r="E2668" t="str">
            <v>NILO DANUGO</v>
          </cell>
          <cell r="F2668" t="str">
            <v>D (Ch)</v>
          </cell>
          <cell r="H2668" t="str">
            <v>Choice</v>
          </cell>
          <cell r="I2668">
            <v>0.83333333333333337</v>
          </cell>
          <cell r="J2668">
            <v>0.33333333333333331</v>
          </cell>
          <cell r="K2668">
            <v>11.33333333</v>
          </cell>
          <cell r="L2668">
            <v>441.91</v>
          </cell>
          <cell r="O2668" t="str">
            <v>Y</v>
          </cell>
          <cell r="P2668" t="str">
            <v>N</v>
          </cell>
          <cell r="Q2668" t="str">
            <v>Extra Capacity</v>
          </cell>
          <cell r="S2668">
            <v>0.3</v>
          </cell>
        </row>
        <row r="2669">
          <cell r="D2669">
            <v>1108002391</v>
          </cell>
          <cell r="E2669" t="str">
            <v>RODA RAMERIZ</v>
          </cell>
          <cell r="F2669" t="str">
            <v>D (Ch)</v>
          </cell>
          <cell r="G2669">
            <v>17311</v>
          </cell>
          <cell r="H2669" t="str">
            <v>Choice</v>
          </cell>
          <cell r="I2669">
            <v>0.875</v>
          </cell>
          <cell r="J2669">
            <v>0.3125</v>
          </cell>
          <cell r="K2669">
            <v>10.16666667</v>
          </cell>
          <cell r="L2669">
            <v>396.42</v>
          </cell>
          <cell r="O2669" t="str">
            <v>Y</v>
          </cell>
          <cell r="P2669" t="str">
            <v>N</v>
          </cell>
          <cell r="Q2669" t="str">
            <v>Extra Capacity</v>
          </cell>
          <cell r="S2669">
            <v>0.27</v>
          </cell>
        </row>
        <row r="2670">
          <cell r="D2670">
            <v>1108004626</v>
          </cell>
          <cell r="E2670" t="str">
            <v>SAM KELEM</v>
          </cell>
          <cell r="F2670" t="str">
            <v>D (Ch)</v>
          </cell>
          <cell r="H2670" t="str">
            <v>Choice</v>
          </cell>
          <cell r="I2670">
            <v>0.83333333333333337</v>
          </cell>
          <cell r="J2670">
            <v>0.33333333333333331</v>
          </cell>
          <cell r="K2670">
            <v>11.33333333</v>
          </cell>
          <cell r="L2670">
            <v>441.91</v>
          </cell>
          <cell r="O2670" t="str">
            <v>Y</v>
          </cell>
          <cell r="P2670" t="str">
            <v>N</v>
          </cell>
          <cell r="Q2670" t="str">
            <v>Extra Capacity</v>
          </cell>
          <cell r="S2670">
            <v>0.3</v>
          </cell>
        </row>
        <row r="2671">
          <cell r="D2671">
            <v>1108004417</v>
          </cell>
          <cell r="E2671" t="str">
            <v>TAMBU JENA</v>
          </cell>
          <cell r="F2671" t="str">
            <v>D (Ch)</v>
          </cell>
          <cell r="G2671">
            <v>17301</v>
          </cell>
          <cell r="H2671" t="str">
            <v>Choice</v>
          </cell>
          <cell r="I2671">
            <v>0.3125</v>
          </cell>
          <cell r="J2671">
            <v>0.5625</v>
          </cell>
          <cell r="K2671">
            <v>5.6666666670000003</v>
          </cell>
          <cell r="L2671">
            <v>220.95</v>
          </cell>
          <cell r="O2671" t="str">
            <v>Y</v>
          </cell>
          <cell r="P2671" t="str">
            <v>N</v>
          </cell>
          <cell r="Q2671" t="str">
            <v>Under Established</v>
          </cell>
          <cell r="S2671">
            <v>0.15</v>
          </cell>
        </row>
        <row r="2672">
          <cell r="D2672">
            <v>1108004490</v>
          </cell>
          <cell r="E2672" t="str">
            <v>TAMBU JENA</v>
          </cell>
          <cell r="F2672" t="str">
            <v>D (Ch)</v>
          </cell>
          <cell r="G2672">
            <v>17301</v>
          </cell>
          <cell r="H2672" t="str">
            <v>Choice</v>
          </cell>
          <cell r="I2672">
            <v>0.5625</v>
          </cell>
          <cell r="J2672">
            <v>0.85416666666666663</v>
          </cell>
          <cell r="K2672">
            <v>6.6666666670000003</v>
          </cell>
          <cell r="L2672">
            <v>259.95</v>
          </cell>
          <cell r="O2672" t="str">
            <v>Y</v>
          </cell>
          <cell r="P2672" t="str">
            <v>N</v>
          </cell>
          <cell r="Q2672" t="str">
            <v>Under Established</v>
          </cell>
          <cell r="S2672">
            <v>0.18</v>
          </cell>
        </row>
        <row r="2673">
          <cell r="D2673">
            <v>1108003914</v>
          </cell>
          <cell r="E2673" t="str">
            <v>ABIGAIL MUPSEYEKWA</v>
          </cell>
          <cell r="F2673" t="str">
            <v>2 General (Adva</v>
          </cell>
          <cell r="G2673">
            <v>1411414</v>
          </cell>
          <cell r="H2673" t="str">
            <v>Advantage</v>
          </cell>
          <cell r="I2673">
            <v>0.88541666666666663</v>
          </cell>
          <cell r="J2673">
            <v>0.3125</v>
          </cell>
          <cell r="K2673">
            <v>9.25</v>
          </cell>
          <cell r="L2673">
            <v>114.33</v>
          </cell>
          <cell r="O2673" t="str">
            <v>Y</v>
          </cell>
          <cell r="P2673" t="str">
            <v>N</v>
          </cell>
          <cell r="Q2673" t="str">
            <v>Specials</v>
          </cell>
          <cell r="S2673">
            <v>0.25</v>
          </cell>
        </row>
        <row r="2674">
          <cell r="D2674">
            <v>1008005840</v>
          </cell>
          <cell r="E2674" t="str">
            <v>ADEOLA SOGBESAN</v>
          </cell>
          <cell r="F2674" t="str">
            <v>D (MD)</v>
          </cell>
          <cell r="G2674">
            <v>352132</v>
          </cell>
          <cell r="H2674" t="str">
            <v>Mayday</v>
          </cell>
          <cell r="I2674">
            <v>0.3125</v>
          </cell>
          <cell r="J2674">
            <v>0.5625</v>
          </cell>
          <cell r="K2674">
            <v>5.6666666670000003</v>
          </cell>
          <cell r="L2674">
            <v>182.98</v>
          </cell>
          <cell r="O2674" t="str">
            <v>Y</v>
          </cell>
          <cell r="P2674" t="str">
            <v>N</v>
          </cell>
          <cell r="Q2674" t="str">
            <v>Vacancy</v>
          </cell>
          <cell r="S2674">
            <v>0.15</v>
          </cell>
        </row>
        <row r="2675">
          <cell r="D2675">
            <v>1108003298</v>
          </cell>
          <cell r="E2675" t="str">
            <v>ALLI SUBRAMANIAM</v>
          </cell>
          <cell r="F2675" t="str">
            <v>D (MD)</v>
          </cell>
          <cell r="G2675">
            <v>347729</v>
          </cell>
          <cell r="H2675" t="str">
            <v>Mayday</v>
          </cell>
          <cell r="I2675">
            <v>0.3125</v>
          </cell>
          <cell r="J2675">
            <v>0.625</v>
          </cell>
          <cell r="K2675">
            <v>7.1666666670000003</v>
          </cell>
          <cell r="L2675">
            <v>231.41</v>
          </cell>
          <cell r="O2675" t="str">
            <v>Y</v>
          </cell>
          <cell r="P2675" t="str">
            <v>N</v>
          </cell>
          <cell r="Q2675" t="str">
            <v>Extra Capacity</v>
          </cell>
          <cell r="S2675">
            <v>0.19</v>
          </cell>
        </row>
        <row r="2676">
          <cell r="D2676">
            <v>1108003316</v>
          </cell>
          <cell r="E2676" t="str">
            <v>ALLI SUBRAMANIAM</v>
          </cell>
          <cell r="F2676" t="str">
            <v>D (MD)</v>
          </cell>
          <cell r="G2676">
            <v>347729</v>
          </cell>
          <cell r="H2676" t="str">
            <v>Mayday</v>
          </cell>
          <cell r="I2676">
            <v>0.625</v>
          </cell>
          <cell r="J2676">
            <v>0.85416666666666663</v>
          </cell>
          <cell r="K2676">
            <v>5.5</v>
          </cell>
          <cell r="L2676">
            <v>177.59</v>
          </cell>
          <cell r="O2676" t="str">
            <v>Y</v>
          </cell>
          <cell r="P2676" t="str">
            <v>N</v>
          </cell>
          <cell r="Q2676" t="str">
            <v>Extra Capacity</v>
          </cell>
          <cell r="S2676">
            <v>0.15</v>
          </cell>
        </row>
        <row r="2677">
          <cell r="D2677">
            <v>1108005509</v>
          </cell>
          <cell r="E2677" t="str">
            <v>AMBER PERRY</v>
          </cell>
          <cell r="F2677" t="str">
            <v>D (MD)</v>
          </cell>
          <cell r="G2677">
            <v>347703</v>
          </cell>
          <cell r="H2677" t="str">
            <v>Mayday</v>
          </cell>
          <cell r="I2677">
            <v>0.3125</v>
          </cell>
          <cell r="J2677">
            <v>0.625</v>
          </cell>
          <cell r="K2677">
            <v>7.1666666670000003</v>
          </cell>
          <cell r="L2677">
            <v>231.41</v>
          </cell>
          <cell r="O2677" t="str">
            <v>Y</v>
          </cell>
          <cell r="P2677" t="str">
            <v>N</v>
          </cell>
          <cell r="Q2677" t="str">
            <v>On-Call</v>
          </cell>
          <cell r="S2677">
            <v>0.19</v>
          </cell>
        </row>
        <row r="2678">
          <cell r="D2678">
            <v>1108001644</v>
          </cell>
          <cell r="E2678" t="str">
            <v>BERTHA CHITABO</v>
          </cell>
          <cell r="F2678" t="str">
            <v>D (Ch)</v>
          </cell>
          <cell r="H2678" t="str">
            <v>Choice</v>
          </cell>
          <cell r="I2678">
            <v>0.83333333333333337</v>
          </cell>
          <cell r="J2678">
            <v>0.33333333333333331</v>
          </cell>
          <cell r="K2678">
            <v>11.33333333</v>
          </cell>
          <cell r="L2678">
            <v>359.05</v>
          </cell>
          <cell r="O2678" t="str">
            <v>Y</v>
          </cell>
          <cell r="P2678" t="str">
            <v>N</v>
          </cell>
          <cell r="Q2678" t="str">
            <v>Vacancy</v>
          </cell>
          <cell r="S2678">
            <v>0.3</v>
          </cell>
        </row>
        <row r="2679">
          <cell r="D2679">
            <v>1108003996</v>
          </cell>
          <cell r="E2679" t="str">
            <v>DAMILOLA AIKI</v>
          </cell>
          <cell r="F2679" t="str">
            <v>A (Ch)</v>
          </cell>
          <cell r="G2679">
            <v>17371</v>
          </cell>
          <cell r="H2679" t="str">
            <v>Choice</v>
          </cell>
          <cell r="I2679">
            <v>0.5625</v>
          </cell>
          <cell r="J2679">
            <v>0.85416666666666663</v>
          </cell>
          <cell r="K2679">
            <v>6.6666666670000003</v>
          </cell>
          <cell r="L2679">
            <v>73.930000000000007</v>
          </cell>
          <cell r="O2679" t="str">
            <v>Y</v>
          </cell>
          <cell r="P2679" t="str">
            <v>N</v>
          </cell>
          <cell r="Q2679" t="str">
            <v>Annual Leave</v>
          </cell>
          <cell r="S2679">
            <v>0.18</v>
          </cell>
        </row>
        <row r="2680">
          <cell r="D2680">
            <v>1108004830</v>
          </cell>
          <cell r="E2680" t="str">
            <v>DAMILOLA AIKI</v>
          </cell>
          <cell r="F2680" t="str">
            <v>A (Ch)</v>
          </cell>
          <cell r="G2680">
            <v>17371</v>
          </cell>
          <cell r="H2680" t="str">
            <v>Choice</v>
          </cell>
          <cell r="I2680">
            <v>0.3125</v>
          </cell>
          <cell r="J2680">
            <v>0.5625</v>
          </cell>
          <cell r="K2680">
            <v>5.6666666670000003</v>
          </cell>
          <cell r="L2680">
            <v>62.84</v>
          </cell>
          <cell r="O2680" t="str">
            <v>Y</v>
          </cell>
          <cell r="P2680" t="str">
            <v>N</v>
          </cell>
          <cell r="Q2680" t="str">
            <v>Short Term Sick</v>
          </cell>
          <cell r="S2680">
            <v>0.15</v>
          </cell>
        </row>
        <row r="2681">
          <cell r="D2681">
            <v>1108004918</v>
          </cell>
          <cell r="E2681" t="str">
            <v>DEVIKA SAMAROO</v>
          </cell>
          <cell r="F2681" t="str">
            <v>D (Amb)</v>
          </cell>
          <cell r="G2681">
            <v>766174</v>
          </cell>
          <cell r="H2681" t="str">
            <v>Ambition</v>
          </cell>
          <cell r="I2681">
            <v>0.60416666666666663</v>
          </cell>
          <cell r="J2681">
            <v>0.85416666666666663</v>
          </cell>
          <cell r="K2681">
            <v>5.6666666670000003</v>
          </cell>
          <cell r="L2681">
            <v>221.57</v>
          </cell>
          <cell r="O2681" t="str">
            <v>Y</v>
          </cell>
          <cell r="P2681" t="str">
            <v>N</v>
          </cell>
          <cell r="Q2681" t="str">
            <v>Short Term Sick</v>
          </cell>
          <cell r="S2681">
            <v>0.15</v>
          </cell>
        </row>
        <row r="2682">
          <cell r="D2682">
            <v>1008007304</v>
          </cell>
          <cell r="E2682" t="str">
            <v>DIGRACIA  NAPE</v>
          </cell>
          <cell r="F2682" t="str">
            <v>D (MD)</v>
          </cell>
          <cell r="G2682">
            <v>347442</v>
          </cell>
          <cell r="H2682" t="str">
            <v>Mayday</v>
          </cell>
          <cell r="I2682">
            <v>0.5625</v>
          </cell>
          <cell r="J2682">
            <v>0.85416666666666663</v>
          </cell>
          <cell r="K2682">
            <v>6.6666666670000003</v>
          </cell>
          <cell r="L2682">
            <v>215.27</v>
          </cell>
          <cell r="O2682" t="str">
            <v>Y</v>
          </cell>
          <cell r="P2682" t="str">
            <v>N</v>
          </cell>
          <cell r="Q2682" t="str">
            <v>Short Term Sick</v>
          </cell>
          <cell r="S2682">
            <v>0.18</v>
          </cell>
        </row>
        <row r="2683">
          <cell r="D2683">
            <v>1108004598</v>
          </cell>
          <cell r="E2683" t="str">
            <v>DIGRACIA  NAPE</v>
          </cell>
          <cell r="F2683" t="str">
            <v>D (MD)</v>
          </cell>
          <cell r="G2683">
            <v>347442</v>
          </cell>
          <cell r="H2683" t="str">
            <v>Mayday</v>
          </cell>
          <cell r="I2683">
            <v>0.3125</v>
          </cell>
          <cell r="J2683">
            <v>0.5625</v>
          </cell>
          <cell r="K2683">
            <v>5.6666666670000003</v>
          </cell>
          <cell r="L2683">
            <v>182.98</v>
          </cell>
          <cell r="O2683" t="str">
            <v>Y</v>
          </cell>
          <cell r="P2683" t="str">
            <v>N</v>
          </cell>
          <cell r="Q2683" t="str">
            <v>Long Term Sick</v>
          </cell>
          <cell r="S2683">
            <v>0.15</v>
          </cell>
        </row>
        <row r="2684">
          <cell r="D2684">
            <v>1108005211</v>
          </cell>
          <cell r="E2684" t="str">
            <v>DORICA MUNJERI</v>
          </cell>
          <cell r="F2684" t="str">
            <v>A (Ch)</v>
          </cell>
          <cell r="G2684">
            <v>17391</v>
          </cell>
          <cell r="H2684" t="str">
            <v>Choice</v>
          </cell>
          <cell r="I2684">
            <v>0.29166666666666669</v>
          </cell>
          <cell r="J2684">
            <v>0.625</v>
          </cell>
          <cell r="K2684">
            <v>7.5</v>
          </cell>
          <cell r="L2684">
            <v>83.17</v>
          </cell>
          <cell r="O2684" t="str">
            <v>Y</v>
          </cell>
          <cell r="P2684" t="str">
            <v>N</v>
          </cell>
          <cell r="Q2684" t="str">
            <v>Extra Capacity</v>
          </cell>
          <cell r="S2684">
            <v>0.2</v>
          </cell>
        </row>
        <row r="2685">
          <cell r="D2685">
            <v>1108004917</v>
          </cell>
          <cell r="E2685" t="str">
            <v>ELSIE CHIKUKWA</v>
          </cell>
          <cell r="F2685" t="str">
            <v>D (MD)</v>
          </cell>
          <cell r="G2685">
            <v>347713</v>
          </cell>
          <cell r="H2685" t="str">
            <v>Mayday</v>
          </cell>
          <cell r="I2685">
            <v>0.5625</v>
          </cell>
          <cell r="J2685">
            <v>0.90625</v>
          </cell>
          <cell r="K2685">
            <v>6.4166666670000003</v>
          </cell>
          <cell r="L2685">
            <v>207.19</v>
          </cell>
          <cell r="O2685" t="str">
            <v>Y</v>
          </cell>
          <cell r="P2685" t="str">
            <v>N</v>
          </cell>
          <cell r="Q2685" t="str">
            <v>Short Term Sick</v>
          </cell>
          <cell r="S2685">
            <v>0.17</v>
          </cell>
        </row>
        <row r="2686">
          <cell r="D2686">
            <v>1108005513</v>
          </cell>
          <cell r="E2686" t="str">
            <v>ELSIE CHIKUKWA</v>
          </cell>
          <cell r="F2686" t="str">
            <v>D (MD)</v>
          </cell>
          <cell r="G2686">
            <v>347716</v>
          </cell>
          <cell r="H2686" t="str">
            <v>Mayday</v>
          </cell>
          <cell r="I2686">
            <v>0.3125</v>
          </cell>
          <cell r="J2686">
            <v>0.625</v>
          </cell>
          <cell r="K2686">
            <v>7.1666666670000003</v>
          </cell>
          <cell r="L2686">
            <v>231.41</v>
          </cell>
          <cell r="O2686" t="str">
            <v>Y</v>
          </cell>
          <cell r="P2686" t="str">
            <v>N</v>
          </cell>
          <cell r="Q2686" t="str">
            <v>On-Call</v>
          </cell>
          <cell r="S2686">
            <v>0.19</v>
          </cell>
        </row>
        <row r="2687">
          <cell r="D2687">
            <v>1008007303</v>
          </cell>
          <cell r="E2687" t="str">
            <v>FIONA DURKIN-GREER</v>
          </cell>
          <cell r="F2687" t="str">
            <v>D (MD)</v>
          </cell>
          <cell r="G2687">
            <v>353528</v>
          </cell>
          <cell r="H2687" t="str">
            <v>Mayday</v>
          </cell>
          <cell r="I2687">
            <v>0.3125</v>
          </cell>
          <cell r="J2687">
            <v>0.5625</v>
          </cell>
          <cell r="K2687">
            <v>5.6666666670000003</v>
          </cell>
          <cell r="L2687">
            <v>182.98</v>
          </cell>
          <cell r="O2687" t="str">
            <v>Y</v>
          </cell>
          <cell r="P2687" t="str">
            <v>N</v>
          </cell>
          <cell r="Q2687" t="str">
            <v>Short Term Sick</v>
          </cell>
          <cell r="S2687">
            <v>0.15</v>
          </cell>
        </row>
        <row r="2688">
          <cell r="D2688">
            <v>1108004686</v>
          </cell>
          <cell r="E2688" t="str">
            <v>HELEN SMITHSON</v>
          </cell>
          <cell r="F2688" t="str">
            <v>5 General (Adva</v>
          </cell>
          <cell r="G2688">
            <v>1411415</v>
          </cell>
          <cell r="H2688" t="str">
            <v>Advantage</v>
          </cell>
          <cell r="I2688">
            <v>0.8125</v>
          </cell>
          <cell r="J2688">
            <v>0.33333333333333331</v>
          </cell>
          <cell r="K2688">
            <v>11.83333333</v>
          </cell>
          <cell r="L2688">
            <v>246.75</v>
          </cell>
          <cell r="O2688" t="str">
            <v>Y</v>
          </cell>
          <cell r="P2688" t="str">
            <v>N</v>
          </cell>
          <cell r="Q2688" t="str">
            <v>Vacancy</v>
          </cell>
          <cell r="S2688">
            <v>0.32</v>
          </cell>
        </row>
        <row r="2689">
          <cell r="D2689">
            <v>1008006397</v>
          </cell>
          <cell r="E2689" t="str">
            <v>JAKE BROOKES</v>
          </cell>
          <cell r="F2689" t="str">
            <v>D General (Orio</v>
          </cell>
          <cell r="G2689" t="str">
            <v>Invsd Smt checked</v>
          </cell>
          <cell r="H2689" t="str">
            <v>Orion</v>
          </cell>
          <cell r="I2689">
            <v>0.33333333333333331</v>
          </cell>
          <cell r="J2689">
            <v>0.75</v>
          </cell>
          <cell r="K2689">
            <v>9.6666666669999994</v>
          </cell>
          <cell r="L2689">
            <v>175.16</v>
          </cell>
          <cell r="O2689" t="str">
            <v>Y</v>
          </cell>
          <cell r="P2689" t="str">
            <v>N</v>
          </cell>
          <cell r="Q2689" t="str">
            <v>Long Term Sick</v>
          </cell>
          <cell r="S2689">
            <v>0.26</v>
          </cell>
        </row>
        <row r="2690">
          <cell r="D2690">
            <v>1008004082</v>
          </cell>
          <cell r="E2690" t="str">
            <v>JAMES MCCLEMENTS</v>
          </cell>
          <cell r="F2690" t="str">
            <v>D (MD)</v>
          </cell>
          <cell r="H2690" t="str">
            <v>Mayday</v>
          </cell>
          <cell r="I2690">
            <v>0.3125</v>
          </cell>
          <cell r="J2690">
            <v>0.54166666666666663</v>
          </cell>
          <cell r="K2690">
            <v>5.5</v>
          </cell>
          <cell r="L2690">
            <v>177.59</v>
          </cell>
          <cell r="O2690" t="str">
            <v>Y</v>
          </cell>
          <cell r="P2690" t="str">
            <v>N</v>
          </cell>
          <cell r="Q2690" t="str">
            <v>Vacancy</v>
          </cell>
          <cell r="S2690">
            <v>0.15</v>
          </cell>
        </row>
        <row r="2691">
          <cell r="D2691">
            <v>1108005111</v>
          </cell>
          <cell r="E2691" t="str">
            <v>JENNIFER FARRAR</v>
          </cell>
          <cell r="F2691" t="str">
            <v>D (MD)</v>
          </cell>
          <cell r="G2691">
            <v>347214</v>
          </cell>
          <cell r="H2691" t="str">
            <v>Mayday</v>
          </cell>
          <cell r="I2691">
            <v>0.52083333333333337</v>
          </cell>
          <cell r="J2691">
            <v>0.85416666666666663</v>
          </cell>
          <cell r="K2691">
            <v>7.5</v>
          </cell>
          <cell r="L2691">
            <v>242.17</v>
          </cell>
          <cell r="O2691" t="str">
            <v>Y</v>
          </cell>
          <cell r="P2691" t="str">
            <v>N</v>
          </cell>
          <cell r="Q2691" t="str">
            <v>Extra Capacity</v>
          </cell>
          <cell r="S2691">
            <v>0.2</v>
          </cell>
        </row>
        <row r="2692">
          <cell r="D2692">
            <v>1108005032</v>
          </cell>
          <cell r="E2692" t="str">
            <v>JOSEPH BASS</v>
          </cell>
          <cell r="F2692" t="str">
            <v>D (MD)</v>
          </cell>
          <cell r="G2692">
            <v>348469</v>
          </cell>
          <cell r="H2692" t="str">
            <v>Mayday</v>
          </cell>
          <cell r="I2692">
            <v>0.83333333333333337</v>
          </cell>
          <cell r="J2692">
            <v>0.33333333333333331</v>
          </cell>
          <cell r="K2692">
            <v>11.33333333</v>
          </cell>
          <cell r="L2692">
            <v>475.74</v>
          </cell>
          <cell r="O2692" t="str">
            <v>Y</v>
          </cell>
          <cell r="P2692" t="str">
            <v>N</v>
          </cell>
          <cell r="Q2692" t="str">
            <v>Extra Capacity</v>
          </cell>
          <cell r="S2692">
            <v>0.3</v>
          </cell>
        </row>
        <row r="2693">
          <cell r="D2693">
            <v>1108005112</v>
          </cell>
          <cell r="E2693" t="str">
            <v>KATH WILDREDGE</v>
          </cell>
          <cell r="F2693" t="str">
            <v>D (MD)</v>
          </cell>
          <cell r="G2693">
            <v>347411</v>
          </cell>
          <cell r="H2693" t="str">
            <v>Mayday</v>
          </cell>
          <cell r="I2693">
            <v>0.83333333333333337</v>
          </cell>
          <cell r="J2693">
            <v>0.33333333333333331</v>
          </cell>
          <cell r="K2693">
            <v>11</v>
          </cell>
          <cell r="L2693">
            <v>461.75</v>
          </cell>
          <cell r="O2693" t="str">
            <v>Y</v>
          </cell>
          <cell r="P2693" t="str">
            <v>N</v>
          </cell>
          <cell r="Q2693" t="str">
            <v>Extra Capacity</v>
          </cell>
          <cell r="S2693">
            <v>0.28999999999999998</v>
          </cell>
        </row>
        <row r="2694">
          <cell r="D2694">
            <v>1108004318</v>
          </cell>
          <cell r="E2694" t="str">
            <v>KATIE KEAVENEY</v>
          </cell>
          <cell r="F2694" t="str">
            <v>D (MD)</v>
          </cell>
          <cell r="G2694">
            <v>347728</v>
          </cell>
          <cell r="H2694" t="str">
            <v>Mayday</v>
          </cell>
          <cell r="I2694">
            <v>0.3125</v>
          </cell>
          <cell r="J2694">
            <v>0.60416666666666663</v>
          </cell>
          <cell r="K2694">
            <v>6.6666666670000003</v>
          </cell>
          <cell r="L2694">
            <v>215.27</v>
          </cell>
          <cell r="O2694" t="str">
            <v>Y</v>
          </cell>
          <cell r="P2694" t="str">
            <v>N</v>
          </cell>
          <cell r="Q2694" t="str">
            <v>Short Term Sick</v>
          </cell>
          <cell r="S2694">
            <v>0.18</v>
          </cell>
        </row>
        <row r="2695">
          <cell r="D2695">
            <v>1108004924</v>
          </cell>
          <cell r="E2695" t="str">
            <v>KINGSLEY IORPENDA</v>
          </cell>
          <cell r="F2695" t="str">
            <v>2 General (Adva</v>
          </cell>
          <cell r="G2695">
            <v>1411413</v>
          </cell>
          <cell r="H2695" t="str">
            <v>Advantage</v>
          </cell>
          <cell r="I2695">
            <v>0.88541666666666663</v>
          </cell>
          <cell r="J2695">
            <v>0.3125</v>
          </cell>
          <cell r="K2695">
            <v>9.25</v>
          </cell>
          <cell r="L2695">
            <v>114.33</v>
          </cell>
          <cell r="O2695" t="str">
            <v>Y</v>
          </cell>
          <cell r="P2695" t="str">
            <v>N</v>
          </cell>
          <cell r="Q2695" t="str">
            <v>Specials</v>
          </cell>
          <cell r="S2695">
            <v>0.25</v>
          </cell>
        </row>
        <row r="2696">
          <cell r="D2696">
            <v>1108004010</v>
          </cell>
          <cell r="E2696" t="str">
            <v>LIZ BAGGIO</v>
          </cell>
          <cell r="F2696" t="str">
            <v>A/2 (PS)</v>
          </cell>
          <cell r="H2696" t="str">
            <v>Pinnacle Staffing</v>
          </cell>
          <cell r="I2696">
            <v>0.83333333333333337</v>
          </cell>
          <cell r="J2696">
            <v>0.33333333333333331</v>
          </cell>
          <cell r="K2696">
            <v>11.33333333</v>
          </cell>
          <cell r="L2696">
            <v>141.74</v>
          </cell>
          <cell r="O2696" t="str">
            <v>Y</v>
          </cell>
          <cell r="P2696" t="str">
            <v>N</v>
          </cell>
          <cell r="Q2696" t="str">
            <v>Vacancy</v>
          </cell>
          <cell r="S2696">
            <v>0.3</v>
          </cell>
        </row>
        <row r="2697">
          <cell r="D2697">
            <v>1108005514</v>
          </cell>
          <cell r="E2697" t="str">
            <v>MAGDALINE NGOMANE</v>
          </cell>
          <cell r="F2697" t="str">
            <v>D (MD)</v>
          </cell>
          <cell r="G2697">
            <v>346833</v>
          </cell>
          <cell r="H2697" t="str">
            <v>Mayday</v>
          </cell>
          <cell r="I2697">
            <v>0.3125</v>
          </cell>
          <cell r="J2697">
            <v>0.625</v>
          </cell>
          <cell r="K2697">
            <v>7.1666666670000003</v>
          </cell>
          <cell r="L2697">
            <v>231.41</v>
          </cell>
          <cell r="O2697" t="str">
            <v>Y</v>
          </cell>
          <cell r="P2697" t="str">
            <v>N</v>
          </cell>
          <cell r="Q2697" t="str">
            <v>On-Call</v>
          </cell>
          <cell r="S2697">
            <v>0.19</v>
          </cell>
        </row>
        <row r="2698">
          <cell r="D2698">
            <v>1108003318</v>
          </cell>
          <cell r="E2698" t="str">
            <v>MARIA LINGAT</v>
          </cell>
          <cell r="F2698" t="str">
            <v>D (Ch)</v>
          </cell>
          <cell r="G2698">
            <v>17393</v>
          </cell>
          <cell r="H2698" t="str">
            <v>Choice</v>
          </cell>
          <cell r="I2698">
            <v>0.83333333333333337</v>
          </cell>
          <cell r="J2698">
            <v>0.33333333333333331</v>
          </cell>
          <cell r="K2698">
            <v>11.33333333</v>
          </cell>
          <cell r="L2698">
            <v>359.05</v>
          </cell>
          <cell r="O2698" t="str">
            <v>Y</v>
          </cell>
          <cell r="P2698" t="str">
            <v>N</v>
          </cell>
          <cell r="Q2698" t="str">
            <v>Extra Capacity</v>
          </cell>
          <cell r="S2698">
            <v>0.3</v>
          </cell>
        </row>
        <row r="2699">
          <cell r="D2699">
            <v>1108004491</v>
          </cell>
          <cell r="E2699" t="str">
            <v>MZUKISI SPEELMAN</v>
          </cell>
          <cell r="F2699" t="str">
            <v>A (Ch)</v>
          </cell>
          <cell r="G2699">
            <v>17371</v>
          </cell>
          <cell r="H2699" t="str">
            <v>Choice</v>
          </cell>
          <cell r="I2699">
            <v>0.3125</v>
          </cell>
          <cell r="J2699">
            <v>0.5625</v>
          </cell>
          <cell r="K2699">
            <v>5.6666666670000003</v>
          </cell>
          <cell r="L2699">
            <v>62.84</v>
          </cell>
          <cell r="O2699" t="str">
            <v>Y</v>
          </cell>
          <cell r="P2699" t="str">
            <v>N</v>
          </cell>
          <cell r="Q2699" t="str">
            <v>Under Established</v>
          </cell>
          <cell r="S2699">
            <v>0.15</v>
          </cell>
        </row>
        <row r="2700">
          <cell r="D2700">
            <v>1008004688</v>
          </cell>
          <cell r="E2700" t="str">
            <v>NETCE SIA</v>
          </cell>
          <cell r="F2700" t="str">
            <v>D (Ch)</v>
          </cell>
          <cell r="H2700" t="str">
            <v>Choice</v>
          </cell>
          <cell r="I2700">
            <v>0.29166666666666669</v>
          </cell>
          <cell r="J2700">
            <v>0.52083333333333337</v>
          </cell>
          <cell r="K2700">
            <v>5.5</v>
          </cell>
          <cell r="L2700">
            <v>134.03</v>
          </cell>
          <cell r="O2700" t="str">
            <v>Y</v>
          </cell>
          <cell r="P2700" t="str">
            <v>N</v>
          </cell>
          <cell r="Q2700" t="str">
            <v>Vacancy</v>
          </cell>
          <cell r="S2700">
            <v>0.15</v>
          </cell>
        </row>
        <row r="2701">
          <cell r="D2701">
            <v>1108005294</v>
          </cell>
          <cell r="E2701" t="str">
            <v>OMAR SENGHORE</v>
          </cell>
          <cell r="F2701" t="str">
            <v>D (MD)</v>
          </cell>
          <cell r="G2701">
            <v>348816</v>
          </cell>
          <cell r="H2701" t="str">
            <v>Mayday</v>
          </cell>
          <cell r="I2701">
            <v>0.8125</v>
          </cell>
          <cell r="J2701">
            <v>0.3125</v>
          </cell>
          <cell r="K2701">
            <v>11.33333333</v>
          </cell>
          <cell r="L2701">
            <v>475.74</v>
          </cell>
          <cell r="O2701" t="str">
            <v>Y</v>
          </cell>
          <cell r="P2701" t="str">
            <v>N</v>
          </cell>
          <cell r="Q2701" t="str">
            <v>Extra Capacity</v>
          </cell>
          <cell r="S2701">
            <v>0.3</v>
          </cell>
        </row>
        <row r="2702">
          <cell r="D2702">
            <v>1108003299</v>
          </cell>
          <cell r="E2702" t="str">
            <v>PAT DUBE</v>
          </cell>
          <cell r="F2702" t="str">
            <v>D (MD)</v>
          </cell>
          <cell r="H2702" t="str">
            <v>Mayday</v>
          </cell>
          <cell r="I2702">
            <v>0.3125</v>
          </cell>
          <cell r="J2702">
            <v>0.625</v>
          </cell>
          <cell r="K2702">
            <v>7.1666666670000003</v>
          </cell>
          <cell r="L2702">
            <v>231.41</v>
          </cell>
          <cell r="O2702" t="str">
            <v>Y</v>
          </cell>
          <cell r="P2702" t="str">
            <v>N</v>
          </cell>
          <cell r="Q2702" t="str">
            <v>Extra Capacity</v>
          </cell>
          <cell r="S2702">
            <v>0.19</v>
          </cell>
        </row>
        <row r="2703">
          <cell r="D2703">
            <v>1108005510</v>
          </cell>
          <cell r="E2703" t="str">
            <v>PRUDENCE MAJOZI</v>
          </cell>
          <cell r="F2703" t="str">
            <v>D (MD)</v>
          </cell>
          <cell r="G2703">
            <v>346825</v>
          </cell>
          <cell r="H2703" t="str">
            <v>Mayday</v>
          </cell>
          <cell r="I2703">
            <v>0.3125</v>
          </cell>
          <cell r="J2703">
            <v>0.625</v>
          </cell>
          <cell r="K2703">
            <v>7.1666666670000003</v>
          </cell>
          <cell r="L2703">
            <v>231.41</v>
          </cell>
          <cell r="O2703" t="str">
            <v>Y</v>
          </cell>
          <cell r="P2703" t="str">
            <v>N</v>
          </cell>
          <cell r="Q2703" t="str">
            <v>On-Call</v>
          </cell>
          <cell r="S2703">
            <v>0.19</v>
          </cell>
        </row>
        <row r="2704">
          <cell r="D2704">
            <v>1108003319</v>
          </cell>
          <cell r="E2704" t="str">
            <v>RODA RAMERIZ</v>
          </cell>
          <cell r="F2704" t="str">
            <v>D (Ch)</v>
          </cell>
          <cell r="G2704">
            <v>17384</v>
          </cell>
          <cell r="H2704" t="str">
            <v>Choice</v>
          </cell>
          <cell r="I2704">
            <v>0.83333333333333337</v>
          </cell>
          <cell r="J2704">
            <v>0.33333333333333331</v>
          </cell>
          <cell r="K2704">
            <v>11.33333333</v>
          </cell>
          <cell r="L2704">
            <v>359.05</v>
          </cell>
          <cell r="O2704" t="str">
            <v>Y</v>
          </cell>
          <cell r="P2704" t="str">
            <v>N</v>
          </cell>
          <cell r="Q2704" t="str">
            <v>Extra Capacity</v>
          </cell>
          <cell r="S2704">
            <v>0.3</v>
          </cell>
        </row>
        <row r="2705">
          <cell r="D2705">
            <v>1108005066</v>
          </cell>
          <cell r="E2705" t="str">
            <v>SAM KELEM</v>
          </cell>
          <cell r="F2705" t="str">
            <v>D (Ch)</v>
          </cell>
          <cell r="G2705">
            <v>17379</v>
          </cell>
          <cell r="H2705" t="str">
            <v>Choice</v>
          </cell>
          <cell r="I2705">
            <v>0.875</v>
          </cell>
          <cell r="J2705">
            <v>0.33333333333333331</v>
          </cell>
          <cell r="K2705">
            <v>10</v>
          </cell>
          <cell r="L2705">
            <v>243.7</v>
          </cell>
          <cell r="O2705" t="str">
            <v>Y</v>
          </cell>
          <cell r="P2705" t="str">
            <v>N</v>
          </cell>
          <cell r="Q2705" t="str">
            <v>Compassionate Leave</v>
          </cell>
          <cell r="S2705">
            <v>0.27</v>
          </cell>
        </row>
        <row r="2706">
          <cell r="D2706">
            <v>1108005564</v>
          </cell>
          <cell r="E2706" t="str">
            <v>STEPHEN FERNANDEZ</v>
          </cell>
          <cell r="F2706" t="str">
            <v>D (MD)</v>
          </cell>
          <cell r="G2706">
            <v>349491</v>
          </cell>
          <cell r="H2706" t="str">
            <v>Mayday</v>
          </cell>
          <cell r="I2706">
            <v>0.83333333333333337</v>
          </cell>
          <cell r="J2706">
            <v>0.33333333333333331</v>
          </cell>
          <cell r="K2706">
            <v>11.5</v>
          </cell>
          <cell r="L2706">
            <v>482.74</v>
          </cell>
          <cell r="O2706" t="str">
            <v>Y</v>
          </cell>
          <cell r="P2706" t="str">
            <v>N</v>
          </cell>
          <cell r="Q2706" t="str">
            <v>Acuity</v>
          </cell>
          <cell r="S2706">
            <v>0.31</v>
          </cell>
        </row>
        <row r="2707">
          <cell r="D2707">
            <v>1108005634</v>
          </cell>
          <cell r="E2707" t="str">
            <v>TEMBE NGIDI</v>
          </cell>
          <cell r="F2707" t="str">
            <v>D (MD)</v>
          </cell>
          <cell r="G2707">
            <v>347721</v>
          </cell>
          <cell r="H2707" t="str">
            <v>Mayday</v>
          </cell>
          <cell r="I2707">
            <v>0.88541666666666663</v>
          </cell>
          <cell r="J2707">
            <v>0.30208333333333331</v>
          </cell>
          <cell r="K2707">
            <v>10</v>
          </cell>
          <cell r="L2707">
            <v>419.77</v>
          </cell>
          <cell r="O2707" t="str">
            <v>Y</v>
          </cell>
          <cell r="P2707" t="str">
            <v>N</v>
          </cell>
          <cell r="Q2707" t="str">
            <v>On-Call</v>
          </cell>
          <cell r="S2707">
            <v>0.27</v>
          </cell>
        </row>
        <row r="2708">
          <cell r="D2708">
            <v>1108003845</v>
          </cell>
          <cell r="E2708" t="str">
            <v>TOM OSBOURNE</v>
          </cell>
          <cell r="F2708" t="str">
            <v>D General (Orio</v>
          </cell>
          <cell r="G2708" t="str">
            <v>Invsd Smt checked</v>
          </cell>
          <cell r="H2708" t="str">
            <v>Orion</v>
          </cell>
          <cell r="I2708">
            <v>0.33333333333333331</v>
          </cell>
          <cell r="J2708">
            <v>0.75</v>
          </cell>
          <cell r="K2708">
            <v>9.5</v>
          </cell>
          <cell r="L2708">
            <v>172.14</v>
          </cell>
          <cell r="O2708" t="str">
            <v>Y</v>
          </cell>
          <cell r="P2708" t="str">
            <v>N</v>
          </cell>
          <cell r="Q2708" t="str">
            <v>Vacancy</v>
          </cell>
          <cell r="S2708">
            <v>0.25</v>
          </cell>
        </row>
        <row r="2709">
          <cell r="D2709">
            <v>1108005633</v>
          </cell>
          <cell r="E2709" t="str">
            <v>VIDA OTUO-ACHEAMPONG</v>
          </cell>
          <cell r="F2709" t="str">
            <v>D (Amb)</v>
          </cell>
          <cell r="G2709">
            <v>760753</v>
          </cell>
          <cell r="H2709" t="str">
            <v>Ambition</v>
          </cell>
          <cell r="I2709">
            <v>0.83333333333333337</v>
          </cell>
          <cell r="J2709">
            <v>0.33333333333333331</v>
          </cell>
          <cell r="K2709">
            <v>9.75</v>
          </cell>
          <cell r="L2709">
            <v>495.59</v>
          </cell>
          <cell r="O2709" t="str">
            <v>Y</v>
          </cell>
          <cell r="P2709" t="str">
            <v>N</v>
          </cell>
          <cell r="Q2709" t="str">
            <v>Short Term Sick</v>
          </cell>
          <cell r="S2709">
            <v>0.26</v>
          </cell>
        </row>
        <row r="2710">
          <cell r="D2710">
            <v>1108003301</v>
          </cell>
          <cell r="E2710" t="str">
            <v>ALLI SUBRAMANIAM</v>
          </cell>
          <cell r="F2710" t="str">
            <v>D (MD)</v>
          </cell>
          <cell r="G2710">
            <v>348813</v>
          </cell>
          <cell r="H2710" t="str">
            <v>Mayday</v>
          </cell>
          <cell r="I2710">
            <v>0.3125</v>
          </cell>
          <cell r="J2710">
            <v>0.625</v>
          </cell>
          <cell r="K2710">
            <v>7.1666666670000003</v>
          </cell>
          <cell r="L2710">
            <v>231.41</v>
          </cell>
          <cell r="O2710" t="str">
            <v>Y</v>
          </cell>
          <cell r="P2710" t="str">
            <v>N</v>
          </cell>
          <cell r="Q2710" t="str">
            <v>Extra Capacity</v>
          </cell>
          <cell r="S2710">
            <v>0.19</v>
          </cell>
        </row>
        <row r="2711">
          <cell r="D2711">
            <v>1108005570</v>
          </cell>
          <cell r="E2711" t="str">
            <v>ALMA DEPENA</v>
          </cell>
          <cell r="F2711" t="str">
            <v>D (Ch)</v>
          </cell>
          <cell r="G2711">
            <v>17377</v>
          </cell>
          <cell r="H2711" t="str">
            <v>Choice</v>
          </cell>
          <cell r="I2711">
            <v>0.83333333333333337</v>
          </cell>
          <cell r="J2711">
            <v>0.33333333333333331</v>
          </cell>
          <cell r="K2711">
            <v>11.33333333</v>
          </cell>
          <cell r="L2711">
            <v>359.05</v>
          </cell>
          <cell r="O2711" t="str">
            <v>Y</v>
          </cell>
          <cell r="P2711" t="str">
            <v>N</v>
          </cell>
          <cell r="Q2711" t="str">
            <v>Extra Capacity</v>
          </cell>
          <cell r="S2711">
            <v>0.3</v>
          </cell>
        </row>
        <row r="2712">
          <cell r="D2712">
            <v>1108005116</v>
          </cell>
          <cell r="E2712" t="str">
            <v>ANTHONY OGOEGBUNAN</v>
          </cell>
          <cell r="F2712" t="str">
            <v>D (MD)</v>
          </cell>
          <cell r="G2712">
            <v>347432</v>
          </cell>
          <cell r="H2712" t="str">
            <v>Mayday</v>
          </cell>
          <cell r="I2712">
            <v>0.83333333333333337</v>
          </cell>
          <cell r="J2712">
            <v>0.33333333333333331</v>
          </cell>
          <cell r="K2712">
            <v>11</v>
          </cell>
          <cell r="L2712">
            <v>461.75</v>
          </cell>
          <cell r="O2712" t="str">
            <v>Y</v>
          </cell>
          <cell r="P2712" t="str">
            <v>N</v>
          </cell>
          <cell r="Q2712" t="str">
            <v>Extra Capacity</v>
          </cell>
          <cell r="S2712">
            <v>0.28999999999999998</v>
          </cell>
        </row>
        <row r="2713">
          <cell r="D2713">
            <v>1008005852</v>
          </cell>
          <cell r="E2713" t="str">
            <v>BERNADETTE SHINYA-NDUNUWANI</v>
          </cell>
          <cell r="F2713" t="str">
            <v>D (MD)</v>
          </cell>
          <cell r="G2713">
            <v>347417</v>
          </cell>
          <cell r="H2713" t="str">
            <v>Mayday</v>
          </cell>
          <cell r="I2713">
            <v>0.5625</v>
          </cell>
          <cell r="J2713">
            <v>0.89583333333333337</v>
          </cell>
          <cell r="K2713">
            <v>7.6666666670000003</v>
          </cell>
          <cell r="L2713">
            <v>247.56</v>
          </cell>
          <cell r="O2713" t="str">
            <v>Y</v>
          </cell>
          <cell r="P2713" t="str">
            <v>N</v>
          </cell>
          <cell r="Q2713" t="str">
            <v>Vacancy</v>
          </cell>
          <cell r="S2713">
            <v>0.2</v>
          </cell>
        </row>
        <row r="2714">
          <cell r="D2714">
            <v>1108004493</v>
          </cell>
          <cell r="E2714" t="str">
            <v>BERNADETTE SHINYA-NDUNUWANI</v>
          </cell>
          <cell r="F2714" t="str">
            <v>D (MD)</v>
          </cell>
          <cell r="G2714">
            <v>347417</v>
          </cell>
          <cell r="H2714" t="str">
            <v>Mayday</v>
          </cell>
          <cell r="I2714">
            <v>0.3125</v>
          </cell>
          <cell r="J2714">
            <v>0.5625</v>
          </cell>
          <cell r="K2714">
            <v>5.6666666670000003</v>
          </cell>
          <cell r="L2714">
            <v>182.98</v>
          </cell>
          <cell r="O2714" t="str">
            <v>Y</v>
          </cell>
          <cell r="P2714" t="str">
            <v>N</v>
          </cell>
          <cell r="Q2714" t="str">
            <v>Under Established</v>
          </cell>
          <cell r="S2714">
            <v>0.15</v>
          </cell>
        </row>
        <row r="2715">
          <cell r="D2715">
            <v>1108005038</v>
          </cell>
          <cell r="E2715" t="str">
            <v>BERTHA CHITABO</v>
          </cell>
          <cell r="F2715" t="str">
            <v>D (Ch)</v>
          </cell>
          <cell r="G2715">
            <v>17375</v>
          </cell>
          <cell r="H2715" t="str">
            <v>Choice</v>
          </cell>
          <cell r="I2715">
            <v>0.83333333333333337</v>
          </cell>
          <cell r="J2715">
            <v>0.33333333333333331</v>
          </cell>
          <cell r="K2715">
            <v>11.33333333</v>
          </cell>
          <cell r="L2715">
            <v>359.05</v>
          </cell>
          <cell r="O2715" t="str">
            <v>Y</v>
          </cell>
          <cell r="P2715" t="str">
            <v>N</v>
          </cell>
          <cell r="Q2715" t="str">
            <v>Extra Capacity</v>
          </cell>
          <cell r="S2715">
            <v>0.3</v>
          </cell>
        </row>
        <row r="2716">
          <cell r="D2716">
            <v>1108004930</v>
          </cell>
          <cell r="E2716" t="str">
            <v>CATH CHIDAVAYENZI</v>
          </cell>
          <cell r="F2716" t="str">
            <v>D (Ch)</v>
          </cell>
          <cell r="G2716">
            <v>17386</v>
          </cell>
          <cell r="H2716" t="str">
            <v>Choice</v>
          </cell>
          <cell r="I2716">
            <v>0.88541666666666663</v>
          </cell>
          <cell r="J2716">
            <v>0.3125</v>
          </cell>
          <cell r="K2716">
            <v>9.25</v>
          </cell>
          <cell r="L2716">
            <v>293.05</v>
          </cell>
          <cell r="O2716" t="str">
            <v>Y</v>
          </cell>
          <cell r="P2716" t="str">
            <v>N</v>
          </cell>
          <cell r="Q2716" t="str">
            <v>Specials</v>
          </cell>
          <cell r="S2716">
            <v>0.25</v>
          </cell>
        </row>
        <row r="2717">
          <cell r="D2717">
            <v>1108004958</v>
          </cell>
          <cell r="E2717" t="str">
            <v>CHRIS STULAR</v>
          </cell>
          <cell r="F2717" t="str">
            <v>D General (Orio</v>
          </cell>
          <cell r="G2717" t="str">
            <v>Invsd Smt checked</v>
          </cell>
          <cell r="H2717" t="str">
            <v>Orion</v>
          </cell>
          <cell r="I2717">
            <v>0.33333333333333331</v>
          </cell>
          <cell r="J2717">
            <v>0.75</v>
          </cell>
          <cell r="K2717">
            <v>9.5</v>
          </cell>
          <cell r="L2717">
            <v>172.14</v>
          </cell>
          <cell r="O2717" t="str">
            <v>Y</v>
          </cell>
          <cell r="P2717" t="str">
            <v>N</v>
          </cell>
          <cell r="Q2717" t="str">
            <v>Backfill</v>
          </cell>
          <cell r="S2717">
            <v>0.25</v>
          </cell>
        </row>
        <row r="2718">
          <cell r="D2718">
            <v>1108000917</v>
          </cell>
          <cell r="E2718" t="str">
            <v>DAMILOLA AIKI</v>
          </cell>
          <cell r="F2718" t="str">
            <v>A (Ch)</v>
          </cell>
          <cell r="G2718">
            <v>17392</v>
          </cell>
          <cell r="H2718" t="str">
            <v>Choice</v>
          </cell>
          <cell r="I2718">
            <v>0.33333333333333331</v>
          </cell>
          <cell r="J2718">
            <v>0.54166666666666663</v>
          </cell>
          <cell r="K2718">
            <v>5</v>
          </cell>
          <cell r="L2718">
            <v>55.45</v>
          </cell>
          <cell r="O2718" t="str">
            <v>Y</v>
          </cell>
          <cell r="P2718" t="str">
            <v>N</v>
          </cell>
          <cell r="Q2718" t="str">
            <v>Vacancy</v>
          </cell>
          <cell r="S2718">
            <v>0.13</v>
          </cell>
        </row>
        <row r="2719">
          <cell r="D2719">
            <v>1008005848</v>
          </cell>
          <cell r="E2719" t="str">
            <v>DIGRACIA  NAPE</v>
          </cell>
          <cell r="F2719" t="str">
            <v>D (MD)</v>
          </cell>
          <cell r="G2719">
            <v>347441</v>
          </cell>
          <cell r="H2719" t="str">
            <v>Mayday</v>
          </cell>
          <cell r="I2719">
            <v>0.3125</v>
          </cell>
          <cell r="J2719">
            <v>0.5625</v>
          </cell>
          <cell r="K2719">
            <v>5.6666666670000003</v>
          </cell>
          <cell r="L2719">
            <v>182.98</v>
          </cell>
          <cell r="O2719" t="str">
            <v>Y</v>
          </cell>
          <cell r="P2719" t="str">
            <v>N</v>
          </cell>
          <cell r="Q2719" t="str">
            <v>Vacancy</v>
          </cell>
          <cell r="S2719">
            <v>0.15</v>
          </cell>
        </row>
        <row r="2720">
          <cell r="D2720">
            <v>1008005851</v>
          </cell>
          <cell r="E2720" t="str">
            <v>DIGRACIA  NAPE</v>
          </cell>
          <cell r="F2720" t="str">
            <v>D (MD)</v>
          </cell>
          <cell r="G2720">
            <v>347441</v>
          </cell>
          <cell r="H2720" t="str">
            <v>Mayday</v>
          </cell>
          <cell r="I2720">
            <v>0.5625</v>
          </cell>
          <cell r="J2720">
            <v>0.89583333333333337</v>
          </cell>
          <cell r="K2720">
            <v>7.6666666670000003</v>
          </cell>
          <cell r="L2720">
            <v>247.56</v>
          </cell>
          <cell r="O2720" t="str">
            <v>Y</v>
          </cell>
          <cell r="P2720" t="str">
            <v>N</v>
          </cell>
          <cell r="Q2720" t="str">
            <v>Vacancy</v>
          </cell>
          <cell r="S2720">
            <v>0.2</v>
          </cell>
        </row>
        <row r="2721">
          <cell r="D2721">
            <v>1108003300</v>
          </cell>
          <cell r="E2721" t="str">
            <v>EVELYN PANESA</v>
          </cell>
          <cell r="F2721" t="str">
            <v>D (Ch)</v>
          </cell>
          <cell r="H2721" t="str">
            <v>Choice</v>
          </cell>
          <cell r="I2721">
            <v>0.3125</v>
          </cell>
          <cell r="J2721">
            <v>0.625</v>
          </cell>
          <cell r="K2721">
            <v>7.1666666670000003</v>
          </cell>
          <cell r="L2721">
            <v>174.65</v>
          </cell>
          <cell r="O2721" t="str">
            <v>Y</v>
          </cell>
          <cell r="P2721" t="str">
            <v>N</v>
          </cell>
          <cell r="Q2721" t="str">
            <v>Extra Capacity</v>
          </cell>
          <cell r="S2721">
            <v>0.19</v>
          </cell>
        </row>
        <row r="2722">
          <cell r="D2722">
            <v>1108003317</v>
          </cell>
          <cell r="E2722" t="str">
            <v>EVELYN PANESA</v>
          </cell>
          <cell r="F2722" t="str">
            <v>D (Ch)</v>
          </cell>
          <cell r="H2722" t="str">
            <v>Choice</v>
          </cell>
          <cell r="I2722">
            <v>0.625</v>
          </cell>
          <cell r="J2722">
            <v>0.85416666666666663</v>
          </cell>
          <cell r="K2722">
            <v>5.5</v>
          </cell>
          <cell r="L2722">
            <v>134.03</v>
          </cell>
          <cell r="O2722" t="str">
            <v>Y</v>
          </cell>
          <cell r="P2722" t="str">
            <v>N</v>
          </cell>
          <cell r="Q2722" t="str">
            <v>Extra Capacity</v>
          </cell>
          <cell r="S2722">
            <v>0.15</v>
          </cell>
        </row>
        <row r="2723">
          <cell r="D2723">
            <v>1108003684</v>
          </cell>
          <cell r="E2723" t="str">
            <v>GLENDA RONA</v>
          </cell>
          <cell r="F2723" t="str">
            <v>D (Ch)</v>
          </cell>
          <cell r="G2723">
            <v>17389</v>
          </cell>
          <cell r="H2723" t="str">
            <v>Choice</v>
          </cell>
          <cell r="I2723">
            <v>0.88541666666666663</v>
          </cell>
          <cell r="J2723">
            <v>0.3125</v>
          </cell>
          <cell r="K2723">
            <v>9.25</v>
          </cell>
          <cell r="L2723">
            <v>293.05</v>
          </cell>
          <cell r="O2723" t="str">
            <v>Y</v>
          </cell>
          <cell r="P2723" t="str">
            <v>N</v>
          </cell>
          <cell r="Q2723" t="str">
            <v>Training</v>
          </cell>
          <cell r="S2723">
            <v>0.25</v>
          </cell>
        </row>
        <row r="2724">
          <cell r="D2724">
            <v>1008005451</v>
          </cell>
          <cell r="E2724" t="str">
            <v>JAKE BROOKES</v>
          </cell>
          <cell r="F2724" t="str">
            <v>D General (Orio</v>
          </cell>
          <cell r="G2724" t="str">
            <v>Invsd Smt checked</v>
          </cell>
          <cell r="H2724" t="str">
            <v>Orion</v>
          </cell>
          <cell r="I2724">
            <v>0.33333333333333331</v>
          </cell>
          <cell r="J2724">
            <v>0.75</v>
          </cell>
          <cell r="K2724">
            <v>9.6666666669999994</v>
          </cell>
          <cell r="L2724">
            <v>175.16</v>
          </cell>
          <cell r="O2724" t="str">
            <v>Y</v>
          </cell>
          <cell r="P2724" t="str">
            <v>N</v>
          </cell>
          <cell r="Q2724" t="str">
            <v>Long Term Sick</v>
          </cell>
          <cell r="S2724">
            <v>0.26</v>
          </cell>
        </row>
        <row r="2725">
          <cell r="D2725">
            <v>1108005113</v>
          </cell>
          <cell r="E2725" t="str">
            <v>JAMES MCCLEMENTS</v>
          </cell>
          <cell r="F2725" t="str">
            <v>D (MD)</v>
          </cell>
          <cell r="G2725">
            <v>347427</v>
          </cell>
          <cell r="H2725" t="str">
            <v>Mayday</v>
          </cell>
          <cell r="I2725">
            <v>0.3125</v>
          </cell>
          <cell r="J2725">
            <v>0.64583333333333337</v>
          </cell>
          <cell r="K2725">
            <v>7.5</v>
          </cell>
          <cell r="L2725">
            <v>242.17</v>
          </cell>
          <cell r="O2725" t="str">
            <v>Y</v>
          </cell>
          <cell r="P2725" t="str">
            <v>N</v>
          </cell>
          <cell r="Q2725" t="str">
            <v>Extra Capacity</v>
          </cell>
          <cell r="S2725">
            <v>0.2</v>
          </cell>
        </row>
        <row r="2726">
          <cell r="D2726">
            <v>1108005571</v>
          </cell>
          <cell r="E2726" t="str">
            <v>JASMINE ESGUERRA</v>
          </cell>
          <cell r="F2726" t="str">
            <v>D (Ch)</v>
          </cell>
          <cell r="G2726">
            <v>17393</v>
          </cell>
          <cell r="H2726" t="str">
            <v>Choice</v>
          </cell>
          <cell r="I2726">
            <v>0.83333333333333337</v>
          </cell>
          <cell r="J2726">
            <v>0.33333333333333331</v>
          </cell>
          <cell r="K2726">
            <v>11.33333333</v>
          </cell>
          <cell r="L2726">
            <v>359.05</v>
          </cell>
          <cell r="O2726" t="str">
            <v>Y</v>
          </cell>
          <cell r="P2726" t="str">
            <v>N</v>
          </cell>
          <cell r="Q2726" t="str">
            <v>Extra Capacity</v>
          </cell>
          <cell r="S2726">
            <v>0.3</v>
          </cell>
        </row>
        <row r="2727">
          <cell r="D2727">
            <v>1108003321</v>
          </cell>
          <cell r="E2727" t="str">
            <v>JASON WENT</v>
          </cell>
          <cell r="F2727" t="str">
            <v>D / 5 General (</v>
          </cell>
          <cell r="H2727" t="str">
            <v>Blue Arrow</v>
          </cell>
          <cell r="I2727">
            <v>0.83333333333333337</v>
          </cell>
          <cell r="J2727">
            <v>0.33333333333333331</v>
          </cell>
          <cell r="K2727">
            <v>11.33333333</v>
          </cell>
          <cell r="L2727">
            <v>248.7</v>
          </cell>
          <cell r="O2727" t="str">
            <v>Y</v>
          </cell>
          <cell r="P2727" t="str">
            <v>N</v>
          </cell>
          <cell r="Q2727" t="str">
            <v>Extra Capacity</v>
          </cell>
          <cell r="S2727">
            <v>0.3</v>
          </cell>
        </row>
        <row r="2728">
          <cell r="D2728">
            <v>1108005731</v>
          </cell>
          <cell r="E2728" t="str">
            <v>JOHANNA AISH</v>
          </cell>
          <cell r="F2728" t="str">
            <v>5 General (Adva</v>
          </cell>
          <cell r="G2728">
            <v>1411408</v>
          </cell>
          <cell r="H2728" t="str">
            <v>Advantage</v>
          </cell>
          <cell r="I2728">
            <v>0.8125</v>
          </cell>
          <cell r="J2728">
            <v>0.33333333333333331</v>
          </cell>
          <cell r="K2728">
            <v>11.83333333</v>
          </cell>
          <cell r="L2728">
            <v>246.75</v>
          </cell>
          <cell r="O2728" t="str">
            <v>Y</v>
          </cell>
          <cell r="P2728" t="str">
            <v>N</v>
          </cell>
          <cell r="Q2728" t="str">
            <v>Specials</v>
          </cell>
          <cell r="S2728">
            <v>0.32</v>
          </cell>
        </row>
        <row r="2729">
          <cell r="D2729">
            <v>1108003320</v>
          </cell>
          <cell r="E2729" t="str">
            <v>JOSEPH BASS</v>
          </cell>
          <cell r="F2729" t="str">
            <v>D (MD)</v>
          </cell>
          <cell r="G2729">
            <v>348830</v>
          </cell>
          <cell r="H2729" t="str">
            <v>Mayday</v>
          </cell>
          <cell r="I2729">
            <v>0.83333333333333337</v>
          </cell>
          <cell r="J2729">
            <v>0.33333333333333331</v>
          </cell>
          <cell r="K2729">
            <v>11.33333333</v>
          </cell>
          <cell r="L2729">
            <v>475.74</v>
          </cell>
          <cell r="O2729" t="str">
            <v>Y</v>
          </cell>
          <cell r="P2729" t="str">
            <v>N</v>
          </cell>
          <cell r="Q2729" t="str">
            <v>Extra Capacity</v>
          </cell>
          <cell r="S2729">
            <v>0.3</v>
          </cell>
        </row>
        <row r="2730">
          <cell r="D2730">
            <v>1108006676</v>
          </cell>
          <cell r="E2730" t="str">
            <v>KATH WILDREDGE</v>
          </cell>
          <cell r="F2730" t="str">
            <v>D (MD)</v>
          </cell>
          <cell r="G2730">
            <v>347412</v>
          </cell>
          <cell r="H2730" t="str">
            <v>Mayday</v>
          </cell>
          <cell r="I2730">
            <v>0.83333333333333337</v>
          </cell>
          <cell r="J2730">
            <v>0.33333333333333331</v>
          </cell>
          <cell r="K2730">
            <v>11</v>
          </cell>
          <cell r="L2730">
            <v>461.75</v>
          </cell>
          <cell r="O2730" t="str">
            <v>Y</v>
          </cell>
          <cell r="P2730" t="str">
            <v>N</v>
          </cell>
          <cell r="Q2730" t="str">
            <v>Acuity</v>
          </cell>
          <cell r="S2730">
            <v>0.28999999999999998</v>
          </cell>
        </row>
        <row r="2731">
          <cell r="D2731">
            <v>1108005315</v>
          </cell>
          <cell r="E2731" t="str">
            <v>KATIE KEAVENEY</v>
          </cell>
          <cell r="F2731" t="str">
            <v>D (MD)</v>
          </cell>
          <cell r="G2731">
            <v>347727</v>
          </cell>
          <cell r="H2731" t="str">
            <v>Mayday</v>
          </cell>
          <cell r="I2731">
            <v>0.625</v>
          </cell>
          <cell r="J2731">
            <v>0.875</v>
          </cell>
          <cell r="K2731">
            <v>5.75</v>
          </cell>
          <cell r="L2731">
            <v>185.67</v>
          </cell>
          <cell r="O2731" t="str">
            <v>Y</v>
          </cell>
          <cell r="P2731" t="str">
            <v>N</v>
          </cell>
          <cell r="Q2731" t="str">
            <v>Short Term Sick</v>
          </cell>
          <cell r="S2731">
            <v>0.15</v>
          </cell>
        </row>
        <row r="2732">
          <cell r="D2732">
            <v>1108005034</v>
          </cell>
          <cell r="E2732" t="str">
            <v>MIHAELA CHIRIBAU</v>
          </cell>
          <cell r="F2732" t="str">
            <v>D (MD)</v>
          </cell>
          <cell r="G2732">
            <v>347414</v>
          </cell>
          <cell r="H2732" t="str">
            <v>Mayday</v>
          </cell>
          <cell r="I2732">
            <v>0.3125</v>
          </cell>
          <cell r="J2732">
            <v>0.60416666666666663</v>
          </cell>
          <cell r="K2732">
            <v>6.6666666670000003</v>
          </cell>
          <cell r="L2732">
            <v>215.27</v>
          </cell>
          <cell r="O2732" t="str">
            <v>Y</v>
          </cell>
          <cell r="P2732" t="str">
            <v>N</v>
          </cell>
          <cell r="Q2732" t="str">
            <v>Extra Capacity</v>
          </cell>
          <cell r="S2732">
            <v>0.18</v>
          </cell>
        </row>
        <row r="2733">
          <cell r="D2733">
            <v>1108005035</v>
          </cell>
          <cell r="E2733" t="str">
            <v>MIHAELA CHIRIBAU</v>
          </cell>
          <cell r="F2733" t="str">
            <v>D (MD)</v>
          </cell>
          <cell r="G2733">
            <v>347414</v>
          </cell>
          <cell r="H2733" t="str">
            <v>Mayday</v>
          </cell>
          <cell r="I2733">
            <v>0.60416666666666663</v>
          </cell>
          <cell r="J2733">
            <v>0.85416666666666663</v>
          </cell>
          <cell r="K2733">
            <v>5.6666666670000003</v>
          </cell>
          <cell r="L2733">
            <v>182.98</v>
          </cell>
          <cell r="O2733" t="str">
            <v>Y</v>
          </cell>
          <cell r="P2733" t="str">
            <v>N</v>
          </cell>
          <cell r="Q2733" t="str">
            <v>Extra Capacity</v>
          </cell>
          <cell r="S2733">
            <v>0.15</v>
          </cell>
        </row>
        <row r="2734">
          <cell r="D2734">
            <v>1108004008</v>
          </cell>
          <cell r="E2734" t="str">
            <v>MZUKISI SPEELMAN</v>
          </cell>
          <cell r="F2734" t="str">
            <v>A (Ch)</v>
          </cell>
          <cell r="G2734">
            <v>17371</v>
          </cell>
          <cell r="H2734" t="str">
            <v>Choice</v>
          </cell>
          <cell r="I2734">
            <v>0.3125</v>
          </cell>
          <cell r="J2734">
            <v>0.5625</v>
          </cell>
          <cell r="K2734">
            <v>5.6666666670000003</v>
          </cell>
          <cell r="L2734">
            <v>62.84</v>
          </cell>
          <cell r="O2734" t="str">
            <v>Y</v>
          </cell>
          <cell r="P2734" t="str">
            <v>N</v>
          </cell>
          <cell r="Q2734" t="str">
            <v>Under Established</v>
          </cell>
          <cell r="S2734">
            <v>0.15</v>
          </cell>
        </row>
        <row r="2735">
          <cell r="D2735">
            <v>1108005566</v>
          </cell>
          <cell r="E2735" t="str">
            <v>RACHEL OBERDOFF</v>
          </cell>
          <cell r="F2735" t="str">
            <v>D (MD)</v>
          </cell>
          <cell r="G2735">
            <v>349488</v>
          </cell>
          <cell r="H2735" t="str">
            <v>Mayday</v>
          </cell>
          <cell r="I2735">
            <v>0.3125</v>
          </cell>
          <cell r="J2735">
            <v>0.85416666666666663</v>
          </cell>
          <cell r="K2735">
            <v>12.33333333</v>
          </cell>
          <cell r="L2735">
            <v>398.24</v>
          </cell>
          <cell r="O2735" t="str">
            <v>Y</v>
          </cell>
          <cell r="P2735" t="str">
            <v>N</v>
          </cell>
          <cell r="Q2735" t="str">
            <v>Acuity</v>
          </cell>
          <cell r="S2735">
            <v>0.33</v>
          </cell>
        </row>
        <row r="2736">
          <cell r="D2736">
            <v>1108005548</v>
          </cell>
          <cell r="E2736" t="str">
            <v>RICCA PARADA</v>
          </cell>
          <cell r="F2736" t="str">
            <v>D (Ch)</v>
          </cell>
          <cell r="G2736">
            <v>17467</v>
          </cell>
          <cell r="H2736" t="str">
            <v>Choice</v>
          </cell>
          <cell r="I2736">
            <v>0.33333333333333331</v>
          </cell>
          <cell r="J2736">
            <v>0.54166666666666663</v>
          </cell>
          <cell r="K2736">
            <v>5</v>
          </cell>
          <cell r="L2736">
            <v>121.85</v>
          </cell>
          <cell r="O2736" t="str">
            <v>Y</v>
          </cell>
          <cell r="P2736" t="str">
            <v>N</v>
          </cell>
          <cell r="Q2736" t="str">
            <v>Vacancy</v>
          </cell>
          <cell r="S2736">
            <v>0.13</v>
          </cell>
        </row>
        <row r="2737">
          <cell r="D2737">
            <v>1108005037</v>
          </cell>
          <cell r="E2737" t="str">
            <v>SAM KELEM</v>
          </cell>
          <cell r="F2737" t="str">
            <v>D (Ch)</v>
          </cell>
          <cell r="H2737" t="str">
            <v>Choice</v>
          </cell>
          <cell r="I2737">
            <v>0.83333333333333337</v>
          </cell>
          <cell r="J2737">
            <v>0.33333333333333331</v>
          </cell>
          <cell r="K2737">
            <v>11.33333333</v>
          </cell>
          <cell r="L2737">
            <v>359.05</v>
          </cell>
          <cell r="O2737" t="str">
            <v>Y</v>
          </cell>
          <cell r="P2737" t="str">
            <v>N</v>
          </cell>
          <cell r="Q2737" t="str">
            <v>Extra Capacity</v>
          </cell>
          <cell r="S2737">
            <v>0.3</v>
          </cell>
        </row>
        <row r="2738">
          <cell r="D2738">
            <v>1108002398</v>
          </cell>
          <cell r="E2738" t="str">
            <v>SELINAH BAKASA</v>
          </cell>
          <cell r="F2738" t="str">
            <v>D (Ch)</v>
          </cell>
          <cell r="G2738">
            <v>17373</v>
          </cell>
          <cell r="H2738" t="str">
            <v>Choice</v>
          </cell>
          <cell r="I2738">
            <v>0.625</v>
          </cell>
          <cell r="J2738">
            <v>0.90625</v>
          </cell>
          <cell r="K2738">
            <v>6.75</v>
          </cell>
          <cell r="L2738">
            <v>164.5</v>
          </cell>
          <cell r="O2738" t="str">
            <v>Y</v>
          </cell>
          <cell r="P2738" t="str">
            <v>N</v>
          </cell>
          <cell r="Q2738" t="str">
            <v>Extra Capacity</v>
          </cell>
          <cell r="S2738">
            <v>0.18</v>
          </cell>
        </row>
        <row r="2739">
          <cell r="D2739">
            <v>1008004089</v>
          </cell>
          <cell r="E2739" t="str">
            <v>SIBONGILE DOKOTERA</v>
          </cell>
          <cell r="F2739" t="str">
            <v>D (MD)</v>
          </cell>
          <cell r="G2739">
            <v>347436</v>
          </cell>
          <cell r="H2739" t="str">
            <v>Mayday</v>
          </cell>
          <cell r="I2739">
            <v>0.625</v>
          </cell>
          <cell r="J2739">
            <v>0.85416666666666663</v>
          </cell>
          <cell r="K2739">
            <v>5.5</v>
          </cell>
          <cell r="L2739">
            <v>177.59</v>
          </cell>
          <cell r="O2739" t="str">
            <v>Y</v>
          </cell>
          <cell r="P2739" t="str">
            <v>N</v>
          </cell>
          <cell r="Q2739" t="str">
            <v>Vacancy</v>
          </cell>
          <cell r="S2739">
            <v>0.15</v>
          </cell>
        </row>
        <row r="2740">
          <cell r="D2740">
            <v>1008005849</v>
          </cell>
          <cell r="E2740" t="str">
            <v>SIBONGILE DOKOTERA</v>
          </cell>
          <cell r="F2740" t="str">
            <v>D (MD)</v>
          </cell>
          <cell r="G2740">
            <v>347437</v>
          </cell>
          <cell r="H2740" t="str">
            <v>Mayday</v>
          </cell>
          <cell r="I2740">
            <v>0.3125</v>
          </cell>
          <cell r="J2740">
            <v>0.5625</v>
          </cell>
          <cell r="K2740">
            <v>5.6666666670000003</v>
          </cell>
          <cell r="L2740">
            <v>182.98</v>
          </cell>
          <cell r="O2740" t="str">
            <v>Y</v>
          </cell>
          <cell r="P2740" t="str">
            <v>N</v>
          </cell>
          <cell r="Q2740" t="str">
            <v>Vacancy</v>
          </cell>
          <cell r="S2740">
            <v>0.15</v>
          </cell>
        </row>
        <row r="2741">
          <cell r="D2741">
            <v>1108005124</v>
          </cell>
          <cell r="E2741" t="str">
            <v>TEMBE NGIDI</v>
          </cell>
          <cell r="F2741" t="str">
            <v>D (MD)</v>
          </cell>
          <cell r="G2741">
            <v>347478</v>
          </cell>
          <cell r="H2741" t="str">
            <v>Mayday</v>
          </cell>
          <cell r="I2741">
            <v>0.8125</v>
          </cell>
          <cell r="J2741">
            <v>0.33333333333333331</v>
          </cell>
          <cell r="K2741">
            <v>11.83333333</v>
          </cell>
          <cell r="L2741">
            <v>496.73</v>
          </cell>
          <cell r="M2741">
            <v>392.29</v>
          </cell>
          <cell r="O2741" t="str">
            <v>Y</v>
          </cell>
          <cell r="P2741" t="str">
            <v>N</v>
          </cell>
          <cell r="Q2741" t="str">
            <v>Vacancy</v>
          </cell>
          <cell r="S2741">
            <v>0.32</v>
          </cell>
        </row>
        <row r="2742">
          <cell r="D2742">
            <v>1108003847</v>
          </cell>
          <cell r="E2742" t="str">
            <v>TOM OSBOURNE</v>
          </cell>
          <cell r="F2742" t="str">
            <v>D General (Orio</v>
          </cell>
          <cell r="G2742" t="str">
            <v>Invsd Smt checked</v>
          </cell>
          <cell r="H2742" t="str">
            <v>Orion</v>
          </cell>
          <cell r="I2742">
            <v>0.33333333333333331</v>
          </cell>
          <cell r="J2742">
            <v>0.75</v>
          </cell>
          <cell r="K2742">
            <v>9.5</v>
          </cell>
          <cell r="L2742">
            <v>172.14</v>
          </cell>
          <cell r="O2742" t="str">
            <v>Y</v>
          </cell>
          <cell r="P2742" t="str">
            <v>N</v>
          </cell>
          <cell r="Q2742" t="str">
            <v>Vacancy</v>
          </cell>
          <cell r="S2742">
            <v>0.25</v>
          </cell>
        </row>
        <row r="2743">
          <cell r="D2743">
            <v>1108004012</v>
          </cell>
          <cell r="E2743" t="str">
            <v>VICTORIA ANIKINA</v>
          </cell>
          <cell r="F2743" t="str">
            <v>D (Amb)</v>
          </cell>
          <cell r="G2743">
            <v>760754</v>
          </cell>
          <cell r="H2743" t="str">
            <v>Ambition</v>
          </cell>
          <cell r="I2743">
            <v>0.5625</v>
          </cell>
          <cell r="J2743">
            <v>0.85416666666666663</v>
          </cell>
          <cell r="K2743">
            <v>6.6666666670000003</v>
          </cell>
          <cell r="L2743">
            <v>260.67</v>
          </cell>
          <cell r="O2743" t="str">
            <v>Y</v>
          </cell>
          <cell r="P2743" t="str">
            <v>N</v>
          </cell>
          <cell r="Q2743" t="str">
            <v>Vacancy</v>
          </cell>
          <cell r="S2743">
            <v>0.18</v>
          </cell>
        </row>
        <row r="2744">
          <cell r="D2744">
            <v>1108004494</v>
          </cell>
          <cell r="E2744" t="str">
            <v>WENDY MFEWE</v>
          </cell>
          <cell r="F2744" t="str">
            <v>A (Ch)</v>
          </cell>
          <cell r="G2744">
            <v>17371</v>
          </cell>
          <cell r="H2744" t="str">
            <v>Choice</v>
          </cell>
          <cell r="I2744">
            <v>0.3125</v>
          </cell>
          <cell r="J2744">
            <v>0.5625</v>
          </cell>
          <cell r="K2744">
            <v>5.6666666670000003</v>
          </cell>
          <cell r="L2744">
            <v>62.84</v>
          </cell>
          <cell r="O2744" t="str">
            <v>Y</v>
          </cell>
          <cell r="P2744" t="str">
            <v>N</v>
          </cell>
          <cell r="Q2744" t="str">
            <v>Under Established</v>
          </cell>
          <cell r="S2744">
            <v>0.15</v>
          </cell>
        </row>
        <row r="2745">
          <cell r="D2745">
            <v>1108004518</v>
          </cell>
          <cell r="E2745" t="str">
            <v>ALLI SUBRAMANIAM</v>
          </cell>
          <cell r="F2745" t="str">
            <v>D (MD)</v>
          </cell>
          <cell r="G2745">
            <v>348812</v>
          </cell>
          <cell r="H2745" t="str">
            <v>Mayday</v>
          </cell>
          <cell r="I2745">
            <v>0.3125</v>
          </cell>
          <cell r="J2745">
            <v>0.625</v>
          </cell>
          <cell r="K2745">
            <v>7.1666666670000003</v>
          </cell>
          <cell r="L2745">
            <v>231.41</v>
          </cell>
          <cell r="O2745" t="str">
            <v>Y</v>
          </cell>
          <cell r="P2745" t="str">
            <v>N</v>
          </cell>
          <cell r="Q2745" t="str">
            <v>Extra Capacity</v>
          </cell>
          <cell r="S2745">
            <v>0.19</v>
          </cell>
        </row>
        <row r="2746">
          <cell r="D2746">
            <v>1008006192</v>
          </cell>
          <cell r="E2746" t="str">
            <v>AMBER PERRY</v>
          </cell>
          <cell r="F2746" t="str">
            <v>D (MD)</v>
          </cell>
          <cell r="G2746">
            <v>347701</v>
          </cell>
          <cell r="H2746" t="str">
            <v>Mayday</v>
          </cell>
          <cell r="I2746">
            <v>0.3125</v>
          </cell>
          <cell r="J2746">
            <v>0.58333333333333337</v>
          </cell>
          <cell r="K2746">
            <v>6.1666666670000003</v>
          </cell>
          <cell r="L2746">
            <v>199.12</v>
          </cell>
          <cell r="O2746" t="str">
            <v>Y</v>
          </cell>
          <cell r="P2746" t="str">
            <v>N</v>
          </cell>
          <cell r="Q2746" t="str">
            <v>Vacancy</v>
          </cell>
          <cell r="S2746">
            <v>0.16</v>
          </cell>
        </row>
        <row r="2747">
          <cell r="D2747">
            <v>1108005122</v>
          </cell>
          <cell r="E2747" t="str">
            <v>ANTHONY OGOEGBUNAN</v>
          </cell>
          <cell r="F2747" t="str">
            <v>D (MD)</v>
          </cell>
          <cell r="G2747">
            <v>347431</v>
          </cell>
          <cell r="H2747" t="str">
            <v>Mayday</v>
          </cell>
          <cell r="I2747">
            <v>0.83333333333333337</v>
          </cell>
          <cell r="J2747">
            <v>0.33333333333333331</v>
          </cell>
          <cell r="K2747">
            <v>11</v>
          </cell>
          <cell r="L2747">
            <v>461.75</v>
          </cell>
          <cell r="O2747" t="str">
            <v>Y</v>
          </cell>
          <cell r="P2747" t="str">
            <v>N</v>
          </cell>
          <cell r="Q2747" t="str">
            <v>Short Term Sick</v>
          </cell>
          <cell r="S2747">
            <v>0.28999999999999998</v>
          </cell>
        </row>
        <row r="2748">
          <cell r="D2748">
            <v>1008005858</v>
          </cell>
          <cell r="E2748" t="str">
            <v>BERNADETTE SHINYA-NDUNUWANI</v>
          </cell>
          <cell r="F2748" t="str">
            <v>D (MD)</v>
          </cell>
          <cell r="G2748">
            <v>347417</v>
          </cell>
          <cell r="H2748" t="str">
            <v>Mayday</v>
          </cell>
          <cell r="I2748">
            <v>0.3125</v>
          </cell>
          <cell r="J2748">
            <v>0.5625</v>
          </cell>
          <cell r="K2748">
            <v>5.6666666670000003</v>
          </cell>
          <cell r="L2748">
            <v>182.98</v>
          </cell>
          <cell r="O2748" t="str">
            <v>Y</v>
          </cell>
          <cell r="P2748" t="str">
            <v>N</v>
          </cell>
          <cell r="Q2748" t="str">
            <v>Vacancy</v>
          </cell>
          <cell r="S2748">
            <v>0.15</v>
          </cell>
        </row>
        <row r="2749">
          <cell r="D2749">
            <v>1008007314</v>
          </cell>
          <cell r="E2749" t="str">
            <v>BERNADETTE SHINYA-NDUNUWANI</v>
          </cell>
          <cell r="F2749" t="str">
            <v>D (MD)</v>
          </cell>
          <cell r="G2749">
            <v>347416</v>
          </cell>
          <cell r="H2749" t="str">
            <v>Mayday</v>
          </cell>
          <cell r="I2749">
            <v>0.5625</v>
          </cell>
          <cell r="J2749">
            <v>0.85416666666666663</v>
          </cell>
          <cell r="K2749">
            <v>6.6666666670000003</v>
          </cell>
          <cell r="L2749">
            <v>215.27</v>
          </cell>
          <cell r="O2749" t="str">
            <v>Y</v>
          </cell>
          <cell r="P2749" t="str">
            <v>N</v>
          </cell>
          <cell r="Q2749" t="str">
            <v>Vacancy</v>
          </cell>
          <cell r="S2749">
            <v>0.18</v>
          </cell>
        </row>
        <row r="2750">
          <cell r="D2750">
            <v>1108004022</v>
          </cell>
          <cell r="E2750" t="str">
            <v>BERTHA CHITABO</v>
          </cell>
          <cell r="F2750" t="str">
            <v>D (Ch)</v>
          </cell>
          <cell r="G2750">
            <v>17380</v>
          </cell>
          <cell r="H2750" t="str">
            <v>Choice</v>
          </cell>
          <cell r="I2750">
            <v>0.83333333333333337</v>
          </cell>
          <cell r="J2750">
            <v>0.33333333333333331</v>
          </cell>
          <cell r="K2750">
            <v>11.33333333</v>
          </cell>
          <cell r="L2750">
            <v>359.05</v>
          </cell>
          <cell r="M2750">
            <v>297.88</v>
          </cell>
          <cell r="O2750" t="str">
            <v>Y</v>
          </cell>
          <cell r="P2750" t="str">
            <v>N</v>
          </cell>
          <cell r="Q2750" t="str">
            <v>Vacancy</v>
          </cell>
          <cell r="S2750">
            <v>0.3</v>
          </cell>
        </row>
        <row r="2751">
          <cell r="D2751">
            <v>1108005910</v>
          </cell>
          <cell r="E2751" t="str">
            <v>CATH CHIDAVAYENZI</v>
          </cell>
          <cell r="F2751" t="str">
            <v>D (Ch)</v>
          </cell>
          <cell r="G2751">
            <v>17369</v>
          </cell>
          <cell r="H2751" t="str">
            <v>Choice</v>
          </cell>
          <cell r="I2751">
            <v>0.88541666666666663</v>
          </cell>
          <cell r="J2751">
            <v>0.30208333333333331</v>
          </cell>
          <cell r="K2751">
            <v>9</v>
          </cell>
          <cell r="L2751">
            <v>285.13</v>
          </cell>
          <cell r="O2751" t="str">
            <v>Y</v>
          </cell>
          <cell r="P2751" t="str">
            <v>N</v>
          </cell>
          <cell r="Q2751" t="str">
            <v>Extra Capacity</v>
          </cell>
          <cell r="S2751">
            <v>0.24</v>
          </cell>
        </row>
        <row r="2752">
          <cell r="D2752">
            <v>1108005504</v>
          </cell>
          <cell r="E2752" t="str">
            <v>CECILIA TIPPA</v>
          </cell>
          <cell r="F2752" t="str">
            <v>D (MD)</v>
          </cell>
          <cell r="G2752">
            <v>349107</v>
          </cell>
          <cell r="H2752" t="str">
            <v>Mayday</v>
          </cell>
          <cell r="I2752">
            <v>0.8125</v>
          </cell>
          <cell r="J2752">
            <v>0.33333333333333331</v>
          </cell>
          <cell r="K2752">
            <v>11.83333333</v>
          </cell>
          <cell r="L2752">
            <v>496.73</v>
          </cell>
          <cell r="O2752" t="str">
            <v>Y</v>
          </cell>
          <cell r="P2752" t="str">
            <v>N</v>
          </cell>
          <cell r="Q2752" t="str">
            <v>Short Term Sick</v>
          </cell>
          <cell r="S2752">
            <v>0.32</v>
          </cell>
        </row>
        <row r="2753">
          <cell r="D2753">
            <v>1108003848</v>
          </cell>
          <cell r="E2753" t="str">
            <v>CHERYL COWLING</v>
          </cell>
          <cell r="F2753" t="str">
            <v>D General (Orio</v>
          </cell>
          <cell r="G2753" t="str">
            <v>Invsd Smt checked</v>
          </cell>
          <cell r="H2753" t="str">
            <v>Orion</v>
          </cell>
          <cell r="I2753">
            <v>0.33333333333333331</v>
          </cell>
          <cell r="J2753">
            <v>0.75</v>
          </cell>
          <cell r="K2753">
            <v>9.5</v>
          </cell>
          <cell r="L2753">
            <v>172.14</v>
          </cell>
          <cell r="O2753" t="str">
            <v>Y</v>
          </cell>
          <cell r="P2753" t="str">
            <v>N</v>
          </cell>
          <cell r="Q2753" t="str">
            <v>Vacancy</v>
          </cell>
          <cell r="S2753">
            <v>0.25</v>
          </cell>
        </row>
        <row r="2754">
          <cell r="D2754">
            <v>1108004960</v>
          </cell>
          <cell r="E2754" t="str">
            <v>CHRIS STULAR</v>
          </cell>
          <cell r="F2754" t="str">
            <v>D General (Orio</v>
          </cell>
          <cell r="G2754" t="str">
            <v>Invsd Smt checked</v>
          </cell>
          <cell r="H2754" t="str">
            <v>Orion</v>
          </cell>
          <cell r="I2754">
            <v>0.33333333333333331</v>
          </cell>
          <cell r="J2754">
            <v>0.75</v>
          </cell>
          <cell r="K2754">
            <v>9.5</v>
          </cell>
          <cell r="L2754">
            <v>172.14</v>
          </cell>
          <cell r="O2754" t="str">
            <v>Y</v>
          </cell>
          <cell r="P2754" t="str">
            <v>N</v>
          </cell>
          <cell r="Q2754" t="str">
            <v>Vacancy</v>
          </cell>
          <cell r="S2754">
            <v>0.25</v>
          </cell>
        </row>
        <row r="2755">
          <cell r="D2755">
            <v>1108004020</v>
          </cell>
          <cell r="E2755" t="str">
            <v>COLLEN SIBANDA</v>
          </cell>
          <cell r="F2755" t="str">
            <v>D (Ch)</v>
          </cell>
          <cell r="G2755">
            <v>17380</v>
          </cell>
          <cell r="H2755" t="str">
            <v>Choice</v>
          </cell>
          <cell r="I2755">
            <v>0.3125</v>
          </cell>
          <cell r="J2755">
            <v>0.5625</v>
          </cell>
          <cell r="K2755">
            <v>5.6666666670000003</v>
          </cell>
          <cell r="L2755">
            <v>138.1</v>
          </cell>
          <cell r="M2755">
            <v>127.94</v>
          </cell>
          <cell r="O2755" t="str">
            <v>Y</v>
          </cell>
          <cell r="P2755" t="str">
            <v>N</v>
          </cell>
          <cell r="Q2755" t="str">
            <v>Vacancy</v>
          </cell>
          <cell r="S2755">
            <v>0.15</v>
          </cell>
        </row>
        <row r="2756">
          <cell r="D2756">
            <v>1108004937</v>
          </cell>
          <cell r="E2756" t="str">
            <v>DAMILOLA AIKI</v>
          </cell>
          <cell r="F2756" t="str">
            <v>A (Ch)</v>
          </cell>
          <cell r="G2756">
            <v>17386</v>
          </cell>
          <cell r="H2756" t="str">
            <v>Choice</v>
          </cell>
          <cell r="I2756">
            <v>0.625</v>
          </cell>
          <cell r="J2756">
            <v>0.88541666666666663</v>
          </cell>
          <cell r="K2756">
            <v>5.9166666670000003</v>
          </cell>
          <cell r="L2756">
            <v>65.62</v>
          </cell>
          <cell r="O2756" t="str">
            <v>Y</v>
          </cell>
          <cell r="P2756" t="str">
            <v>N</v>
          </cell>
          <cell r="Q2756" t="str">
            <v>Specials</v>
          </cell>
          <cell r="S2756">
            <v>0.16</v>
          </cell>
        </row>
        <row r="2757">
          <cell r="D2757">
            <v>1108004933</v>
          </cell>
          <cell r="E2757" t="str">
            <v>DAVE JOYSURY</v>
          </cell>
          <cell r="F2757" t="str">
            <v>D (MD)</v>
          </cell>
          <cell r="G2757">
            <v>350445</v>
          </cell>
          <cell r="H2757" t="str">
            <v>Mayday</v>
          </cell>
          <cell r="I2757">
            <v>0.29166666666666669</v>
          </cell>
          <cell r="J2757">
            <v>0.625</v>
          </cell>
          <cell r="K2757">
            <v>7.6666666670000003</v>
          </cell>
          <cell r="L2757">
            <v>247.56</v>
          </cell>
          <cell r="O2757" t="str">
            <v>Y</v>
          </cell>
          <cell r="P2757" t="str">
            <v>N</v>
          </cell>
          <cell r="Q2757" t="str">
            <v>Specials</v>
          </cell>
          <cell r="S2757">
            <v>0.2</v>
          </cell>
        </row>
        <row r="2758">
          <cell r="D2758">
            <v>1008005857</v>
          </cell>
          <cell r="E2758" t="str">
            <v>DIGRACIA  NAPE</v>
          </cell>
          <cell r="F2758" t="str">
            <v>D (MD)</v>
          </cell>
          <cell r="G2758">
            <v>347441</v>
          </cell>
          <cell r="H2758" t="str">
            <v>Mayday</v>
          </cell>
          <cell r="I2758">
            <v>0.3125</v>
          </cell>
          <cell r="J2758">
            <v>0.5625</v>
          </cell>
          <cell r="K2758">
            <v>5.6666666670000003</v>
          </cell>
          <cell r="L2758">
            <v>182.98</v>
          </cell>
          <cell r="O2758" t="str">
            <v>Y</v>
          </cell>
          <cell r="P2758" t="str">
            <v>N</v>
          </cell>
          <cell r="Q2758" t="str">
            <v>Vacancy</v>
          </cell>
          <cell r="S2758">
            <v>0.15</v>
          </cell>
        </row>
        <row r="2759">
          <cell r="D2759">
            <v>1108006107</v>
          </cell>
          <cell r="E2759" t="str">
            <v>DONALD YANZA</v>
          </cell>
          <cell r="F2759" t="str">
            <v>D (Ch)</v>
          </cell>
          <cell r="G2759">
            <v>17394</v>
          </cell>
          <cell r="H2759" t="str">
            <v>Choice</v>
          </cell>
          <cell r="I2759">
            <v>0.83333333333333337</v>
          </cell>
          <cell r="J2759">
            <v>0.33333333333333331</v>
          </cell>
          <cell r="K2759">
            <v>11.33333333</v>
          </cell>
          <cell r="L2759">
            <v>359.05</v>
          </cell>
          <cell r="O2759" t="str">
            <v>Y</v>
          </cell>
          <cell r="P2759" t="str">
            <v>N</v>
          </cell>
          <cell r="Q2759" t="str">
            <v>Study Leave</v>
          </cell>
          <cell r="S2759">
            <v>0.3</v>
          </cell>
        </row>
        <row r="2760">
          <cell r="D2760">
            <v>1108004939</v>
          </cell>
          <cell r="E2760" t="str">
            <v>DOROTHY MUTHWA</v>
          </cell>
          <cell r="F2760" t="str">
            <v>A (Ch)</v>
          </cell>
          <cell r="G2760">
            <v>17386</v>
          </cell>
          <cell r="H2760" t="str">
            <v>Choice</v>
          </cell>
          <cell r="I2760">
            <v>0.88541666666666663</v>
          </cell>
          <cell r="J2760">
            <v>0.3125</v>
          </cell>
          <cell r="K2760">
            <v>9.25</v>
          </cell>
          <cell r="L2760">
            <v>136.78</v>
          </cell>
          <cell r="O2760" t="str">
            <v>Y</v>
          </cell>
          <cell r="P2760" t="str">
            <v>N</v>
          </cell>
          <cell r="Q2760" t="str">
            <v>Specials</v>
          </cell>
          <cell r="S2760">
            <v>0.25</v>
          </cell>
        </row>
        <row r="2761">
          <cell r="D2761">
            <v>1108004511</v>
          </cell>
          <cell r="E2761" t="str">
            <v>EMMANUEL SALAKO</v>
          </cell>
          <cell r="F2761" t="str">
            <v>D (MD)</v>
          </cell>
          <cell r="G2761">
            <v>347723</v>
          </cell>
          <cell r="H2761" t="str">
            <v>Mayday</v>
          </cell>
          <cell r="I2761">
            <v>0.3125</v>
          </cell>
          <cell r="J2761">
            <v>0.625</v>
          </cell>
          <cell r="K2761">
            <v>7.1666666670000003</v>
          </cell>
          <cell r="L2761">
            <v>231.41</v>
          </cell>
          <cell r="O2761" t="str">
            <v>Y</v>
          </cell>
          <cell r="P2761" t="str">
            <v>N</v>
          </cell>
          <cell r="Q2761" t="str">
            <v>Extra Capacity</v>
          </cell>
          <cell r="S2761">
            <v>0.19</v>
          </cell>
        </row>
        <row r="2762">
          <cell r="D2762">
            <v>1108004532</v>
          </cell>
          <cell r="E2762" t="str">
            <v>EMMANUEL SALAKO</v>
          </cell>
          <cell r="F2762" t="str">
            <v>D (MD)</v>
          </cell>
          <cell r="G2762">
            <v>347723</v>
          </cell>
          <cell r="H2762" t="str">
            <v>Mayday</v>
          </cell>
          <cell r="I2762">
            <v>0.625</v>
          </cell>
          <cell r="J2762">
            <v>0.85416666666666663</v>
          </cell>
          <cell r="K2762">
            <v>5.5</v>
          </cell>
          <cell r="L2762">
            <v>177.59</v>
          </cell>
          <cell r="O2762" t="str">
            <v>Y</v>
          </cell>
          <cell r="P2762" t="str">
            <v>N</v>
          </cell>
          <cell r="Q2762" t="str">
            <v>Extra Capacity</v>
          </cell>
          <cell r="S2762">
            <v>0.15</v>
          </cell>
        </row>
        <row r="2763">
          <cell r="D2763">
            <v>1008004095</v>
          </cell>
          <cell r="E2763" t="str">
            <v>FIONA DURKIN-GREER</v>
          </cell>
          <cell r="F2763" t="str">
            <v>D (MD)</v>
          </cell>
          <cell r="G2763">
            <v>353530</v>
          </cell>
          <cell r="H2763" t="str">
            <v>Mayday</v>
          </cell>
          <cell r="I2763">
            <v>0.625</v>
          </cell>
          <cell r="J2763">
            <v>0.85416666666666663</v>
          </cell>
          <cell r="K2763">
            <v>5.5</v>
          </cell>
          <cell r="L2763">
            <v>177.59</v>
          </cell>
          <cell r="O2763" t="str">
            <v>Y</v>
          </cell>
          <cell r="P2763" t="str">
            <v>N</v>
          </cell>
          <cell r="Q2763" t="str">
            <v>Vacancy</v>
          </cell>
          <cell r="S2763">
            <v>0.15</v>
          </cell>
        </row>
        <row r="2764">
          <cell r="D2764">
            <v>1108003987</v>
          </cell>
          <cell r="E2764" t="str">
            <v>GERTHY ALBANO</v>
          </cell>
          <cell r="F2764" t="str">
            <v>D (Ch)</v>
          </cell>
          <cell r="G2764">
            <v>17392</v>
          </cell>
          <cell r="H2764" t="str">
            <v>Choice</v>
          </cell>
          <cell r="I2764">
            <v>0.875</v>
          </cell>
          <cell r="J2764">
            <v>0.32291666666666669</v>
          </cell>
          <cell r="K2764">
            <v>10</v>
          </cell>
          <cell r="L2764">
            <v>316.81</v>
          </cell>
          <cell r="O2764" t="str">
            <v>Y</v>
          </cell>
          <cell r="P2764" t="str">
            <v>N</v>
          </cell>
          <cell r="Q2764" t="str">
            <v>Specials</v>
          </cell>
          <cell r="S2764">
            <v>0.27</v>
          </cell>
        </row>
        <row r="2765">
          <cell r="D2765">
            <v>1008006410</v>
          </cell>
          <cell r="E2765" t="str">
            <v>JAKE BROOKES</v>
          </cell>
          <cell r="F2765" t="str">
            <v>D General (Orio</v>
          </cell>
          <cell r="G2765" t="str">
            <v>Invsd Smt checked</v>
          </cell>
          <cell r="H2765" t="str">
            <v>Orion</v>
          </cell>
          <cell r="I2765">
            <v>0.33333333333333331</v>
          </cell>
          <cell r="J2765">
            <v>0.75</v>
          </cell>
          <cell r="K2765">
            <v>9.6666666669999994</v>
          </cell>
          <cell r="L2765">
            <v>175.16</v>
          </cell>
          <cell r="O2765" t="str">
            <v>Y</v>
          </cell>
          <cell r="P2765" t="str">
            <v>N</v>
          </cell>
          <cell r="Q2765" t="str">
            <v>Long Term Sick</v>
          </cell>
          <cell r="S2765">
            <v>0.26</v>
          </cell>
        </row>
        <row r="2766">
          <cell r="D2766">
            <v>1108005118</v>
          </cell>
          <cell r="E2766" t="str">
            <v>JAMES MCCLEMENTS</v>
          </cell>
          <cell r="F2766" t="str">
            <v>D (MD)</v>
          </cell>
          <cell r="G2766">
            <v>347427</v>
          </cell>
          <cell r="H2766" t="str">
            <v>Mayday</v>
          </cell>
          <cell r="I2766">
            <v>0.3125</v>
          </cell>
          <cell r="J2766">
            <v>0.85416666666666663</v>
          </cell>
          <cell r="K2766">
            <v>12.33333333</v>
          </cell>
          <cell r="L2766">
            <v>398.24</v>
          </cell>
          <cell r="O2766" t="str">
            <v>Y</v>
          </cell>
          <cell r="P2766" t="str">
            <v>N</v>
          </cell>
          <cell r="Q2766" t="str">
            <v>Extra Capacity</v>
          </cell>
          <cell r="S2766">
            <v>0.33</v>
          </cell>
        </row>
        <row r="2767">
          <cell r="D2767">
            <v>1108004938</v>
          </cell>
          <cell r="E2767" t="str">
            <v>JAMES STEEVENSON</v>
          </cell>
          <cell r="F2767" t="str">
            <v>D / 5 General (</v>
          </cell>
          <cell r="G2767" t="str">
            <v>604-158553</v>
          </cell>
          <cell r="H2767" t="str">
            <v>Medacs</v>
          </cell>
          <cell r="I2767">
            <v>0.88541666666666663</v>
          </cell>
          <cell r="J2767">
            <v>0.3125</v>
          </cell>
          <cell r="K2767">
            <v>9.25</v>
          </cell>
          <cell r="L2767">
            <v>202.98</v>
          </cell>
          <cell r="O2767" t="str">
            <v>Y</v>
          </cell>
          <cell r="P2767" t="str">
            <v>N</v>
          </cell>
          <cell r="Q2767" t="str">
            <v>Specials</v>
          </cell>
          <cell r="S2767">
            <v>0.25</v>
          </cell>
        </row>
        <row r="2768">
          <cell r="D2768">
            <v>1108004087</v>
          </cell>
          <cell r="E2768" t="str">
            <v>JEAN NGONA</v>
          </cell>
          <cell r="F2768" t="str">
            <v>D (MD)</v>
          </cell>
          <cell r="G2768">
            <v>348803</v>
          </cell>
          <cell r="H2768" t="str">
            <v>Mayday</v>
          </cell>
          <cell r="I2768">
            <v>0.3125</v>
          </cell>
          <cell r="J2768">
            <v>0.85416666666666663</v>
          </cell>
          <cell r="K2768">
            <v>12.33333333</v>
          </cell>
          <cell r="L2768">
            <v>398.24</v>
          </cell>
          <cell r="O2768" t="str">
            <v>Y</v>
          </cell>
          <cell r="P2768" t="str">
            <v>N</v>
          </cell>
          <cell r="Q2768" t="str">
            <v>Short Term Sick</v>
          </cell>
          <cell r="S2768">
            <v>0.33</v>
          </cell>
        </row>
        <row r="2769">
          <cell r="D2769">
            <v>1108004329</v>
          </cell>
          <cell r="E2769" t="str">
            <v>JOAN LEWIS</v>
          </cell>
          <cell r="F2769" t="str">
            <v>D (MD)</v>
          </cell>
          <cell r="G2769">
            <v>347718</v>
          </cell>
          <cell r="H2769" t="str">
            <v>Mayday</v>
          </cell>
          <cell r="I2769">
            <v>0.64583333333333337</v>
          </cell>
          <cell r="J2769">
            <v>0.85416666666666663</v>
          </cell>
          <cell r="K2769">
            <v>5</v>
          </cell>
          <cell r="L2769">
            <v>161.44999999999999</v>
          </cell>
          <cell r="O2769" t="str">
            <v>Y</v>
          </cell>
          <cell r="P2769" t="str">
            <v>N</v>
          </cell>
          <cell r="Q2769" t="str">
            <v>Short Term Sick</v>
          </cell>
          <cell r="S2769">
            <v>0.13</v>
          </cell>
        </row>
        <row r="2770">
          <cell r="D2770">
            <v>1108005573</v>
          </cell>
          <cell r="E2770" t="str">
            <v>JOAN LEWIS</v>
          </cell>
          <cell r="F2770" t="str">
            <v>D (MD)</v>
          </cell>
          <cell r="G2770">
            <v>347718</v>
          </cell>
          <cell r="H2770" t="str">
            <v>Mayday</v>
          </cell>
          <cell r="I2770">
            <v>0.3125</v>
          </cell>
          <cell r="J2770">
            <v>0.625</v>
          </cell>
          <cell r="K2770">
            <v>7.1666666670000003</v>
          </cell>
          <cell r="L2770">
            <v>231.41</v>
          </cell>
          <cell r="O2770" t="str">
            <v>Y</v>
          </cell>
          <cell r="P2770" t="str">
            <v>N</v>
          </cell>
          <cell r="Q2770" t="str">
            <v>Extra Capacity</v>
          </cell>
          <cell r="S2770">
            <v>0.19</v>
          </cell>
        </row>
        <row r="2771">
          <cell r="D2771">
            <v>1108005732</v>
          </cell>
          <cell r="E2771" t="str">
            <v>JOHANNA AISH</v>
          </cell>
          <cell r="F2771" t="str">
            <v>5 General (Adva</v>
          </cell>
          <cell r="G2771">
            <v>1411407</v>
          </cell>
          <cell r="H2771" t="str">
            <v>Advantage</v>
          </cell>
          <cell r="I2771">
            <v>0.8125</v>
          </cell>
          <cell r="J2771">
            <v>0.33333333333333331</v>
          </cell>
          <cell r="K2771">
            <v>11.83333333</v>
          </cell>
          <cell r="L2771">
            <v>246.75</v>
          </cell>
          <cell r="O2771" t="str">
            <v>Y</v>
          </cell>
          <cell r="P2771" t="str">
            <v>N</v>
          </cell>
          <cell r="Q2771" t="str">
            <v>Specials</v>
          </cell>
          <cell r="S2771">
            <v>0.32</v>
          </cell>
        </row>
        <row r="2772">
          <cell r="D2772">
            <v>1108004546</v>
          </cell>
          <cell r="E2772" t="str">
            <v>JOY MABITLE</v>
          </cell>
          <cell r="F2772" t="str">
            <v>D (MD)</v>
          </cell>
          <cell r="G2772">
            <v>363320</v>
          </cell>
          <cell r="H2772" t="str">
            <v>Mayday</v>
          </cell>
          <cell r="I2772">
            <v>0.83333333333333337</v>
          </cell>
          <cell r="J2772">
            <v>0.33333333333333331</v>
          </cell>
          <cell r="K2772">
            <v>11.33333333</v>
          </cell>
          <cell r="L2772">
            <v>475.74</v>
          </cell>
          <cell r="O2772" t="str">
            <v>Y</v>
          </cell>
          <cell r="P2772" t="str">
            <v>N</v>
          </cell>
          <cell r="Q2772" t="str">
            <v>Extra Capacity</v>
          </cell>
          <cell r="S2772">
            <v>0.3</v>
          </cell>
        </row>
        <row r="2773">
          <cell r="D2773">
            <v>1108005868</v>
          </cell>
          <cell r="E2773" t="str">
            <v>KATE GUTHRIE</v>
          </cell>
          <cell r="F2773" t="str">
            <v>5 General (Adva</v>
          </cell>
          <cell r="G2773">
            <v>1411409</v>
          </cell>
          <cell r="H2773" t="str">
            <v>Advantage</v>
          </cell>
          <cell r="I2773">
            <v>0.83333333333333337</v>
          </cell>
          <cell r="J2773">
            <v>0.33333333333333331</v>
          </cell>
          <cell r="K2773">
            <v>11.33333333</v>
          </cell>
          <cell r="L2773">
            <v>236.32</v>
          </cell>
          <cell r="O2773" t="str">
            <v>Y</v>
          </cell>
          <cell r="P2773" t="str">
            <v>N</v>
          </cell>
          <cell r="Q2773" t="str">
            <v>Vacancy</v>
          </cell>
          <cell r="S2773">
            <v>0.3</v>
          </cell>
        </row>
        <row r="2774">
          <cell r="D2774">
            <v>1108004766</v>
          </cell>
          <cell r="E2774" t="str">
            <v>KATIE KEAVENEY</v>
          </cell>
          <cell r="F2774" t="str">
            <v>D (MD)</v>
          </cell>
          <cell r="G2774">
            <v>347727</v>
          </cell>
          <cell r="H2774" t="str">
            <v>Mayday</v>
          </cell>
          <cell r="I2774">
            <v>0.29166666666666669</v>
          </cell>
          <cell r="J2774">
            <v>0.54166666666666663</v>
          </cell>
          <cell r="K2774">
            <v>5.75</v>
          </cell>
          <cell r="L2774">
            <v>185.67</v>
          </cell>
          <cell r="O2774" t="str">
            <v>Y</v>
          </cell>
          <cell r="P2774" t="str">
            <v>N</v>
          </cell>
          <cell r="Q2774" t="str">
            <v>Short Term Sick</v>
          </cell>
          <cell r="S2774">
            <v>0.15</v>
          </cell>
        </row>
        <row r="2775">
          <cell r="D2775">
            <v>1108005213</v>
          </cell>
          <cell r="E2775" t="str">
            <v>KATIE KEAVENEY</v>
          </cell>
          <cell r="F2775" t="str">
            <v>D (MD)</v>
          </cell>
          <cell r="G2775">
            <v>347727</v>
          </cell>
          <cell r="H2775" t="str">
            <v>Mayday</v>
          </cell>
          <cell r="I2775">
            <v>0.625</v>
          </cell>
          <cell r="J2775">
            <v>0.875</v>
          </cell>
          <cell r="K2775">
            <v>5.75</v>
          </cell>
          <cell r="L2775">
            <v>185.67</v>
          </cell>
          <cell r="O2775" t="str">
            <v>Y</v>
          </cell>
          <cell r="P2775" t="str">
            <v>N</v>
          </cell>
          <cell r="Q2775" t="str">
            <v>Short Term Sick</v>
          </cell>
          <cell r="S2775">
            <v>0.15</v>
          </cell>
        </row>
        <row r="2776">
          <cell r="D2776">
            <v>1108004539</v>
          </cell>
          <cell r="E2776" t="str">
            <v>LETECIA MENIANO</v>
          </cell>
          <cell r="F2776" t="str">
            <v>D (MD)</v>
          </cell>
          <cell r="G2776">
            <v>347711</v>
          </cell>
          <cell r="H2776" t="str">
            <v>Mayday</v>
          </cell>
          <cell r="I2776">
            <v>0.83333333333333337</v>
          </cell>
          <cell r="J2776">
            <v>0.33333333333333331</v>
          </cell>
          <cell r="K2776">
            <v>11.33333333</v>
          </cell>
          <cell r="L2776">
            <v>475.74</v>
          </cell>
          <cell r="O2776" t="str">
            <v>Y</v>
          </cell>
          <cell r="P2776" t="str">
            <v>N</v>
          </cell>
          <cell r="Q2776" t="str">
            <v>Extra Capacity</v>
          </cell>
          <cell r="S2776">
            <v>0.3</v>
          </cell>
        </row>
        <row r="2777">
          <cell r="D2777">
            <v>1108005915</v>
          </cell>
          <cell r="E2777" t="str">
            <v>MABEL MNISI</v>
          </cell>
          <cell r="F2777" t="str">
            <v>D (MD)</v>
          </cell>
          <cell r="G2777">
            <v>347440</v>
          </cell>
          <cell r="H2777" t="str">
            <v>Mayday</v>
          </cell>
          <cell r="I2777">
            <v>0.83333333333333337</v>
          </cell>
          <cell r="J2777">
            <v>0.33333333333333331</v>
          </cell>
          <cell r="K2777">
            <v>11.33333333</v>
          </cell>
          <cell r="L2777">
            <v>475.74</v>
          </cell>
          <cell r="O2777" t="str">
            <v>Y</v>
          </cell>
          <cell r="P2777" t="str">
            <v>N</v>
          </cell>
          <cell r="Q2777" t="str">
            <v>Short Term Sick</v>
          </cell>
          <cell r="S2777">
            <v>0.3</v>
          </cell>
        </row>
        <row r="2778">
          <cell r="D2778">
            <v>1108000958</v>
          </cell>
          <cell r="E2778" t="str">
            <v>MIHAELA CHIRIBAU</v>
          </cell>
          <cell r="F2778" t="str">
            <v>D (MD)</v>
          </cell>
          <cell r="G2778">
            <v>347737</v>
          </cell>
          <cell r="H2778" t="str">
            <v>Mayday</v>
          </cell>
          <cell r="I2778">
            <v>0.625</v>
          </cell>
          <cell r="J2778">
            <v>0.89583333333333337</v>
          </cell>
          <cell r="K2778">
            <v>6.1666666670000003</v>
          </cell>
          <cell r="L2778">
            <v>199.12</v>
          </cell>
          <cell r="O2778" t="str">
            <v>Y</v>
          </cell>
          <cell r="P2778" t="str">
            <v>N</v>
          </cell>
          <cell r="Q2778" t="str">
            <v>Vacancy</v>
          </cell>
          <cell r="S2778">
            <v>0.16</v>
          </cell>
        </row>
        <row r="2779">
          <cell r="D2779">
            <v>1108005572</v>
          </cell>
          <cell r="E2779" t="str">
            <v>MIHAELA CHIRIBAU</v>
          </cell>
          <cell r="F2779" t="str">
            <v>D (MD)</v>
          </cell>
          <cell r="G2779">
            <v>347741</v>
          </cell>
          <cell r="H2779" t="str">
            <v>Mayday</v>
          </cell>
          <cell r="I2779">
            <v>0.3125</v>
          </cell>
          <cell r="J2779">
            <v>0.625</v>
          </cell>
          <cell r="K2779">
            <v>7.1666666670000003</v>
          </cell>
          <cell r="L2779">
            <v>231.41</v>
          </cell>
          <cell r="O2779" t="str">
            <v>Y</v>
          </cell>
          <cell r="P2779" t="str">
            <v>N</v>
          </cell>
          <cell r="Q2779" t="str">
            <v>Extra Capacity</v>
          </cell>
          <cell r="S2779">
            <v>0.19</v>
          </cell>
        </row>
        <row r="2780">
          <cell r="D2780">
            <v>1108005913</v>
          </cell>
          <cell r="E2780" t="str">
            <v>NOLIZWI MGANDELA</v>
          </cell>
          <cell r="F2780" t="str">
            <v>D (MD)</v>
          </cell>
          <cell r="G2780">
            <v>346841</v>
          </cell>
          <cell r="H2780" t="str">
            <v>Mayday</v>
          </cell>
          <cell r="I2780">
            <v>0.83333333333333337</v>
          </cell>
          <cell r="J2780">
            <v>0.33333333333333331</v>
          </cell>
          <cell r="K2780">
            <v>11.33333333</v>
          </cell>
          <cell r="L2780">
            <v>475.74</v>
          </cell>
          <cell r="O2780" t="str">
            <v>Y</v>
          </cell>
          <cell r="P2780" t="str">
            <v>N</v>
          </cell>
          <cell r="Q2780" t="str">
            <v>Extra Capacity</v>
          </cell>
          <cell r="S2780">
            <v>0.3</v>
          </cell>
        </row>
        <row r="2781">
          <cell r="D2781">
            <v>1108003151</v>
          </cell>
          <cell r="E2781" t="str">
            <v>OMAR SENGHORE</v>
          </cell>
          <cell r="F2781" t="str">
            <v>D (MD)</v>
          </cell>
          <cell r="G2781">
            <v>348798</v>
          </cell>
          <cell r="H2781" t="str">
            <v>Mayday</v>
          </cell>
          <cell r="I2781">
            <v>0.88541666666666663</v>
          </cell>
          <cell r="J2781">
            <v>0.30208333333333331</v>
          </cell>
          <cell r="K2781">
            <v>9</v>
          </cell>
          <cell r="L2781">
            <v>377.79</v>
          </cell>
          <cell r="O2781" t="str">
            <v>Y</v>
          </cell>
          <cell r="P2781" t="str">
            <v>N</v>
          </cell>
          <cell r="Q2781" t="str">
            <v>Short Term Sick</v>
          </cell>
          <cell r="S2781">
            <v>0.24</v>
          </cell>
        </row>
        <row r="2782">
          <cell r="D2782">
            <v>1108005040</v>
          </cell>
          <cell r="E2782" t="str">
            <v>PAT NKOSI</v>
          </cell>
          <cell r="F2782" t="str">
            <v>D (MD)</v>
          </cell>
          <cell r="G2782">
            <v>347438</v>
          </cell>
          <cell r="H2782" t="str">
            <v>Mayday</v>
          </cell>
          <cell r="I2782">
            <v>0.3125</v>
          </cell>
          <cell r="J2782">
            <v>0.60416666666666663</v>
          </cell>
          <cell r="K2782">
            <v>6.6666666670000003</v>
          </cell>
          <cell r="L2782">
            <v>215.27</v>
          </cell>
          <cell r="O2782" t="str">
            <v>Y</v>
          </cell>
          <cell r="P2782" t="str">
            <v>N</v>
          </cell>
          <cell r="Q2782" t="str">
            <v>Extra Capacity</v>
          </cell>
          <cell r="S2782">
            <v>0.18</v>
          </cell>
        </row>
        <row r="2783">
          <cell r="D2783">
            <v>1108005042</v>
          </cell>
          <cell r="E2783" t="str">
            <v>PAT NKOSI</v>
          </cell>
          <cell r="F2783" t="str">
            <v>D (MD)</v>
          </cell>
          <cell r="G2783">
            <v>347438</v>
          </cell>
          <cell r="H2783" t="str">
            <v>Mayday</v>
          </cell>
          <cell r="I2783">
            <v>0.60416666666666663</v>
          </cell>
          <cell r="J2783">
            <v>0.85416666666666663</v>
          </cell>
          <cell r="K2783">
            <v>5.6666666670000003</v>
          </cell>
          <cell r="L2783">
            <v>182.98</v>
          </cell>
          <cell r="O2783" t="str">
            <v>Y</v>
          </cell>
          <cell r="P2783" t="str">
            <v>N</v>
          </cell>
          <cell r="Q2783" t="str">
            <v>Extra Capacity</v>
          </cell>
          <cell r="S2783">
            <v>0.15</v>
          </cell>
        </row>
        <row r="2784">
          <cell r="D2784">
            <v>1108002404</v>
          </cell>
          <cell r="E2784" t="str">
            <v>PEGGY MAPOGO</v>
          </cell>
          <cell r="F2784" t="str">
            <v>D (Ch)</v>
          </cell>
          <cell r="G2784">
            <v>17373</v>
          </cell>
          <cell r="H2784" t="str">
            <v>Choice</v>
          </cell>
          <cell r="I2784">
            <v>0.29166666666666669</v>
          </cell>
          <cell r="J2784">
            <v>0.625</v>
          </cell>
          <cell r="K2784">
            <v>7.6666666670000003</v>
          </cell>
          <cell r="L2784">
            <v>186.84</v>
          </cell>
          <cell r="O2784" t="str">
            <v>Y</v>
          </cell>
          <cell r="P2784" t="str">
            <v>N</v>
          </cell>
          <cell r="Q2784" t="str">
            <v>Extra Capacity</v>
          </cell>
          <cell r="S2784">
            <v>0.2</v>
          </cell>
        </row>
        <row r="2785">
          <cell r="D2785">
            <v>1108005127</v>
          </cell>
          <cell r="E2785" t="str">
            <v>PEGGY MAPOGO</v>
          </cell>
          <cell r="F2785" t="str">
            <v>D (Ch)</v>
          </cell>
          <cell r="G2785">
            <v>17373</v>
          </cell>
          <cell r="H2785" t="str">
            <v>Choice</v>
          </cell>
          <cell r="I2785">
            <v>0.625</v>
          </cell>
          <cell r="J2785">
            <v>0.90625</v>
          </cell>
          <cell r="K2785">
            <v>6.75</v>
          </cell>
          <cell r="L2785">
            <v>164.5</v>
          </cell>
          <cell r="O2785" t="str">
            <v>Y</v>
          </cell>
          <cell r="P2785" t="str">
            <v>N</v>
          </cell>
          <cell r="Q2785" t="str">
            <v>Short Term Sick</v>
          </cell>
          <cell r="S2785">
            <v>0.18</v>
          </cell>
        </row>
        <row r="2786">
          <cell r="D2786">
            <v>1108005044</v>
          </cell>
          <cell r="E2786" t="str">
            <v>SAM KELEM</v>
          </cell>
          <cell r="F2786" t="str">
            <v>D (Ch)</v>
          </cell>
          <cell r="G2786">
            <v>17375</v>
          </cell>
          <cell r="H2786" t="str">
            <v>Choice</v>
          </cell>
          <cell r="I2786">
            <v>0.83333333333333337</v>
          </cell>
          <cell r="J2786">
            <v>0.33333333333333331</v>
          </cell>
          <cell r="K2786">
            <v>11.33333333</v>
          </cell>
          <cell r="L2786">
            <v>359.05</v>
          </cell>
          <cell r="O2786" t="str">
            <v>Y</v>
          </cell>
          <cell r="P2786" t="str">
            <v>N</v>
          </cell>
          <cell r="Q2786" t="str">
            <v>Extra Capacity</v>
          </cell>
          <cell r="S2786">
            <v>0.3</v>
          </cell>
        </row>
        <row r="2787">
          <cell r="D2787">
            <v>1108005039</v>
          </cell>
          <cell r="E2787" t="str">
            <v>SELINAH BAKASA</v>
          </cell>
          <cell r="F2787" t="str">
            <v>D (Ch)</v>
          </cell>
          <cell r="H2787" t="str">
            <v>Choice</v>
          </cell>
          <cell r="I2787">
            <v>0.3125</v>
          </cell>
          <cell r="J2787">
            <v>0.60416666666666663</v>
          </cell>
          <cell r="K2787">
            <v>6.6666666670000003</v>
          </cell>
          <cell r="L2787">
            <v>162.47</v>
          </cell>
          <cell r="O2787" t="str">
            <v>Y</v>
          </cell>
          <cell r="P2787" t="str">
            <v>N</v>
          </cell>
          <cell r="Q2787" t="str">
            <v>Extra Capacity</v>
          </cell>
          <cell r="S2787">
            <v>0.18</v>
          </cell>
        </row>
        <row r="2788">
          <cell r="D2788">
            <v>1108005041</v>
          </cell>
          <cell r="E2788" t="str">
            <v>SELINAH BAKASA</v>
          </cell>
          <cell r="F2788" t="str">
            <v>D (Ch)</v>
          </cell>
          <cell r="H2788" t="str">
            <v>Choice</v>
          </cell>
          <cell r="I2788">
            <v>0.60416666666666663</v>
          </cell>
          <cell r="J2788">
            <v>0.85416666666666663</v>
          </cell>
          <cell r="K2788">
            <v>5.6666666670000003</v>
          </cell>
          <cell r="L2788">
            <v>138.1</v>
          </cell>
          <cell r="O2788" t="str">
            <v>Y</v>
          </cell>
          <cell r="P2788" t="str">
            <v>N</v>
          </cell>
          <cell r="Q2788" t="str">
            <v>Extra Capacity</v>
          </cell>
          <cell r="S2788">
            <v>0.15</v>
          </cell>
        </row>
        <row r="2789">
          <cell r="D2789">
            <v>1008004094</v>
          </cell>
          <cell r="E2789" t="str">
            <v>SIBONGILE DOKOTERA</v>
          </cell>
          <cell r="F2789" t="str">
            <v>D (MD)</v>
          </cell>
          <cell r="G2789">
            <v>347434</v>
          </cell>
          <cell r="H2789" t="str">
            <v>Mayday</v>
          </cell>
          <cell r="I2789">
            <v>0.625</v>
          </cell>
          <cell r="J2789">
            <v>0.85416666666666663</v>
          </cell>
          <cell r="K2789">
            <v>5.5</v>
          </cell>
          <cell r="L2789">
            <v>177.59</v>
          </cell>
          <cell r="O2789" t="str">
            <v>Y</v>
          </cell>
          <cell r="P2789" t="str">
            <v>N</v>
          </cell>
          <cell r="Q2789" t="str">
            <v>Vacancy</v>
          </cell>
          <cell r="S2789">
            <v>0.15</v>
          </cell>
        </row>
        <row r="2790">
          <cell r="D2790">
            <v>1108005912</v>
          </cell>
          <cell r="E2790" t="str">
            <v>SINCENGA GULU</v>
          </cell>
          <cell r="F2790" t="str">
            <v>D (MD)</v>
          </cell>
          <cell r="G2790">
            <v>346332</v>
          </cell>
          <cell r="H2790" t="str">
            <v>Mayday</v>
          </cell>
          <cell r="I2790">
            <v>0.83333333333333337</v>
          </cell>
          <cell r="J2790">
            <v>0.33333333333333331</v>
          </cell>
          <cell r="K2790">
            <v>11.33333333</v>
          </cell>
          <cell r="L2790">
            <v>475.74</v>
          </cell>
          <cell r="O2790" t="str">
            <v>Y</v>
          </cell>
          <cell r="P2790" t="str">
            <v>N</v>
          </cell>
          <cell r="Q2790" t="str">
            <v>Extra Capacity</v>
          </cell>
          <cell r="S2790">
            <v>0.3</v>
          </cell>
        </row>
        <row r="2791">
          <cell r="D2791">
            <v>1108005538</v>
          </cell>
          <cell r="E2791" t="str">
            <v>STEPHEN FERNANDEZ</v>
          </cell>
          <cell r="F2791" t="str">
            <v>D (MD)</v>
          </cell>
          <cell r="G2791">
            <v>346821</v>
          </cell>
          <cell r="H2791" t="str">
            <v>Mayday</v>
          </cell>
          <cell r="I2791">
            <v>0.83333333333333337</v>
          </cell>
          <cell r="J2791">
            <v>0.33333333333333331</v>
          </cell>
          <cell r="K2791">
            <v>11</v>
          </cell>
          <cell r="L2791">
            <v>461.75</v>
          </cell>
          <cell r="O2791" t="str">
            <v>Y</v>
          </cell>
          <cell r="P2791" t="str">
            <v>N</v>
          </cell>
          <cell r="Q2791" t="str">
            <v>Acuity</v>
          </cell>
          <cell r="S2791">
            <v>0.28999999999999998</v>
          </cell>
        </row>
        <row r="2792">
          <cell r="D2792">
            <v>1108005568</v>
          </cell>
          <cell r="E2792" t="str">
            <v>SUSAN MCENTIRE</v>
          </cell>
          <cell r="F2792" t="str">
            <v>D (MD)</v>
          </cell>
          <cell r="G2792">
            <v>346842</v>
          </cell>
          <cell r="H2792" t="str">
            <v>Mayday</v>
          </cell>
          <cell r="I2792">
            <v>0.3125</v>
          </cell>
          <cell r="J2792">
            <v>0.83333333333333337</v>
          </cell>
          <cell r="K2792">
            <v>16.5</v>
          </cell>
          <cell r="L2792">
            <v>532.78</v>
          </cell>
          <cell r="O2792" t="str">
            <v>Y</v>
          </cell>
          <cell r="P2792" t="str">
            <v>N</v>
          </cell>
          <cell r="Q2792" t="str">
            <v>Short Term Sick</v>
          </cell>
          <cell r="S2792">
            <v>0.44</v>
          </cell>
        </row>
        <row r="2793">
          <cell r="D2793">
            <v>1008006981</v>
          </cell>
          <cell r="E2793" t="str">
            <v>TEMBE NGIDI</v>
          </cell>
          <cell r="F2793" t="str">
            <v>D (MD)</v>
          </cell>
          <cell r="G2793">
            <v>347477</v>
          </cell>
          <cell r="H2793" t="str">
            <v>Mayday</v>
          </cell>
          <cell r="I2793">
            <v>0.82291666666666663</v>
          </cell>
          <cell r="J2793">
            <v>0.34375</v>
          </cell>
          <cell r="K2793">
            <v>11.5</v>
          </cell>
          <cell r="L2793">
            <v>482.74</v>
          </cell>
          <cell r="M2793">
            <v>392.29</v>
          </cell>
          <cell r="O2793" t="str">
            <v>Y</v>
          </cell>
          <cell r="P2793" t="str">
            <v>N</v>
          </cell>
          <cell r="Q2793" t="str">
            <v>Vacancy</v>
          </cell>
          <cell r="S2793">
            <v>0.31</v>
          </cell>
        </row>
        <row r="2794">
          <cell r="D2794">
            <v>1108003849</v>
          </cell>
          <cell r="E2794" t="str">
            <v>TOM OSBOURNE</v>
          </cell>
          <cell r="F2794" t="str">
            <v>D General (Orio</v>
          </cell>
          <cell r="G2794" t="str">
            <v>Invsd Smt checked</v>
          </cell>
          <cell r="H2794" t="str">
            <v>Orion</v>
          </cell>
          <cell r="I2794">
            <v>0.54166666666666663</v>
          </cell>
          <cell r="J2794">
            <v>0.75</v>
          </cell>
          <cell r="K2794">
            <v>5</v>
          </cell>
          <cell r="L2794">
            <v>90.6</v>
          </cell>
          <cell r="O2794" t="str">
            <v>Y</v>
          </cell>
          <cell r="P2794" t="str">
            <v>N</v>
          </cell>
          <cell r="Q2794" t="str">
            <v>Vacancy</v>
          </cell>
          <cell r="S2794">
            <v>0.13</v>
          </cell>
        </row>
        <row r="2795">
          <cell r="D2795">
            <v>1108006127</v>
          </cell>
          <cell r="E2795" t="str">
            <v>VIDA OTUO-ACHEAMPONG</v>
          </cell>
          <cell r="F2795" t="str">
            <v>D (Amb)</v>
          </cell>
          <cell r="G2795">
            <v>760752</v>
          </cell>
          <cell r="H2795" t="str">
            <v>Ambition</v>
          </cell>
          <cell r="I2795">
            <v>0.83333333333333337</v>
          </cell>
          <cell r="J2795">
            <v>0.33333333333333331</v>
          </cell>
          <cell r="K2795">
            <v>11</v>
          </cell>
          <cell r="L2795">
            <v>559.13</v>
          </cell>
          <cell r="O2795" t="str">
            <v>Y</v>
          </cell>
          <cell r="P2795" t="str">
            <v>N</v>
          </cell>
          <cell r="Q2795" t="str">
            <v>Extra Capacity</v>
          </cell>
          <cell r="S2795">
            <v>0.28999999999999998</v>
          </cell>
        </row>
        <row r="2796">
          <cell r="D2796">
            <v>1108005597</v>
          </cell>
          <cell r="E2796" t="str">
            <v>ZOE SALVEFEN</v>
          </cell>
          <cell r="F2796" t="str">
            <v>D (MD)</v>
          </cell>
          <cell r="H2796" t="str">
            <v>Mayday</v>
          </cell>
          <cell r="I2796">
            <v>0.83333333333333337</v>
          </cell>
          <cell r="J2796">
            <v>0.33333333333333331</v>
          </cell>
          <cell r="K2796">
            <v>11.33333333</v>
          </cell>
          <cell r="L2796">
            <v>475.74</v>
          </cell>
          <cell r="O2796" t="str">
            <v>Y</v>
          </cell>
          <cell r="P2796" t="str">
            <v>N</v>
          </cell>
          <cell r="Q2796" t="str">
            <v>Vacancy</v>
          </cell>
          <cell r="S2796">
            <v>0.3</v>
          </cell>
        </row>
        <row r="2797">
          <cell r="D2797">
            <v>1008007318</v>
          </cell>
          <cell r="E2797" t="str">
            <v>ADEOLA SOGBESAN</v>
          </cell>
          <cell r="F2797" t="str">
            <v>D (MD)</v>
          </cell>
          <cell r="G2797">
            <v>352131</v>
          </cell>
          <cell r="H2797" t="str">
            <v>Mayday</v>
          </cell>
          <cell r="I2797">
            <v>0.3125</v>
          </cell>
          <cell r="J2797">
            <v>0.5625</v>
          </cell>
          <cell r="K2797">
            <v>5.6666666670000003</v>
          </cell>
          <cell r="L2797">
            <v>182.98</v>
          </cell>
          <cell r="O2797" t="str">
            <v>Y</v>
          </cell>
          <cell r="P2797" t="str">
            <v>N</v>
          </cell>
          <cell r="Q2797" t="str">
            <v>Vacancy</v>
          </cell>
          <cell r="S2797">
            <v>0.15</v>
          </cell>
        </row>
        <row r="2798">
          <cell r="D2798">
            <v>1108004519</v>
          </cell>
          <cell r="E2798" t="str">
            <v>ALLI SUBRAMANIAM</v>
          </cell>
          <cell r="F2798" t="str">
            <v>D (MD)</v>
          </cell>
          <cell r="G2798">
            <v>348810</v>
          </cell>
          <cell r="H2798" t="str">
            <v>Mayday</v>
          </cell>
          <cell r="I2798">
            <v>0.3125</v>
          </cell>
          <cell r="J2798">
            <v>0.625</v>
          </cell>
          <cell r="K2798">
            <v>7.1666666670000003</v>
          </cell>
          <cell r="L2798">
            <v>231.41</v>
          </cell>
          <cell r="O2798" t="str">
            <v>Y</v>
          </cell>
          <cell r="P2798" t="str">
            <v>N</v>
          </cell>
          <cell r="Q2798" t="str">
            <v>Extra Capacity</v>
          </cell>
          <cell r="S2798">
            <v>0.19</v>
          </cell>
        </row>
        <row r="2799">
          <cell r="D2799">
            <v>1108005770</v>
          </cell>
          <cell r="E2799" t="str">
            <v>AMBER PERRY</v>
          </cell>
          <cell r="F2799" t="str">
            <v>D (MD)</v>
          </cell>
          <cell r="G2799">
            <v>347699</v>
          </cell>
          <cell r="H2799" t="str">
            <v>Mayday</v>
          </cell>
          <cell r="I2799">
            <v>0.625</v>
          </cell>
          <cell r="J2799">
            <v>0.88541666666666663</v>
          </cell>
          <cell r="K2799">
            <v>5.9166666670000003</v>
          </cell>
          <cell r="L2799">
            <v>191.05</v>
          </cell>
          <cell r="O2799" t="str">
            <v>Y</v>
          </cell>
          <cell r="P2799" t="str">
            <v>N</v>
          </cell>
          <cell r="Q2799" t="str">
            <v>Specials</v>
          </cell>
          <cell r="S2799">
            <v>0.16</v>
          </cell>
        </row>
        <row r="2800">
          <cell r="D2800">
            <v>1108006352</v>
          </cell>
          <cell r="E2800" t="str">
            <v>ARJE ZAMBARRANO</v>
          </cell>
          <cell r="F2800" t="str">
            <v>D (MD)</v>
          </cell>
          <cell r="G2800">
            <v>347193</v>
          </cell>
          <cell r="H2800" t="str">
            <v>Mayday</v>
          </cell>
          <cell r="I2800">
            <v>0.82291666666666663</v>
          </cell>
          <cell r="J2800">
            <v>0.34375</v>
          </cell>
          <cell r="K2800">
            <v>11.5</v>
          </cell>
          <cell r="L2800">
            <v>482.74</v>
          </cell>
          <cell r="O2800" t="str">
            <v>Y</v>
          </cell>
          <cell r="P2800" t="str">
            <v>N</v>
          </cell>
          <cell r="Q2800" t="str">
            <v>Vacancy</v>
          </cell>
          <cell r="S2800">
            <v>0.31</v>
          </cell>
        </row>
        <row r="2801">
          <cell r="D2801">
            <v>1108006276</v>
          </cell>
          <cell r="E2801" t="str">
            <v>ATINUKE OKE-OLATUNDE</v>
          </cell>
          <cell r="F2801" t="str">
            <v>D (MD)</v>
          </cell>
          <cell r="G2801">
            <v>348829</v>
          </cell>
          <cell r="H2801" t="str">
            <v>Mayday</v>
          </cell>
          <cell r="I2801">
            <v>0.88541666666666663</v>
          </cell>
          <cell r="J2801">
            <v>0.30208333333333331</v>
          </cell>
          <cell r="K2801">
            <v>9</v>
          </cell>
          <cell r="L2801">
            <v>377.79</v>
          </cell>
          <cell r="O2801" t="str">
            <v>Y</v>
          </cell>
          <cell r="P2801" t="str">
            <v>N</v>
          </cell>
          <cell r="Q2801" t="str">
            <v>Extra Capacity</v>
          </cell>
          <cell r="S2801">
            <v>0.24</v>
          </cell>
        </row>
        <row r="2802">
          <cell r="D2802">
            <v>1108004306</v>
          </cell>
          <cell r="E2802" t="str">
            <v>BERNADETTE SHINYA-NDUNUWANI</v>
          </cell>
          <cell r="F2802" t="str">
            <v>D (MD)</v>
          </cell>
          <cell r="H2802" t="str">
            <v>Mayday</v>
          </cell>
          <cell r="I2802">
            <v>0.625</v>
          </cell>
          <cell r="J2802">
            <v>0.85416666666666663</v>
          </cell>
          <cell r="K2802">
            <v>5.5</v>
          </cell>
          <cell r="L2802">
            <v>177.59</v>
          </cell>
          <cell r="O2802" t="str">
            <v>Y</v>
          </cell>
          <cell r="P2802" t="str">
            <v>N</v>
          </cell>
          <cell r="Q2802" t="str">
            <v>Vacancy</v>
          </cell>
          <cell r="S2802">
            <v>0.15</v>
          </cell>
        </row>
        <row r="2803">
          <cell r="D2803">
            <v>1108005128</v>
          </cell>
          <cell r="E2803" t="str">
            <v>BERNADETTE SHINYA-NDUNUWANI</v>
          </cell>
          <cell r="F2803" t="str">
            <v>D (MD)</v>
          </cell>
          <cell r="G2803">
            <v>347753</v>
          </cell>
          <cell r="H2803" t="str">
            <v>Mayday</v>
          </cell>
          <cell r="I2803">
            <v>0.625</v>
          </cell>
          <cell r="J2803">
            <v>0.90625</v>
          </cell>
          <cell r="K2803">
            <v>6.75</v>
          </cell>
          <cell r="L2803">
            <v>217.96</v>
          </cell>
          <cell r="O2803" t="str">
            <v>Y</v>
          </cell>
          <cell r="P2803" t="str">
            <v>N</v>
          </cell>
          <cell r="Q2803" t="str">
            <v>Short Term Sick</v>
          </cell>
          <cell r="S2803">
            <v>0.18</v>
          </cell>
        </row>
        <row r="2804">
          <cell r="D2804">
            <v>1108005050</v>
          </cell>
          <cell r="E2804" t="str">
            <v>BERTHA CHITABO</v>
          </cell>
          <cell r="F2804" t="str">
            <v>D (Ch)</v>
          </cell>
          <cell r="G2804">
            <v>17375</v>
          </cell>
          <cell r="H2804" t="str">
            <v>Choice</v>
          </cell>
          <cell r="I2804">
            <v>0.83333333333333337</v>
          </cell>
          <cell r="J2804">
            <v>0.33333333333333331</v>
          </cell>
          <cell r="K2804">
            <v>11.33333333</v>
          </cell>
          <cell r="L2804">
            <v>359.05</v>
          </cell>
          <cell r="O2804" t="str">
            <v>Y</v>
          </cell>
          <cell r="P2804" t="str">
            <v>N</v>
          </cell>
          <cell r="Q2804" t="str">
            <v>Extra Capacity</v>
          </cell>
          <cell r="S2804">
            <v>0.3</v>
          </cell>
        </row>
        <row r="2805">
          <cell r="D2805">
            <v>1108006277</v>
          </cell>
          <cell r="E2805" t="str">
            <v>BIDDY CHAFESUKA</v>
          </cell>
          <cell r="F2805" t="str">
            <v>D (Ch)</v>
          </cell>
          <cell r="G2805">
            <v>17369</v>
          </cell>
          <cell r="H2805" t="str">
            <v>Choice</v>
          </cell>
          <cell r="I2805">
            <v>0.88541666666666663</v>
          </cell>
          <cell r="J2805">
            <v>0.30208333333333331</v>
          </cell>
          <cell r="K2805">
            <v>9</v>
          </cell>
          <cell r="L2805">
            <v>285.13</v>
          </cell>
          <cell r="O2805" t="str">
            <v>Y</v>
          </cell>
          <cell r="P2805" t="str">
            <v>N</v>
          </cell>
          <cell r="Q2805" t="str">
            <v>Extra Capacity</v>
          </cell>
          <cell r="S2805">
            <v>0.24</v>
          </cell>
        </row>
        <row r="2806">
          <cell r="D2806">
            <v>1108006281</v>
          </cell>
          <cell r="E2806" t="str">
            <v>BONITA BUTLER</v>
          </cell>
          <cell r="F2806" t="str">
            <v>D (MD)</v>
          </cell>
          <cell r="G2806">
            <v>347231</v>
          </cell>
          <cell r="H2806" t="str">
            <v>Mayday</v>
          </cell>
          <cell r="I2806">
            <v>0.83333333333333337</v>
          </cell>
          <cell r="J2806">
            <v>0.33333333333333331</v>
          </cell>
          <cell r="K2806">
            <v>11.33333333</v>
          </cell>
          <cell r="L2806">
            <v>475.74</v>
          </cell>
          <cell r="O2806" t="str">
            <v>Y</v>
          </cell>
          <cell r="P2806" t="str">
            <v>N</v>
          </cell>
          <cell r="Q2806" t="str">
            <v>Extra Capacity</v>
          </cell>
          <cell r="S2806">
            <v>0.3</v>
          </cell>
        </row>
        <row r="2807">
          <cell r="D2807">
            <v>1108004512</v>
          </cell>
          <cell r="E2807" t="str">
            <v>BRIGHTNESS NDEBELE</v>
          </cell>
          <cell r="F2807" t="str">
            <v>D (MD)</v>
          </cell>
          <cell r="G2807">
            <v>347710</v>
          </cell>
          <cell r="H2807" t="str">
            <v>Mayday</v>
          </cell>
          <cell r="I2807">
            <v>0.3125</v>
          </cell>
          <cell r="J2807">
            <v>0.625</v>
          </cell>
          <cell r="K2807">
            <v>7.1666666670000003</v>
          </cell>
          <cell r="L2807">
            <v>231.41</v>
          </cell>
          <cell r="O2807" t="str">
            <v>Y</v>
          </cell>
          <cell r="P2807" t="str">
            <v>N</v>
          </cell>
          <cell r="Q2807" t="str">
            <v>Extra Capacity</v>
          </cell>
          <cell r="S2807">
            <v>0.19</v>
          </cell>
        </row>
        <row r="2808">
          <cell r="D2808">
            <v>1108004533</v>
          </cell>
          <cell r="E2808" t="str">
            <v>BRIGHTNESS NDEBELE</v>
          </cell>
          <cell r="F2808" t="str">
            <v>D (MD)</v>
          </cell>
          <cell r="G2808">
            <v>347710</v>
          </cell>
          <cell r="H2808" t="str">
            <v>Mayday</v>
          </cell>
          <cell r="I2808">
            <v>0.625</v>
          </cell>
          <cell r="J2808">
            <v>0.85416666666666663</v>
          </cell>
          <cell r="K2808">
            <v>5.5</v>
          </cell>
          <cell r="L2808">
            <v>177.59</v>
          </cell>
          <cell r="O2808" t="str">
            <v>Y</v>
          </cell>
          <cell r="P2808" t="str">
            <v>N</v>
          </cell>
          <cell r="Q2808" t="str">
            <v>Extra Capacity</v>
          </cell>
          <cell r="S2808">
            <v>0.15</v>
          </cell>
        </row>
        <row r="2809">
          <cell r="D2809">
            <v>1108004832</v>
          </cell>
          <cell r="E2809" t="str">
            <v>DAMILOLA AIKI</v>
          </cell>
          <cell r="F2809" t="str">
            <v>A (Ch)</v>
          </cell>
          <cell r="G2809">
            <v>17371</v>
          </cell>
          <cell r="H2809" t="str">
            <v>Choice</v>
          </cell>
          <cell r="I2809">
            <v>0.3125</v>
          </cell>
          <cell r="J2809">
            <v>0.5625</v>
          </cell>
          <cell r="K2809">
            <v>5.6666666670000003</v>
          </cell>
          <cell r="L2809">
            <v>62.84</v>
          </cell>
          <cell r="O2809" t="str">
            <v>Y</v>
          </cell>
          <cell r="P2809" t="str">
            <v>N</v>
          </cell>
          <cell r="Q2809" t="str">
            <v>Short Term Sick</v>
          </cell>
          <cell r="S2809">
            <v>0.15</v>
          </cell>
        </row>
        <row r="2810">
          <cell r="D2810">
            <v>1108004023</v>
          </cell>
          <cell r="E2810" t="str">
            <v>DIGRACIA  NAPE</v>
          </cell>
          <cell r="F2810" t="str">
            <v>D (MD)</v>
          </cell>
          <cell r="G2810">
            <v>347443</v>
          </cell>
          <cell r="H2810" t="str">
            <v>Mayday</v>
          </cell>
          <cell r="I2810">
            <v>0.3125</v>
          </cell>
          <cell r="J2810">
            <v>0.5625</v>
          </cell>
          <cell r="K2810">
            <v>5.6666666670000003</v>
          </cell>
          <cell r="L2810">
            <v>182.98</v>
          </cell>
          <cell r="O2810" t="str">
            <v>Y</v>
          </cell>
          <cell r="P2810" t="str">
            <v>N</v>
          </cell>
          <cell r="Q2810" t="str">
            <v>Vacancy</v>
          </cell>
          <cell r="S2810">
            <v>0.15</v>
          </cell>
        </row>
        <row r="2811">
          <cell r="D2811">
            <v>1108003988</v>
          </cell>
          <cell r="E2811" t="str">
            <v>EDMA ITALIA</v>
          </cell>
          <cell r="F2811" t="str">
            <v>D (Ch)</v>
          </cell>
          <cell r="G2811">
            <v>17392</v>
          </cell>
          <cell r="H2811" t="str">
            <v>Choice</v>
          </cell>
          <cell r="I2811">
            <v>0.875</v>
          </cell>
          <cell r="J2811">
            <v>0.32291666666666669</v>
          </cell>
          <cell r="K2811">
            <v>10</v>
          </cell>
          <cell r="L2811">
            <v>316.81</v>
          </cell>
          <cell r="O2811" t="str">
            <v>Y</v>
          </cell>
          <cell r="P2811" t="str">
            <v>N</v>
          </cell>
          <cell r="Q2811" t="str">
            <v>Specials</v>
          </cell>
          <cell r="S2811">
            <v>0.27</v>
          </cell>
        </row>
        <row r="2812">
          <cell r="D2812">
            <v>1108002760</v>
          </cell>
          <cell r="E2812" t="str">
            <v>EVELYN PANESA</v>
          </cell>
          <cell r="F2812" t="str">
            <v>D (Ch)</v>
          </cell>
          <cell r="G2812">
            <v>17391</v>
          </cell>
          <cell r="H2812" t="str">
            <v>Choice</v>
          </cell>
          <cell r="I2812">
            <v>0.29166666666666669</v>
          </cell>
          <cell r="J2812">
            <v>0.875</v>
          </cell>
          <cell r="K2812">
            <v>13.33333333</v>
          </cell>
          <cell r="L2812">
            <v>324.93</v>
          </cell>
          <cell r="O2812" t="str">
            <v>Y</v>
          </cell>
          <cell r="P2812" t="str">
            <v>N</v>
          </cell>
          <cell r="Q2812" t="str">
            <v>Extra Capacity</v>
          </cell>
          <cell r="S2812">
            <v>0.36</v>
          </cell>
        </row>
        <row r="2813">
          <cell r="D2813">
            <v>1108006280</v>
          </cell>
          <cell r="E2813" t="str">
            <v>GERTHY ALBANO</v>
          </cell>
          <cell r="F2813" t="str">
            <v>D (Ch)</v>
          </cell>
          <cell r="G2813">
            <v>17393</v>
          </cell>
          <cell r="H2813" t="str">
            <v>Choice</v>
          </cell>
          <cell r="I2813">
            <v>0.83333333333333337</v>
          </cell>
          <cell r="J2813">
            <v>0.33333333333333331</v>
          </cell>
          <cell r="K2813">
            <v>11.33333333</v>
          </cell>
          <cell r="L2813">
            <v>359.05</v>
          </cell>
          <cell r="O2813" t="str">
            <v>Y</v>
          </cell>
          <cell r="P2813" t="str">
            <v>N</v>
          </cell>
          <cell r="Q2813" t="str">
            <v>Extra Capacity</v>
          </cell>
          <cell r="S2813">
            <v>0.3</v>
          </cell>
        </row>
        <row r="2814">
          <cell r="D2814">
            <v>1108006316</v>
          </cell>
          <cell r="E2814" t="str">
            <v>GLENDA RONA</v>
          </cell>
          <cell r="F2814" t="str">
            <v>D (Ch)</v>
          </cell>
          <cell r="G2814">
            <v>17393</v>
          </cell>
          <cell r="H2814" t="str">
            <v>Choice</v>
          </cell>
          <cell r="I2814">
            <v>0.83333333333333337</v>
          </cell>
          <cell r="J2814">
            <v>0.33333333333333331</v>
          </cell>
          <cell r="K2814">
            <v>11.33333333</v>
          </cell>
          <cell r="L2814">
            <v>359.05</v>
          </cell>
          <cell r="O2814" t="str">
            <v>Y</v>
          </cell>
          <cell r="P2814" t="str">
            <v>N</v>
          </cell>
          <cell r="Q2814" t="str">
            <v>Extra Capacity</v>
          </cell>
          <cell r="S2814">
            <v>0.3</v>
          </cell>
        </row>
        <row r="2815">
          <cell r="D2815">
            <v>1108006311</v>
          </cell>
          <cell r="E2815" t="str">
            <v>HELEN SMITHSON</v>
          </cell>
          <cell r="F2815" t="str">
            <v>5 General (Adva</v>
          </cell>
          <cell r="G2815">
            <v>1411416</v>
          </cell>
          <cell r="H2815" t="str">
            <v>Advantage</v>
          </cell>
          <cell r="I2815">
            <v>0.8125</v>
          </cell>
          <cell r="J2815">
            <v>0.33333333333333331</v>
          </cell>
          <cell r="K2815">
            <v>11.83333333</v>
          </cell>
          <cell r="L2815">
            <v>246.75</v>
          </cell>
          <cell r="O2815" t="str">
            <v>Y</v>
          </cell>
          <cell r="P2815" t="str">
            <v>N</v>
          </cell>
          <cell r="Q2815" t="str">
            <v>Specials</v>
          </cell>
          <cell r="S2815">
            <v>0.32</v>
          </cell>
        </row>
        <row r="2816">
          <cell r="D2816">
            <v>1008005463</v>
          </cell>
          <cell r="E2816" t="str">
            <v>JAKE BROOKES</v>
          </cell>
          <cell r="F2816" t="str">
            <v>D General (Orio</v>
          </cell>
          <cell r="G2816" t="str">
            <v>Invsd Smt checked</v>
          </cell>
          <cell r="H2816" t="str">
            <v>Orion</v>
          </cell>
          <cell r="I2816">
            <v>0.33333333333333331</v>
          </cell>
          <cell r="J2816">
            <v>0.75</v>
          </cell>
          <cell r="K2816">
            <v>9.6666666669999994</v>
          </cell>
          <cell r="L2816">
            <v>175.16</v>
          </cell>
          <cell r="O2816" t="str">
            <v>Y</v>
          </cell>
          <cell r="P2816" t="str">
            <v>N</v>
          </cell>
          <cell r="Q2816" t="str">
            <v>Long Term Sick</v>
          </cell>
          <cell r="S2816">
            <v>0.26</v>
          </cell>
        </row>
        <row r="2817">
          <cell r="D2817">
            <v>1108005046</v>
          </cell>
          <cell r="E2817" t="str">
            <v>JAMES MCCLEMENTS</v>
          </cell>
          <cell r="F2817" t="str">
            <v>D (MD)</v>
          </cell>
          <cell r="G2817">
            <v>347426</v>
          </cell>
          <cell r="H2817" t="str">
            <v>Mayday</v>
          </cell>
          <cell r="I2817">
            <v>0.3125</v>
          </cell>
          <cell r="J2817">
            <v>0.60416666666666663</v>
          </cell>
          <cell r="K2817">
            <v>6.6666666670000003</v>
          </cell>
          <cell r="L2817">
            <v>215.27</v>
          </cell>
          <cell r="O2817" t="str">
            <v>Y</v>
          </cell>
          <cell r="P2817" t="str">
            <v>N</v>
          </cell>
          <cell r="Q2817" t="str">
            <v>Extra Capacity</v>
          </cell>
          <cell r="S2817">
            <v>0.18</v>
          </cell>
        </row>
        <row r="2818">
          <cell r="D2818">
            <v>1108005048</v>
          </cell>
          <cell r="E2818" t="str">
            <v>JAMES MCCLEMENTS</v>
          </cell>
          <cell r="F2818" t="str">
            <v>D (MD)</v>
          </cell>
          <cell r="G2818">
            <v>347426</v>
          </cell>
          <cell r="H2818" t="str">
            <v>Mayday</v>
          </cell>
          <cell r="I2818">
            <v>0.60416666666666663</v>
          </cell>
          <cell r="J2818">
            <v>0.85416666666666663</v>
          </cell>
          <cell r="K2818">
            <v>5.6666666670000003</v>
          </cell>
          <cell r="L2818">
            <v>182.98</v>
          </cell>
          <cell r="O2818" t="str">
            <v>Y</v>
          </cell>
          <cell r="P2818" t="str">
            <v>N</v>
          </cell>
          <cell r="Q2818" t="str">
            <v>Extra Capacity</v>
          </cell>
          <cell r="S2818">
            <v>0.15</v>
          </cell>
        </row>
        <row r="2819">
          <cell r="D2819">
            <v>1108006114</v>
          </cell>
          <cell r="E2819" t="str">
            <v>JEAN NGONA</v>
          </cell>
          <cell r="F2819" t="str">
            <v>D (MD)</v>
          </cell>
          <cell r="G2819">
            <v>348804</v>
          </cell>
          <cell r="H2819" t="str">
            <v>Mayday</v>
          </cell>
          <cell r="I2819">
            <v>0.625</v>
          </cell>
          <cell r="J2819">
            <v>0.85416666666666663</v>
          </cell>
          <cell r="K2819">
            <v>5.5</v>
          </cell>
          <cell r="L2819">
            <v>177.59</v>
          </cell>
          <cell r="O2819" t="str">
            <v>Y</v>
          </cell>
          <cell r="P2819" t="str">
            <v>N</v>
          </cell>
          <cell r="Q2819" t="str">
            <v>Extra Capacity</v>
          </cell>
          <cell r="S2819">
            <v>0.15</v>
          </cell>
        </row>
        <row r="2820">
          <cell r="D2820">
            <v>1108004767</v>
          </cell>
          <cell r="E2820" t="str">
            <v>JOAN LEWIS</v>
          </cell>
          <cell r="F2820" t="str">
            <v>D (MD)</v>
          </cell>
          <cell r="G2820">
            <v>347712</v>
          </cell>
          <cell r="H2820" t="str">
            <v>Mayday</v>
          </cell>
          <cell r="I2820">
            <v>0.29166666666666669</v>
          </cell>
          <cell r="J2820">
            <v>0.625</v>
          </cell>
          <cell r="K2820">
            <v>7.6666666670000003</v>
          </cell>
          <cell r="L2820">
            <v>247.56</v>
          </cell>
          <cell r="O2820" t="str">
            <v>Y</v>
          </cell>
          <cell r="P2820" t="str">
            <v>N</v>
          </cell>
          <cell r="Q2820" t="str">
            <v>Short Term Sick</v>
          </cell>
          <cell r="S2820">
            <v>0.2</v>
          </cell>
        </row>
        <row r="2821">
          <cell r="D2821">
            <v>1108005324</v>
          </cell>
          <cell r="E2821" t="str">
            <v>JOAN LEWIS</v>
          </cell>
          <cell r="F2821" t="str">
            <v>D (MD)</v>
          </cell>
          <cell r="G2821">
            <v>347712</v>
          </cell>
          <cell r="H2821" t="str">
            <v>Mayday</v>
          </cell>
          <cell r="I2821">
            <v>0.625</v>
          </cell>
          <cell r="J2821">
            <v>0.875</v>
          </cell>
          <cell r="K2821">
            <v>5.75</v>
          </cell>
          <cell r="L2821">
            <v>185.67</v>
          </cell>
          <cell r="O2821" t="str">
            <v>Y</v>
          </cell>
          <cell r="P2821" t="str">
            <v>N</v>
          </cell>
          <cell r="Q2821" t="str">
            <v>Short Term Sick</v>
          </cell>
          <cell r="S2821">
            <v>0.15</v>
          </cell>
        </row>
        <row r="2822">
          <cell r="D2822">
            <v>1108001523</v>
          </cell>
          <cell r="E2822" t="str">
            <v>JOHANNA HATUIKULIPI</v>
          </cell>
          <cell r="F2822" t="str">
            <v>D (MD)</v>
          </cell>
          <cell r="G2822">
            <v>346838</v>
          </cell>
          <cell r="H2822" t="str">
            <v>Mayday</v>
          </cell>
          <cell r="I2822">
            <v>0.3125</v>
          </cell>
          <cell r="J2822">
            <v>0.58333333333333337</v>
          </cell>
          <cell r="K2822">
            <v>6</v>
          </cell>
          <cell r="L2822">
            <v>193.74</v>
          </cell>
          <cell r="O2822" t="str">
            <v>Y</v>
          </cell>
          <cell r="P2822" t="str">
            <v>N</v>
          </cell>
          <cell r="Q2822" t="str">
            <v>Vacancy</v>
          </cell>
          <cell r="S2822">
            <v>0.16</v>
          </cell>
        </row>
        <row r="2823">
          <cell r="D2823">
            <v>1108004078</v>
          </cell>
          <cell r="E2823" t="str">
            <v>JOHANNA HATUIKULIPI</v>
          </cell>
          <cell r="F2823" t="str">
            <v>D (MD)</v>
          </cell>
          <cell r="G2823">
            <v>346838</v>
          </cell>
          <cell r="H2823" t="str">
            <v>Mayday</v>
          </cell>
          <cell r="I2823">
            <v>0.58333333333333337</v>
          </cell>
          <cell r="J2823">
            <v>0.83333333333333337</v>
          </cell>
          <cell r="K2823">
            <v>5.5</v>
          </cell>
          <cell r="L2823">
            <v>177.59</v>
          </cell>
          <cell r="O2823" t="str">
            <v>Y</v>
          </cell>
          <cell r="P2823" t="str">
            <v>N</v>
          </cell>
          <cell r="Q2823" t="str">
            <v>Short Term Sick</v>
          </cell>
          <cell r="S2823">
            <v>0.15</v>
          </cell>
        </row>
        <row r="2824">
          <cell r="D2824">
            <v>1108004547</v>
          </cell>
          <cell r="E2824" t="str">
            <v>JOY MABITLE</v>
          </cell>
          <cell r="F2824" t="str">
            <v>D (MD)</v>
          </cell>
          <cell r="G2824">
            <v>363321</v>
          </cell>
          <cell r="H2824" t="str">
            <v>Mayday</v>
          </cell>
          <cell r="I2824">
            <v>0.83333333333333337</v>
          </cell>
          <cell r="J2824">
            <v>0.33333333333333331</v>
          </cell>
          <cell r="K2824">
            <v>11.33333333</v>
          </cell>
          <cell r="L2824">
            <v>475.74</v>
          </cell>
          <cell r="O2824" t="str">
            <v>Y</v>
          </cell>
          <cell r="P2824" t="str">
            <v>N</v>
          </cell>
          <cell r="Q2824" t="str">
            <v>Extra Capacity</v>
          </cell>
          <cell r="S2824">
            <v>0.3</v>
          </cell>
        </row>
        <row r="2825">
          <cell r="D2825">
            <v>1108005772</v>
          </cell>
          <cell r="E2825" t="str">
            <v>KEN GOORDIN</v>
          </cell>
          <cell r="F2825" t="str">
            <v>D (Ch)</v>
          </cell>
          <cell r="H2825" t="str">
            <v>Choice</v>
          </cell>
          <cell r="I2825">
            <v>0.88541666666666663</v>
          </cell>
          <cell r="J2825">
            <v>0.3125</v>
          </cell>
          <cell r="K2825">
            <v>9.25</v>
          </cell>
          <cell r="L2825">
            <v>293.05</v>
          </cell>
          <cell r="O2825" t="str">
            <v>Y</v>
          </cell>
          <cell r="P2825" t="str">
            <v>N</v>
          </cell>
          <cell r="Q2825" t="str">
            <v>Specials</v>
          </cell>
          <cell r="S2825">
            <v>0.25</v>
          </cell>
        </row>
        <row r="2826">
          <cell r="D2826">
            <v>1108004335</v>
          </cell>
          <cell r="E2826" t="str">
            <v>LETECIA MENIANO</v>
          </cell>
          <cell r="F2826" t="str">
            <v>D (MD)</v>
          </cell>
          <cell r="G2826">
            <v>347717</v>
          </cell>
          <cell r="H2826" t="str">
            <v>Mayday</v>
          </cell>
          <cell r="I2826">
            <v>0.83333333333333337</v>
          </cell>
          <cell r="J2826">
            <v>0.33333333333333331</v>
          </cell>
          <cell r="K2826">
            <v>11.33333333</v>
          </cell>
          <cell r="L2826">
            <v>475.74</v>
          </cell>
          <cell r="O2826" t="str">
            <v>Y</v>
          </cell>
          <cell r="P2826" t="str">
            <v>N</v>
          </cell>
          <cell r="Q2826" t="str">
            <v>Under Established</v>
          </cell>
          <cell r="S2826">
            <v>0.3</v>
          </cell>
        </row>
        <row r="2827">
          <cell r="D2827">
            <v>1108006384</v>
          </cell>
          <cell r="E2827" t="str">
            <v>MAGDALINE FREGANI</v>
          </cell>
          <cell r="F2827" t="str">
            <v>D (MD)</v>
          </cell>
          <cell r="H2827" t="str">
            <v>Mayday</v>
          </cell>
          <cell r="I2827">
            <v>0.38541666666666669</v>
          </cell>
          <cell r="J2827">
            <v>0.83333333333333337</v>
          </cell>
          <cell r="K2827">
            <v>10.41666667</v>
          </cell>
          <cell r="L2827">
            <v>336.35</v>
          </cell>
          <cell r="O2827" t="str">
            <v>Y</v>
          </cell>
          <cell r="P2827" t="str">
            <v>N</v>
          </cell>
          <cell r="Q2827" t="str">
            <v>Time sheet</v>
          </cell>
          <cell r="S2827">
            <v>0.28000000000000003</v>
          </cell>
        </row>
        <row r="2828">
          <cell r="D2828">
            <v>1108006112</v>
          </cell>
          <cell r="E2828" t="str">
            <v>MERCY AFELE</v>
          </cell>
          <cell r="F2828" t="str">
            <v>D (MD)</v>
          </cell>
          <cell r="G2828">
            <v>347720</v>
          </cell>
          <cell r="H2828" t="str">
            <v>Mayday</v>
          </cell>
          <cell r="I2828">
            <v>0.5625</v>
          </cell>
          <cell r="J2828">
            <v>0.89583333333333337</v>
          </cell>
          <cell r="K2828">
            <v>7.6666666670000003</v>
          </cell>
          <cell r="L2828">
            <v>247.56</v>
          </cell>
          <cell r="O2828" t="str">
            <v>Y</v>
          </cell>
          <cell r="P2828" t="str">
            <v>N</v>
          </cell>
          <cell r="Q2828" t="str">
            <v>Extra Capacity</v>
          </cell>
          <cell r="S2828">
            <v>0.2</v>
          </cell>
        </row>
        <row r="2829">
          <cell r="D2829">
            <v>1108005769</v>
          </cell>
          <cell r="E2829" t="str">
            <v>MZUKISI SPEELMAN</v>
          </cell>
          <cell r="F2829" t="str">
            <v>A (Ch)</v>
          </cell>
          <cell r="G2829">
            <v>17386</v>
          </cell>
          <cell r="H2829" t="str">
            <v>Choice</v>
          </cell>
          <cell r="I2829">
            <v>0.29166666666666669</v>
          </cell>
          <cell r="J2829">
            <v>0.625</v>
          </cell>
          <cell r="K2829">
            <v>7.6666666670000003</v>
          </cell>
          <cell r="L2829">
            <v>85.02</v>
          </cell>
          <cell r="O2829" t="str">
            <v>Y</v>
          </cell>
          <cell r="P2829" t="str">
            <v>N</v>
          </cell>
          <cell r="Q2829" t="str">
            <v>Specials</v>
          </cell>
          <cell r="S2829">
            <v>0.2</v>
          </cell>
        </row>
        <row r="2830">
          <cell r="D2830">
            <v>1108005771</v>
          </cell>
          <cell r="E2830" t="str">
            <v>MZUKISI SPEELMAN</v>
          </cell>
          <cell r="F2830" t="str">
            <v>A (Ch)</v>
          </cell>
          <cell r="G2830">
            <v>17386</v>
          </cell>
          <cell r="H2830" t="str">
            <v>Choice</v>
          </cell>
          <cell r="I2830">
            <v>0.625</v>
          </cell>
          <cell r="J2830">
            <v>0.88541666666666663</v>
          </cell>
          <cell r="K2830">
            <v>5.9166666670000003</v>
          </cell>
          <cell r="L2830">
            <v>65.62</v>
          </cell>
          <cell r="O2830" t="str">
            <v>Y</v>
          </cell>
          <cell r="P2830" t="str">
            <v>N</v>
          </cell>
          <cell r="Q2830" t="str">
            <v>Specials</v>
          </cell>
          <cell r="S2830">
            <v>0.16</v>
          </cell>
        </row>
        <row r="2831">
          <cell r="D2831">
            <v>1108004540</v>
          </cell>
          <cell r="E2831" t="str">
            <v>OMAR SENGHORE</v>
          </cell>
          <cell r="F2831" t="str">
            <v>D (MD)</v>
          </cell>
          <cell r="H2831" t="str">
            <v>Mayday</v>
          </cell>
          <cell r="I2831">
            <v>0.83333333333333337</v>
          </cell>
          <cell r="J2831">
            <v>0.33333333333333331</v>
          </cell>
          <cell r="K2831">
            <v>11.33333333</v>
          </cell>
          <cell r="L2831">
            <v>475.74</v>
          </cell>
          <cell r="O2831" t="str">
            <v>Y</v>
          </cell>
          <cell r="P2831" t="str">
            <v>N</v>
          </cell>
          <cell r="Q2831" t="str">
            <v>Extra Capacity</v>
          </cell>
          <cell r="S2831">
            <v>0.3</v>
          </cell>
        </row>
        <row r="2832">
          <cell r="D2832">
            <v>1008005866</v>
          </cell>
          <cell r="E2832" t="str">
            <v>PAT NKOSI</v>
          </cell>
          <cell r="F2832" t="str">
            <v>D (MD)</v>
          </cell>
          <cell r="G2832">
            <v>347439</v>
          </cell>
          <cell r="H2832" t="str">
            <v>Mayday</v>
          </cell>
          <cell r="I2832">
            <v>0.3125</v>
          </cell>
          <cell r="J2832">
            <v>0.5625</v>
          </cell>
          <cell r="K2832">
            <v>5.6666666670000003</v>
          </cell>
          <cell r="L2832">
            <v>182.98</v>
          </cell>
          <cell r="O2832" t="str">
            <v>Y</v>
          </cell>
          <cell r="P2832" t="str">
            <v>N</v>
          </cell>
          <cell r="Q2832" t="str">
            <v>Vacancy</v>
          </cell>
          <cell r="S2832">
            <v>0.15</v>
          </cell>
        </row>
        <row r="2833">
          <cell r="D2833">
            <v>1008005869</v>
          </cell>
          <cell r="E2833" t="str">
            <v>PAT NKOSI</v>
          </cell>
          <cell r="F2833" t="str">
            <v>D (MD)</v>
          </cell>
          <cell r="G2833">
            <v>347439</v>
          </cell>
          <cell r="H2833" t="str">
            <v>Mayday</v>
          </cell>
          <cell r="I2833">
            <v>0.5625</v>
          </cell>
          <cell r="J2833">
            <v>0.89583333333333337</v>
          </cell>
          <cell r="K2833">
            <v>7.6666666670000003</v>
          </cell>
          <cell r="L2833">
            <v>247.56</v>
          </cell>
          <cell r="O2833" t="str">
            <v>Y</v>
          </cell>
          <cell r="P2833" t="str">
            <v>N</v>
          </cell>
          <cell r="Q2833" t="str">
            <v>Vacancy</v>
          </cell>
          <cell r="S2833">
            <v>0.2</v>
          </cell>
        </row>
        <row r="2834">
          <cell r="D2834">
            <v>1108004025</v>
          </cell>
          <cell r="E2834" t="str">
            <v>PEGGY CHIRIKURE</v>
          </cell>
          <cell r="F2834" t="str">
            <v>D (Ch)</v>
          </cell>
          <cell r="G2834">
            <v>17453</v>
          </cell>
          <cell r="H2834" t="str">
            <v>Choice</v>
          </cell>
          <cell r="I2834">
            <v>0.5625</v>
          </cell>
          <cell r="J2834">
            <v>0.85416666666666663</v>
          </cell>
          <cell r="K2834">
            <v>6.6666666670000003</v>
          </cell>
          <cell r="L2834">
            <v>162.47</v>
          </cell>
          <cell r="M2834">
            <v>186.2720720713169</v>
          </cell>
          <cell r="O2834" t="str">
            <v>Y</v>
          </cell>
          <cell r="P2834" t="str">
            <v>N</v>
          </cell>
          <cell r="Q2834" t="str">
            <v>Vacancy</v>
          </cell>
          <cell r="S2834">
            <v>0.18</v>
          </cell>
        </row>
        <row r="2835">
          <cell r="D2835">
            <v>1108004610</v>
          </cell>
          <cell r="E2835" t="str">
            <v>PEGGY CHIRIKURE</v>
          </cell>
          <cell r="F2835" t="str">
            <v>D (Ch)</v>
          </cell>
          <cell r="G2835">
            <v>17453</v>
          </cell>
          <cell r="H2835" t="str">
            <v>Choice</v>
          </cell>
          <cell r="I2835">
            <v>0.3125</v>
          </cell>
          <cell r="J2835">
            <v>0.5625</v>
          </cell>
          <cell r="K2835">
            <v>5.6666666670000003</v>
          </cell>
          <cell r="L2835">
            <v>138.1</v>
          </cell>
          <cell r="M2835">
            <v>158.33126126201643</v>
          </cell>
          <cell r="O2835" t="str">
            <v>Y</v>
          </cell>
          <cell r="P2835" t="str">
            <v>N</v>
          </cell>
          <cell r="Q2835" t="str">
            <v>Long Term Sick</v>
          </cell>
          <cell r="S2835">
            <v>0.15</v>
          </cell>
        </row>
        <row r="2836">
          <cell r="D2836">
            <v>1108000429</v>
          </cell>
          <cell r="E2836" t="str">
            <v>PEGGY MAPOGO</v>
          </cell>
          <cell r="F2836" t="str">
            <v>D (Ch)</v>
          </cell>
          <cell r="G2836">
            <v>17374</v>
          </cell>
          <cell r="H2836" t="str">
            <v>Choice</v>
          </cell>
          <cell r="I2836">
            <v>0.32291666666666669</v>
          </cell>
          <cell r="J2836">
            <v>0.54166666666666663</v>
          </cell>
          <cell r="K2836">
            <v>5.25</v>
          </cell>
          <cell r="L2836">
            <v>127.94</v>
          </cell>
          <cell r="O2836" t="str">
            <v>Y</v>
          </cell>
          <cell r="P2836" t="str">
            <v>N</v>
          </cell>
          <cell r="Q2836" t="str">
            <v>Study Leave</v>
          </cell>
          <cell r="S2836">
            <v>0.14000000000000001</v>
          </cell>
        </row>
        <row r="2837">
          <cell r="D2837">
            <v>1108006249</v>
          </cell>
          <cell r="E2837" t="str">
            <v>PEGGY MAPOGO</v>
          </cell>
          <cell r="F2837" t="str">
            <v>D (Ch)</v>
          </cell>
          <cell r="G2837">
            <v>17374</v>
          </cell>
          <cell r="H2837" t="str">
            <v>Choice</v>
          </cell>
          <cell r="I2837">
            <v>0.58333333333333337</v>
          </cell>
          <cell r="J2837">
            <v>0.85416666666666663</v>
          </cell>
          <cell r="K2837">
            <v>6.1666666670000003</v>
          </cell>
          <cell r="L2837">
            <v>150.28</v>
          </cell>
          <cell r="O2837" t="str">
            <v>Y</v>
          </cell>
          <cell r="P2837" t="str">
            <v>N</v>
          </cell>
          <cell r="Q2837" t="str">
            <v>Vacancy</v>
          </cell>
          <cell r="S2837">
            <v>0.16</v>
          </cell>
        </row>
        <row r="2838">
          <cell r="D2838">
            <v>1108006678</v>
          </cell>
          <cell r="E2838" t="str">
            <v>RAMANI THOMAS</v>
          </cell>
          <cell r="F2838" t="str">
            <v>D (MD)</v>
          </cell>
          <cell r="G2838">
            <v>346765</v>
          </cell>
          <cell r="H2838" t="str">
            <v>Mayday</v>
          </cell>
          <cell r="I2838">
            <v>0.83333333333333337</v>
          </cell>
          <cell r="J2838">
            <v>0.33333333333333331</v>
          </cell>
          <cell r="K2838">
            <v>11</v>
          </cell>
          <cell r="L2838">
            <v>461.75</v>
          </cell>
          <cell r="O2838" t="str">
            <v>Y</v>
          </cell>
          <cell r="P2838" t="str">
            <v>N</v>
          </cell>
          <cell r="Q2838" t="str">
            <v>Acuity</v>
          </cell>
          <cell r="S2838">
            <v>0.28999999999999998</v>
          </cell>
        </row>
        <row r="2839">
          <cell r="D2839">
            <v>1108006282</v>
          </cell>
          <cell r="E2839" t="str">
            <v>RAYMOND TEKILE</v>
          </cell>
          <cell r="F2839" t="str">
            <v>D (Ch)</v>
          </cell>
          <cell r="G2839">
            <v>17377</v>
          </cell>
          <cell r="H2839" t="str">
            <v>Choice</v>
          </cell>
          <cell r="I2839">
            <v>0.83333333333333337</v>
          </cell>
          <cell r="J2839">
            <v>0.33333333333333331</v>
          </cell>
          <cell r="K2839">
            <v>11.33333333</v>
          </cell>
          <cell r="L2839">
            <v>359.05</v>
          </cell>
          <cell r="O2839" t="str">
            <v>Y</v>
          </cell>
          <cell r="P2839" t="str">
            <v>N</v>
          </cell>
          <cell r="Q2839" t="str">
            <v>Extra Capacity</v>
          </cell>
          <cell r="S2839">
            <v>0.3</v>
          </cell>
        </row>
        <row r="2840">
          <cell r="D2840">
            <v>1108006283</v>
          </cell>
          <cell r="E2840" t="str">
            <v>RODA RAMERIZ</v>
          </cell>
          <cell r="F2840" t="str">
            <v>D (Ch)</v>
          </cell>
          <cell r="G2840">
            <v>17382</v>
          </cell>
          <cell r="H2840" t="str">
            <v>Choice</v>
          </cell>
          <cell r="I2840">
            <v>0.83333333333333337</v>
          </cell>
          <cell r="J2840">
            <v>0.33333333333333331</v>
          </cell>
          <cell r="K2840">
            <v>11.33333333</v>
          </cell>
          <cell r="L2840">
            <v>359.05</v>
          </cell>
          <cell r="O2840" t="str">
            <v>Y</v>
          </cell>
          <cell r="P2840" t="str">
            <v>N</v>
          </cell>
          <cell r="Q2840" t="str">
            <v>Extra Capacity</v>
          </cell>
          <cell r="S2840">
            <v>0.3</v>
          </cell>
        </row>
        <row r="2841">
          <cell r="D2841">
            <v>1108006052</v>
          </cell>
          <cell r="E2841" t="str">
            <v>SELINAH BAKASA</v>
          </cell>
          <cell r="F2841" t="str">
            <v>D (Ch)</v>
          </cell>
          <cell r="G2841">
            <v>17384</v>
          </cell>
          <cell r="H2841" t="str">
            <v>Choice</v>
          </cell>
          <cell r="I2841">
            <v>0.3125</v>
          </cell>
          <cell r="J2841">
            <v>0.83333333333333337</v>
          </cell>
          <cell r="K2841">
            <v>11.83333333</v>
          </cell>
          <cell r="L2841">
            <v>288.38</v>
          </cell>
          <cell r="O2841" t="str">
            <v>Y</v>
          </cell>
          <cell r="P2841" t="str">
            <v>N</v>
          </cell>
          <cell r="Q2841" t="str">
            <v>Vacancy</v>
          </cell>
          <cell r="S2841">
            <v>0.32</v>
          </cell>
        </row>
        <row r="2842">
          <cell r="D2842">
            <v>1108001475</v>
          </cell>
          <cell r="E2842" t="str">
            <v>SINCENGA GULU</v>
          </cell>
          <cell r="F2842" t="str">
            <v>D (MD)</v>
          </cell>
          <cell r="G2842">
            <v>346839</v>
          </cell>
          <cell r="H2842" t="str">
            <v>Mayday</v>
          </cell>
          <cell r="I2842">
            <v>0.88541666666666663</v>
          </cell>
          <cell r="J2842">
            <v>0.3125</v>
          </cell>
          <cell r="K2842">
            <v>9.25</v>
          </cell>
          <cell r="L2842">
            <v>388.29</v>
          </cell>
          <cell r="O2842" t="str">
            <v>Y</v>
          </cell>
          <cell r="P2842" t="str">
            <v>N</v>
          </cell>
          <cell r="Q2842" t="str">
            <v>Vacancy</v>
          </cell>
          <cell r="S2842">
            <v>0.25</v>
          </cell>
        </row>
        <row r="2843">
          <cell r="D2843">
            <v>1108006677</v>
          </cell>
          <cell r="E2843" t="str">
            <v>STEPHEN FERNANDEZ</v>
          </cell>
          <cell r="F2843" t="str">
            <v>D (MD)</v>
          </cell>
          <cell r="G2843">
            <v>346821</v>
          </cell>
          <cell r="H2843" t="str">
            <v>Mayday</v>
          </cell>
          <cell r="I2843">
            <v>0.83333333333333337</v>
          </cell>
          <cell r="J2843">
            <v>0.33333333333333331</v>
          </cell>
          <cell r="K2843">
            <v>11</v>
          </cell>
          <cell r="L2843">
            <v>461.75</v>
          </cell>
          <cell r="O2843" t="str">
            <v>Y</v>
          </cell>
          <cell r="P2843" t="str">
            <v>N</v>
          </cell>
          <cell r="Q2843" t="str">
            <v>Acuity</v>
          </cell>
          <cell r="S2843">
            <v>0.28999999999999998</v>
          </cell>
        </row>
        <row r="2844">
          <cell r="D2844">
            <v>1108003152</v>
          </cell>
          <cell r="E2844" t="str">
            <v>TAEL MHANGO</v>
          </cell>
          <cell r="F2844" t="str">
            <v>D (Ch)</v>
          </cell>
          <cell r="G2844">
            <v>17369</v>
          </cell>
          <cell r="H2844" t="str">
            <v>Choice</v>
          </cell>
          <cell r="I2844">
            <v>0.88541666666666663</v>
          </cell>
          <cell r="J2844">
            <v>0.30208333333333331</v>
          </cell>
          <cell r="K2844">
            <v>9</v>
          </cell>
          <cell r="L2844">
            <v>285.13</v>
          </cell>
          <cell r="O2844" t="str">
            <v>Y</v>
          </cell>
          <cell r="P2844" t="str">
            <v>N</v>
          </cell>
          <cell r="Q2844" t="str">
            <v>Extra Capacity</v>
          </cell>
          <cell r="S2844">
            <v>0.24</v>
          </cell>
        </row>
        <row r="2845">
          <cell r="D2845">
            <v>1108004334</v>
          </cell>
          <cell r="E2845" t="str">
            <v>TAMBU JENA</v>
          </cell>
          <cell r="F2845" t="str">
            <v>D (Ch)</v>
          </cell>
          <cell r="G2845">
            <v>17387</v>
          </cell>
          <cell r="H2845" t="str">
            <v>Choice</v>
          </cell>
          <cell r="I2845">
            <v>0.83333333333333337</v>
          </cell>
          <cell r="J2845">
            <v>0.33333333333333331</v>
          </cell>
          <cell r="K2845">
            <v>11.33333333</v>
          </cell>
          <cell r="L2845">
            <v>359.05</v>
          </cell>
          <cell r="O2845" t="str">
            <v>Y</v>
          </cell>
          <cell r="P2845" t="str">
            <v>N</v>
          </cell>
          <cell r="Q2845" t="str">
            <v>Under Established</v>
          </cell>
          <cell r="S2845">
            <v>0.3</v>
          </cell>
        </row>
        <row r="2846">
          <cell r="D2846">
            <v>1008005870</v>
          </cell>
          <cell r="E2846" t="str">
            <v>TARA MASSIE</v>
          </cell>
          <cell r="F2846" t="str">
            <v>D (MD)</v>
          </cell>
          <cell r="G2846">
            <v>347420</v>
          </cell>
          <cell r="H2846" t="str">
            <v>Mayday</v>
          </cell>
          <cell r="I2846">
            <v>0.5625</v>
          </cell>
          <cell r="J2846">
            <v>0.89583333333333337</v>
          </cell>
          <cell r="K2846">
            <v>7.6666666670000003</v>
          </cell>
          <cell r="L2846">
            <v>247.56</v>
          </cell>
          <cell r="O2846" t="str">
            <v>Y</v>
          </cell>
          <cell r="P2846" t="str">
            <v>N</v>
          </cell>
          <cell r="Q2846" t="str">
            <v>Vacancy</v>
          </cell>
          <cell r="S2846">
            <v>0.2</v>
          </cell>
        </row>
        <row r="2847">
          <cell r="D2847">
            <v>1108004426</v>
          </cell>
          <cell r="E2847" t="str">
            <v>TARA MASSIE</v>
          </cell>
          <cell r="F2847" t="str">
            <v>D (MD)</v>
          </cell>
          <cell r="G2847">
            <v>347420</v>
          </cell>
          <cell r="H2847" t="str">
            <v>Mayday</v>
          </cell>
          <cell r="I2847">
            <v>0.3125</v>
          </cell>
          <cell r="J2847">
            <v>0.5625</v>
          </cell>
          <cell r="K2847">
            <v>5.6666666670000003</v>
          </cell>
          <cell r="L2847">
            <v>182.98</v>
          </cell>
          <cell r="O2847" t="str">
            <v>Y</v>
          </cell>
          <cell r="P2847" t="str">
            <v>N</v>
          </cell>
          <cell r="Q2847" t="str">
            <v>Under Established</v>
          </cell>
          <cell r="S2847">
            <v>0.15</v>
          </cell>
        </row>
        <row r="2848">
          <cell r="D2848">
            <v>1108003681</v>
          </cell>
          <cell r="E2848" t="str">
            <v>TERESA RADEJKO</v>
          </cell>
          <cell r="F2848" t="str">
            <v>D (Amb)</v>
          </cell>
          <cell r="G2848">
            <v>760748</v>
          </cell>
          <cell r="H2848" t="str">
            <v>Ambition</v>
          </cell>
          <cell r="I2848">
            <v>0.625</v>
          </cell>
          <cell r="J2848">
            <v>0.89583333333333337</v>
          </cell>
          <cell r="K2848">
            <v>6</v>
          </cell>
          <cell r="L2848">
            <v>234.6</v>
          </cell>
          <cell r="O2848" t="str">
            <v>Y</v>
          </cell>
          <cell r="P2848" t="str">
            <v>N</v>
          </cell>
          <cell r="Q2848" t="str">
            <v>Study Leave</v>
          </cell>
          <cell r="S2848">
            <v>0.16</v>
          </cell>
        </row>
        <row r="2849">
          <cell r="D2849">
            <v>1108003851</v>
          </cell>
          <cell r="E2849" t="str">
            <v>TOM OSBOURNE</v>
          </cell>
          <cell r="F2849" t="str">
            <v>D General (Orio</v>
          </cell>
          <cell r="G2849" t="str">
            <v>Invsd Smt checked</v>
          </cell>
          <cell r="H2849" t="str">
            <v>Orion</v>
          </cell>
          <cell r="I2849">
            <v>0.33333333333333331</v>
          </cell>
          <cell r="J2849">
            <v>0.75</v>
          </cell>
          <cell r="K2849">
            <v>9.5</v>
          </cell>
          <cell r="L2849">
            <v>172.14</v>
          </cell>
          <cell r="O2849" t="str">
            <v>Y</v>
          </cell>
          <cell r="P2849" t="str">
            <v>N</v>
          </cell>
          <cell r="Q2849" t="str">
            <v>Vacancy</v>
          </cell>
          <cell r="S2849">
            <v>0.25</v>
          </cell>
        </row>
        <row r="2850">
          <cell r="D2850">
            <v>1108005773</v>
          </cell>
          <cell r="E2850" t="str">
            <v>TRUST CHIWUNDURA</v>
          </cell>
          <cell r="F2850" t="str">
            <v>A (Ch)</v>
          </cell>
          <cell r="G2850">
            <v>17386</v>
          </cell>
          <cell r="H2850" t="str">
            <v>Choice</v>
          </cell>
          <cell r="I2850">
            <v>0.88541666666666663</v>
          </cell>
          <cell r="J2850">
            <v>0.3125</v>
          </cell>
          <cell r="K2850">
            <v>9.25</v>
          </cell>
          <cell r="L2850">
            <v>136.78</v>
          </cell>
          <cell r="O2850" t="str">
            <v>Y</v>
          </cell>
          <cell r="P2850" t="str">
            <v>N</v>
          </cell>
          <cell r="Q2850" t="str">
            <v>Specials</v>
          </cell>
          <cell r="S2850">
            <v>0.25</v>
          </cell>
        </row>
        <row r="2851">
          <cell r="D2851">
            <v>1108001524</v>
          </cell>
          <cell r="E2851" t="str">
            <v>VICTORIA MAESTRANI</v>
          </cell>
          <cell r="F2851" t="str">
            <v>D (MD)</v>
          </cell>
          <cell r="G2851">
            <v>347698</v>
          </cell>
          <cell r="H2851" t="str">
            <v>Mayday</v>
          </cell>
          <cell r="I2851">
            <v>0.3125</v>
          </cell>
          <cell r="J2851">
            <v>0.58333333333333337</v>
          </cell>
          <cell r="K2851">
            <v>6</v>
          </cell>
          <cell r="L2851">
            <v>193.74</v>
          </cell>
          <cell r="O2851" t="str">
            <v>Y</v>
          </cell>
          <cell r="P2851" t="str">
            <v>N</v>
          </cell>
          <cell r="Q2851" t="str">
            <v>Vacancy</v>
          </cell>
          <cell r="S2851">
            <v>0.16</v>
          </cell>
        </row>
        <row r="2852">
          <cell r="D2852">
            <v>1108006320</v>
          </cell>
          <cell r="E2852" t="str">
            <v>ABIGAIL MORRA</v>
          </cell>
          <cell r="F2852" t="str">
            <v>D (Amb)</v>
          </cell>
          <cell r="G2852">
            <v>763637</v>
          </cell>
          <cell r="H2852" t="str">
            <v>Ambition</v>
          </cell>
          <cell r="I2852">
            <v>0.3125</v>
          </cell>
          <cell r="J2852">
            <v>0.625</v>
          </cell>
          <cell r="K2852">
            <v>7.1666666670000003</v>
          </cell>
          <cell r="L2852">
            <v>280.22000000000003</v>
          </cell>
          <cell r="O2852" t="str">
            <v>Y</v>
          </cell>
          <cell r="P2852" t="str">
            <v>N</v>
          </cell>
          <cell r="Q2852" t="str">
            <v>Extra Capacity</v>
          </cell>
          <cell r="S2852">
            <v>0.19</v>
          </cell>
        </row>
        <row r="2853">
          <cell r="D2853">
            <v>1108006726</v>
          </cell>
          <cell r="E2853" t="str">
            <v>ADEOLA SOGBESAN</v>
          </cell>
          <cell r="F2853" t="str">
            <v>D (MD)</v>
          </cell>
          <cell r="G2853">
            <v>352135</v>
          </cell>
          <cell r="H2853" t="str">
            <v>Mayday</v>
          </cell>
          <cell r="I2853">
            <v>0.32291666666666669</v>
          </cell>
          <cell r="J2853">
            <v>0.84375</v>
          </cell>
          <cell r="K2853">
            <v>11.83333333</v>
          </cell>
          <cell r="L2853">
            <v>382.1</v>
          </cell>
          <cell r="O2853" t="str">
            <v>Y</v>
          </cell>
          <cell r="P2853" t="str">
            <v>N</v>
          </cell>
          <cell r="Q2853" t="str">
            <v>Vacancy</v>
          </cell>
          <cell r="S2853">
            <v>0.32</v>
          </cell>
        </row>
        <row r="2854">
          <cell r="D2854">
            <v>1108005164</v>
          </cell>
          <cell r="E2854" t="str">
            <v>ALAN CURTIS</v>
          </cell>
          <cell r="F2854" t="str">
            <v>D (MD)</v>
          </cell>
          <cell r="G2854">
            <v>348352</v>
          </cell>
          <cell r="H2854" t="str">
            <v>Mayday</v>
          </cell>
          <cell r="I2854">
            <v>0.32291666666666669</v>
          </cell>
          <cell r="J2854">
            <v>0.84375</v>
          </cell>
          <cell r="K2854">
            <v>11.83333333</v>
          </cell>
          <cell r="L2854">
            <v>382.1</v>
          </cell>
          <cell r="O2854" t="str">
            <v>Y</v>
          </cell>
          <cell r="P2854" t="str">
            <v>N</v>
          </cell>
          <cell r="Q2854" t="str">
            <v>Vacancy</v>
          </cell>
          <cell r="S2854">
            <v>0.32</v>
          </cell>
        </row>
        <row r="2855">
          <cell r="D2855">
            <v>1108004520</v>
          </cell>
          <cell r="E2855" t="str">
            <v>ALLI SUBRAMANIAM</v>
          </cell>
          <cell r="F2855" t="str">
            <v>D (MD)</v>
          </cell>
          <cell r="G2855">
            <v>348808</v>
          </cell>
          <cell r="H2855" t="str">
            <v>Mayday</v>
          </cell>
          <cell r="I2855">
            <v>0.3125</v>
          </cell>
          <cell r="J2855">
            <v>0.625</v>
          </cell>
          <cell r="K2855">
            <v>7.1666666670000003</v>
          </cell>
          <cell r="L2855">
            <v>231.41</v>
          </cell>
          <cell r="O2855" t="str">
            <v>Y</v>
          </cell>
          <cell r="P2855" t="str">
            <v>N</v>
          </cell>
          <cell r="Q2855" t="str">
            <v>Extra Capacity</v>
          </cell>
          <cell r="S2855">
            <v>0.19</v>
          </cell>
        </row>
        <row r="2856">
          <cell r="D2856">
            <v>1108004534</v>
          </cell>
          <cell r="E2856" t="str">
            <v>ALLI SUBRAMANIAM</v>
          </cell>
          <cell r="F2856" t="str">
            <v>D (MD)</v>
          </cell>
          <cell r="G2856">
            <v>348806</v>
          </cell>
          <cell r="H2856" t="str">
            <v>Mayday</v>
          </cell>
          <cell r="I2856">
            <v>0.625</v>
          </cell>
          <cell r="J2856">
            <v>0.85416666666666663</v>
          </cell>
          <cell r="K2856">
            <v>5.5</v>
          </cell>
          <cell r="L2856">
            <v>177.59</v>
          </cell>
          <cell r="O2856" t="str">
            <v>Y</v>
          </cell>
          <cell r="P2856" t="str">
            <v>N</v>
          </cell>
          <cell r="Q2856" t="str">
            <v>Extra Capacity</v>
          </cell>
          <cell r="S2856">
            <v>0.15</v>
          </cell>
        </row>
        <row r="2857">
          <cell r="D2857">
            <v>1108004513</v>
          </cell>
          <cell r="E2857" t="str">
            <v>BERNADETTE SHINYA-NDUNUWANI</v>
          </cell>
          <cell r="F2857" t="str">
            <v>D (MD)</v>
          </cell>
          <cell r="G2857">
            <v>347732</v>
          </cell>
          <cell r="H2857" t="str">
            <v>Mayday</v>
          </cell>
          <cell r="I2857">
            <v>0.3125</v>
          </cell>
          <cell r="J2857">
            <v>0.625</v>
          </cell>
          <cell r="K2857">
            <v>7.1666666670000003</v>
          </cell>
          <cell r="L2857">
            <v>231.41</v>
          </cell>
          <cell r="O2857" t="str">
            <v>Y</v>
          </cell>
          <cell r="P2857" t="str">
            <v>N</v>
          </cell>
          <cell r="Q2857" t="str">
            <v>Extra Capacity</v>
          </cell>
          <cell r="S2857">
            <v>0.19</v>
          </cell>
        </row>
        <row r="2858">
          <cell r="D2858">
            <v>1108004784</v>
          </cell>
          <cell r="E2858" t="str">
            <v>BERNADETTE SHINYA-NDUNUWANI</v>
          </cell>
          <cell r="F2858" t="str">
            <v>D (MD)</v>
          </cell>
          <cell r="G2858">
            <v>347755</v>
          </cell>
          <cell r="H2858" t="str">
            <v>Mayday</v>
          </cell>
          <cell r="I2858">
            <v>0.625</v>
          </cell>
          <cell r="J2858">
            <v>0.85416666666666663</v>
          </cell>
          <cell r="K2858">
            <v>5.5</v>
          </cell>
          <cell r="L2858">
            <v>177.59</v>
          </cell>
          <cell r="O2858" t="str">
            <v>Y</v>
          </cell>
          <cell r="P2858" t="str">
            <v>N</v>
          </cell>
          <cell r="Q2858" t="str">
            <v>Vacancy</v>
          </cell>
          <cell r="S2858">
            <v>0.15</v>
          </cell>
        </row>
        <row r="2859">
          <cell r="D2859">
            <v>1108000432</v>
          </cell>
          <cell r="E2859" t="str">
            <v>BRIGHTNESS NDEBELE</v>
          </cell>
          <cell r="F2859" t="str">
            <v>D (MD)</v>
          </cell>
          <cell r="G2859">
            <v>347707</v>
          </cell>
          <cell r="H2859" t="str">
            <v>Mayday</v>
          </cell>
          <cell r="I2859">
            <v>0.63541666666666663</v>
          </cell>
          <cell r="J2859">
            <v>0.85416666666666663</v>
          </cell>
          <cell r="K2859">
            <v>5.25</v>
          </cell>
          <cell r="L2859">
            <v>169.52</v>
          </cell>
          <cell r="O2859" t="str">
            <v>Y</v>
          </cell>
          <cell r="P2859" t="str">
            <v>N</v>
          </cell>
          <cell r="Q2859" t="str">
            <v>Vacancy</v>
          </cell>
          <cell r="S2859">
            <v>0.14000000000000001</v>
          </cell>
        </row>
        <row r="2860">
          <cell r="D2860">
            <v>1108002761</v>
          </cell>
          <cell r="E2860" t="str">
            <v>COLLEN SIBANDA</v>
          </cell>
          <cell r="F2860" t="str">
            <v>D (Ch)</v>
          </cell>
          <cell r="G2860">
            <v>17391</v>
          </cell>
          <cell r="H2860" t="str">
            <v>Choice</v>
          </cell>
          <cell r="I2860">
            <v>0.29166666666666669</v>
          </cell>
          <cell r="J2860">
            <v>0.625</v>
          </cell>
          <cell r="K2860">
            <v>7.5</v>
          </cell>
          <cell r="L2860">
            <v>182.78</v>
          </cell>
          <cell r="O2860" t="str">
            <v>Y</v>
          </cell>
          <cell r="P2860" t="str">
            <v>N</v>
          </cell>
          <cell r="Q2860" t="str">
            <v>Extra Capacity</v>
          </cell>
          <cell r="S2860">
            <v>0.2</v>
          </cell>
        </row>
        <row r="2861">
          <cell r="D2861">
            <v>1108002762</v>
          </cell>
          <cell r="E2861" t="str">
            <v>COLLEN SIBANDA</v>
          </cell>
          <cell r="F2861" t="str">
            <v>D (Ch)</v>
          </cell>
          <cell r="G2861">
            <v>17391</v>
          </cell>
          <cell r="H2861" t="str">
            <v>Choice</v>
          </cell>
          <cell r="I2861">
            <v>0.625</v>
          </cell>
          <cell r="J2861">
            <v>0.89583333333333337</v>
          </cell>
          <cell r="K2861">
            <v>6.1666666670000003</v>
          </cell>
          <cell r="L2861">
            <v>150.28</v>
          </cell>
          <cell r="O2861" t="str">
            <v>Y</v>
          </cell>
          <cell r="P2861" t="str">
            <v>N</v>
          </cell>
          <cell r="Q2861" t="str">
            <v>Extra Capacity</v>
          </cell>
          <cell r="S2861">
            <v>0.16</v>
          </cell>
        </row>
        <row r="2862">
          <cell r="D2862">
            <v>1108004501</v>
          </cell>
          <cell r="E2862" t="str">
            <v>DAMILOLA AIKI</v>
          </cell>
          <cell r="F2862" t="str">
            <v>A (Ch)</v>
          </cell>
          <cell r="G2862">
            <v>17371</v>
          </cell>
          <cell r="H2862" t="str">
            <v>Choice</v>
          </cell>
          <cell r="I2862">
            <v>0.5625</v>
          </cell>
          <cell r="J2862">
            <v>0.85416666666666663</v>
          </cell>
          <cell r="K2862">
            <v>6.6666666670000003</v>
          </cell>
          <cell r="L2862">
            <v>73.930000000000007</v>
          </cell>
          <cell r="O2862" t="str">
            <v>Y</v>
          </cell>
          <cell r="P2862" t="str">
            <v>N</v>
          </cell>
          <cell r="Q2862" t="str">
            <v>Under Established</v>
          </cell>
          <cell r="S2862">
            <v>0.18</v>
          </cell>
        </row>
        <row r="2863">
          <cell r="D2863">
            <v>1108005778</v>
          </cell>
          <cell r="E2863" t="str">
            <v>DENNIS DVENGE</v>
          </cell>
          <cell r="F2863" t="str">
            <v>D (Ch)</v>
          </cell>
          <cell r="G2863">
            <v>17388</v>
          </cell>
          <cell r="H2863" t="str">
            <v>Choice</v>
          </cell>
          <cell r="I2863">
            <v>0.88541666666666663</v>
          </cell>
          <cell r="J2863">
            <v>0.3125</v>
          </cell>
          <cell r="K2863">
            <v>9.25</v>
          </cell>
          <cell r="L2863">
            <v>293.05</v>
          </cell>
          <cell r="O2863" t="str">
            <v>Y</v>
          </cell>
          <cell r="P2863" t="str">
            <v>N</v>
          </cell>
          <cell r="Q2863" t="str">
            <v>Specials</v>
          </cell>
          <cell r="S2863">
            <v>0.25</v>
          </cell>
        </row>
        <row r="2864">
          <cell r="D2864">
            <v>1108005052</v>
          </cell>
          <cell r="E2864" t="str">
            <v>DIGRACIA  NAPE</v>
          </cell>
          <cell r="F2864" t="str">
            <v>D (MD)</v>
          </cell>
          <cell r="G2864">
            <v>347444</v>
          </cell>
          <cell r="H2864" t="str">
            <v>Mayday</v>
          </cell>
          <cell r="I2864">
            <v>0.3125</v>
          </cell>
          <cell r="J2864">
            <v>0.60416666666666663</v>
          </cell>
          <cell r="K2864">
            <v>6.6666666670000003</v>
          </cell>
          <cell r="L2864">
            <v>215.27</v>
          </cell>
          <cell r="O2864" t="str">
            <v>Y</v>
          </cell>
          <cell r="P2864" t="str">
            <v>N</v>
          </cell>
          <cell r="Q2864" t="str">
            <v>Extra Capacity</v>
          </cell>
          <cell r="S2864">
            <v>0.18</v>
          </cell>
        </row>
        <row r="2865">
          <cell r="D2865">
            <v>1108005053</v>
          </cell>
          <cell r="E2865" t="str">
            <v>DIGRACIA  NAPE</v>
          </cell>
          <cell r="F2865" t="str">
            <v>D (MD)</v>
          </cell>
          <cell r="G2865">
            <v>347444</v>
          </cell>
          <cell r="H2865" t="str">
            <v>Mayday</v>
          </cell>
          <cell r="I2865">
            <v>0.60416666666666663</v>
          </cell>
          <cell r="J2865">
            <v>0.85416666666666663</v>
          </cell>
          <cell r="K2865">
            <v>5.6666666670000003</v>
          </cell>
          <cell r="L2865">
            <v>182.98</v>
          </cell>
          <cell r="O2865" t="str">
            <v>Y</v>
          </cell>
          <cell r="P2865" t="str">
            <v>N</v>
          </cell>
          <cell r="Q2865" t="str">
            <v>Extra Capacity</v>
          </cell>
          <cell r="S2865">
            <v>0.15</v>
          </cell>
        </row>
        <row r="2866">
          <cell r="D2866">
            <v>1108003989</v>
          </cell>
          <cell r="E2866" t="str">
            <v>EDMA ITALIA</v>
          </cell>
          <cell r="F2866" t="str">
            <v>D (Ch)</v>
          </cell>
          <cell r="G2866">
            <v>17392</v>
          </cell>
          <cell r="H2866" t="str">
            <v>Choice</v>
          </cell>
          <cell r="I2866">
            <v>0.875</v>
          </cell>
          <cell r="J2866">
            <v>0.32291666666666669</v>
          </cell>
          <cell r="K2866">
            <v>10</v>
          </cell>
          <cell r="L2866">
            <v>316.81</v>
          </cell>
          <cell r="O2866" t="str">
            <v>Y</v>
          </cell>
          <cell r="P2866" t="str">
            <v>N</v>
          </cell>
          <cell r="Q2866" t="str">
            <v>Specials</v>
          </cell>
          <cell r="S2866">
            <v>0.27</v>
          </cell>
        </row>
        <row r="2867">
          <cell r="D2867">
            <v>1108005051</v>
          </cell>
          <cell r="E2867" t="str">
            <v>FIONA DURKIN-GREER</v>
          </cell>
          <cell r="F2867" t="str">
            <v>D (MD)</v>
          </cell>
          <cell r="H2867" t="str">
            <v>Mayday</v>
          </cell>
          <cell r="I2867">
            <v>0.3125</v>
          </cell>
          <cell r="J2867">
            <v>0.60416666666666663</v>
          </cell>
          <cell r="K2867">
            <v>6.6666666670000003</v>
          </cell>
          <cell r="L2867">
            <v>215.27</v>
          </cell>
          <cell r="O2867" t="str">
            <v>Y</v>
          </cell>
          <cell r="P2867" t="str">
            <v>N</v>
          </cell>
          <cell r="Q2867" t="str">
            <v>Extra Capacity</v>
          </cell>
          <cell r="S2867">
            <v>0.18</v>
          </cell>
        </row>
        <row r="2868">
          <cell r="D2868">
            <v>1108006321</v>
          </cell>
          <cell r="E2868" t="str">
            <v>GILLIAN ROUTLEDGE</v>
          </cell>
          <cell r="F2868" t="str">
            <v>D (Amb)</v>
          </cell>
          <cell r="G2868">
            <v>760751</v>
          </cell>
          <cell r="H2868" t="str">
            <v>Ambition</v>
          </cell>
          <cell r="I2868">
            <v>0.3125</v>
          </cell>
          <cell r="J2868">
            <v>0.625</v>
          </cell>
          <cell r="K2868">
            <v>7.1666666670000003</v>
          </cell>
          <cell r="L2868">
            <v>280.22000000000003</v>
          </cell>
          <cell r="O2868" t="str">
            <v>Y</v>
          </cell>
          <cell r="P2868" t="str">
            <v>N</v>
          </cell>
          <cell r="Q2868" t="str">
            <v>Extra Capacity</v>
          </cell>
          <cell r="S2868">
            <v>0.19</v>
          </cell>
        </row>
        <row r="2869">
          <cell r="D2869">
            <v>1008005471</v>
          </cell>
          <cell r="E2869" t="str">
            <v>JAKE BROOKES</v>
          </cell>
          <cell r="F2869" t="str">
            <v>D General (Orio</v>
          </cell>
          <cell r="G2869" t="str">
            <v>Invsd Smt checked</v>
          </cell>
          <cell r="H2869" t="str">
            <v>Orion</v>
          </cell>
          <cell r="I2869">
            <v>0.33333333333333331</v>
          </cell>
          <cell r="J2869">
            <v>0.75</v>
          </cell>
          <cell r="K2869">
            <v>9.6666666669999994</v>
          </cell>
          <cell r="L2869">
            <v>175.16</v>
          </cell>
          <cell r="O2869" t="str">
            <v>Y</v>
          </cell>
          <cell r="P2869" t="str">
            <v>N</v>
          </cell>
          <cell r="Q2869" t="str">
            <v>Long Term Sick</v>
          </cell>
          <cell r="S2869">
            <v>0.26</v>
          </cell>
        </row>
        <row r="2870">
          <cell r="D2870">
            <v>1008005977</v>
          </cell>
          <cell r="E2870" t="str">
            <v>JAMES MCCLEMENTS</v>
          </cell>
          <cell r="F2870" t="str">
            <v>D (MD)</v>
          </cell>
          <cell r="G2870">
            <v>347425</v>
          </cell>
          <cell r="H2870" t="str">
            <v>Mayday</v>
          </cell>
          <cell r="I2870">
            <v>0.5625</v>
          </cell>
          <cell r="J2870">
            <v>0.875</v>
          </cell>
          <cell r="K2870">
            <v>7.1666666670000003</v>
          </cell>
          <cell r="L2870">
            <v>231.41</v>
          </cell>
          <cell r="O2870" t="str">
            <v>Y</v>
          </cell>
          <cell r="P2870" t="str">
            <v>N</v>
          </cell>
          <cell r="Q2870" t="str">
            <v>Vacancy</v>
          </cell>
          <cell r="S2870">
            <v>0.19</v>
          </cell>
        </row>
        <row r="2871">
          <cell r="D2871">
            <v>1108004336</v>
          </cell>
          <cell r="E2871" t="str">
            <v>JOANNA TAYLOR</v>
          </cell>
          <cell r="F2871" t="str">
            <v>D (MD)</v>
          </cell>
          <cell r="G2871">
            <v>346355</v>
          </cell>
          <cell r="H2871" t="str">
            <v>Mayday</v>
          </cell>
          <cell r="I2871">
            <v>0.3125</v>
          </cell>
          <cell r="J2871">
            <v>0.60416666666666663</v>
          </cell>
          <cell r="K2871">
            <v>6.6666666670000003</v>
          </cell>
          <cell r="L2871">
            <v>215.27</v>
          </cell>
          <cell r="O2871" t="str">
            <v>Y</v>
          </cell>
          <cell r="P2871" t="str">
            <v>N</v>
          </cell>
          <cell r="Q2871" t="str">
            <v>Short Term Sick</v>
          </cell>
          <cell r="S2871">
            <v>0.18</v>
          </cell>
        </row>
        <row r="2872">
          <cell r="D2872">
            <v>1208000121</v>
          </cell>
          <cell r="E2872" t="str">
            <v>KATH BURTON</v>
          </cell>
          <cell r="F2872" t="str">
            <v>D (MD)</v>
          </cell>
          <cell r="G2872">
            <v>348122</v>
          </cell>
          <cell r="H2872" t="str">
            <v>Mayday</v>
          </cell>
          <cell r="I2872">
            <v>0.3125</v>
          </cell>
          <cell r="J2872">
            <v>0.5625</v>
          </cell>
          <cell r="K2872">
            <v>5.6666666670000003</v>
          </cell>
          <cell r="L2872">
            <v>182.98</v>
          </cell>
          <cell r="O2872" t="str">
            <v>Y</v>
          </cell>
          <cell r="P2872" t="str">
            <v>N</v>
          </cell>
          <cell r="Q2872" t="str">
            <v>Acuity</v>
          </cell>
          <cell r="S2872">
            <v>0.15</v>
          </cell>
        </row>
        <row r="2873">
          <cell r="D2873">
            <v>1208000223</v>
          </cell>
          <cell r="E2873" t="str">
            <v>KATH WILDREDGE</v>
          </cell>
          <cell r="F2873" t="str">
            <v>D (MD)</v>
          </cell>
          <cell r="G2873">
            <v>347410</v>
          </cell>
          <cell r="H2873" t="str">
            <v>Mayday</v>
          </cell>
          <cell r="I2873">
            <v>0.83333333333333337</v>
          </cell>
          <cell r="J2873">
            <v>0.33333333333333331</v>
          </cell>
          <cell r="K2873">
            <v>11</v>
          </cell>
          <cell r="L2873">
            <v>461.75</v>
          </cell>
          <cell r="O2873" t="str">
            <v>Y</v>
          </cell>
          <cell r="P2873" t="str">
            <v>N</v>
          </cell>
          <cell r="Q2873" t="str">
            <v>Vacancy</v>
          </cell>
          <cell r="S2873">
            <v>0.28999999999999998</v>
          </cell>
        </row>
        <row r="2874">
          <cell r="D2874">
            <v>1108004548</v>
          </cell>
          <cell r="E2874" t="str">
            <v>LETECIA MENIANO</v>
          </cell>
          <cell r="F2874" t="str">
            <v>D (MD)</v>
          </cell>
          <cell r="G2874">
            <v>347714</v>
          </cell>
          <cell r="H2874" t="str">
            <v>Mayday</v>
          </cell>
          <cell r="I2874">
            <v>0.83333333333333337</v>
          </cell>
          <cell r="J2874">
            <v>0.33333333333333331</v>
          </cell>
          <cell r="K2874">
            <v>11.33333333</v>
          </cell>
          <cell r="L2874">
            <v>475.74</v>
          </cell>
          <cell r="O2874" t="str">
            <v>Y</v>
          </cell>
          <cell r="P2874" t="str">
            <v>N</v>
          </cell>
          <cell r="Q2874" t="str">
            <v>Extra Capacity</v>
          </cell>
          <cell r="S2874">
            <v>0.3</v>
          </cell>
        </row>
        <row r="2875">
          <cell r="D2875">
            <v>1008005022</v>
          </cell>
          <cell r="E2875" t="str">
            <v>MERCY AFELE</v>
          </cell>
          <cell r="F2875" t="str">
            <v>D (MD)</v>
          </cell>
          <cell r="G2875">
            <v>347697</v>
          </cell>
          <cell r="H2875" t="str">
            <v>Mayday</v>
          </cell>
          <cell r="I2875">
            <v>0.625</v>
          </cell>
          <cell r="J2875">
            <v>0.85416666666666663</v>
          </cell>
          <cell r="K2875">
            <v>5.5</v>
          </cell>
          <cell r="L2875">
            <v>177.59</v>
          </cell>
          <cell r="O2875" t="str">
            <v>Y</v>
          </cell>
          <cell r="P2875" t="str">
            <v>N</v>
          </cell>
          <cell r="Q2875" t="str">
            <v>Vacancy</v>
          </cell>
          <cell r="S2875">
            <v>0.15</v>
          </cell>
        </row>
        <row r="2876">
          <cell r="D2876">
            <v>1108002305</v>
          </cell>
          <cell r="E2876" t="str">
            <v>MERCY AFELE</v>
          </cell>
          <cell r="F2876" t="str">
            <v>D (MD)</v>
          </cell>
          <cell r="G2876">
            <v>347709</v>
          </cell>
          <cell r="H2876" t="str">
            <v>Mayday</v>
          </cell>
          <cell r="I2876">
            <v>0.3125</v>
          </cell>
          <cell r="J2876">
            <v>0.5625</v>
          </cell>
          <cell r="K2876">
            <v>5.6666666670000003</v>
          </cell>
          <cell r="L2876">
            <v>182.98</v>
          </cell>
          <cell r="O2876" t="str">
            <v>Y</v>
          </cell>
          <cell r="P2876" t="str">
            <v>N</v>
          </cell>
          <cell r="Q2876" t="str">
            <v>Vacancy</v>
          </cell>
          <cell r="S2876">
            <v>0.15</v>
          </cell>
        </row>
        <row r="2877">
          <cell r="D2877">
            <v>1108005302</v>
          </cell>
          <cell r="E2877" t="str">
            <v>MIHAELA CHIRIBAU</v>
          </cell>
          <cell r="F2877" t="str">
            <v>D (MD)</v>
          </cell>
          <cell r="G2877">
            <v>347413</v>
          </cell>
          <cell r="H2877" t="str">
            <v>Mayday</v>
          </cell>
          <cell r="I2877">
            <v>0.3125</v>
          </cell>
          <cell r="J2877">
            <v>0.5625</v>
          </cell>
          <cell r="K2877">
            <v>5.6666666670000003</v>
          </cell>
          <cell r="L2877">
            <v>182.98</v>
          </cell>
          <cell r="O2877" t="str">
            <v>Y</v>
          </cell>
          <cell r="P2877" t="str">
            <v>N</v>
          </cell>
          <cell r="Q2877" t="str">
            <v>Study Leave</v>
          </cell>
          <cell r="S2877">
            <v>0.15</v>
          </cell>
        </row>
        <row r="2878">
          <cell r="D2878">
            <v>1108005775</v>
          </cell>
          <cell r="E2878" t="str">
            <v>MZUKISI SPEELMAN</v>
          </cell>
          <cell r="F2878" t="str">
            <v>A (Ch)</v>
          </cell>
          <cell r="G2878">
            <v>17386</v>
          </cell>
          <cell r="H2878" t="str">
            <v>Choice</v>
          </cell>
          <cell r="I2878">
            <v>0.29166666666666669</v>
          </cell>
          <cell r="J2878">
            <v>0.625</v>
          </cell>
          <cell r="K2878">
            <v>7.6666666670000003</v>
          </cell>
          <cell r="L2878">
            <v>85.02</v>
          </cell>
          <cell r="O2878" t="str">
            <v>Y</v>
          </cell>
          <cell r="P2878" t="str">
            <v>N</v>
          </cell>
          <cell r="Q2878" t="str">
            <v>Specials</v>
          </cell>
          <cell r="S2878">
            <v>0.2</v>
          </cell>
        </row>
        <row r="2879">
          <cell r="D2879">
            <v>1108006147</v>
          </cell>
          <cell r="E2879" t="str">
            <v>MZUKISI SPEELMAN</v>
          </cell>
          <cell r="F2879" t="str">
            <v>A (Ch)</v>
          </cell>
          <cell r="G2879">
            <v>17386</v>
          </cell>
          <cell r="H2879" t="str">
            <v>Choice</v>
          </cell>
          <cell r="I2879">
            <v>0.625</v>
          </cell>
          <cell r="J2879">
            <v>0.875</v>
          </cell>
          <cell r="K2879">
            <v>5.75</v>
          </cell>
          <cell r="L2879">
            <v>63.77</v>
          </cell>
          <cell r="O2879" t="str">
            <v>Y</v>
          </cell>
          <cell r="P2879" t="str">
            <v>N</v>
          </cell>
          <cell r="Q2879" t="str">
            <v>Short Term Sick</v>
          </cell>
          <cell r="S2879">
            <v>0.15</v>
          </cell>
        </row>
        <row r="2880">
          <cell r="D2880">
            <v>1108005056</v>
          </cell>
          <cell r="E2880" t="str">
            <v>NILO DANUGO</v>
          </cell>
          <cell r="F2880" t="str">
            <v>D (Ch)</v>
          </cell>
          <cell r="G2880">
            <v>17375</v>
          </cell>
          <cell r="H2880" t="str">
            <v>Choice</v>
          </cell>
          <cell r="I2880">
            <v>0.83333333333333337</v>
          </cell>
          <cell r="J2880">
            <v>0.33333333333333331</v>
          </cell>
          <cell r="K2880">
            <v>11.33333333</v>
          </cell>
          <cell r="L2880">
            <v>359.05</v>
          </cell>
          <cell r="O2880" t="str">
            <v>Y</v>
          </cell>
          <cell r="P2880" t="str">
            <v>N</v>
          </cell>
          <cell r="Q2880" t="str">
            <v>Extra Capacity</v>
          </cell>
          <cell r="S2880">
            <v>0.3</v>
          </cell>
        </row>
        <row r="2881">
          <cell r="D2881">
            <v>1108004541</v>
          </cell>
          <cell r="E2881" t="str">
            <v>OMAR SENGHORE</v>
          </cell>
          <cell r="F2881" t="str">
            <v>D (MD)</v>
          </cell>
          <cell r="G2881">
            <v>348818</v>
          </cell>
          <cell r="H2881" t="str">
            <v>Mayday</v>
          </cell>
          <cell r="I2881">
            <v>0.83333333333333337</v>
          </cell>
          <cell r="J2881">
            <v>0.33333333333333331</v>
          </cell>
          <cell r="K2881">
            <v>11.33333333</v>
          </cell>
          <cell r="L2881">
            <v>475.74</v>
          </cell>
          <cell r="O2881" t="str">
            <v>Y</v>
          </cell>
          <cell r="P2881" t="str">
            <v>N</v>
          </cell>
          <cell r="Q2881" t="str">
            <v>Extra Capacity</v>
          </cell>
          <cell r="S2881">
            <v>0.3</v>
          </cell>
        </row>
        <row r="2882">
          <cell r="D2882">
            <v>1008005973</v>
          </cell>
          <cell r="E2882" t="str">
            <v>PAT NKOSI</v>
          </cell>
          <cell r="F2882" t="str">
            <v>D (MD)</v>
          </cell>
          <cell r="G2882">
            <v>347439</v>
          </cell>
          <cell r="H2882" t="str">
            <v>Mayday</v>
          </cell>
          <cell r="I2882">
            <v>0.3125</v>
          </cell>
          <cell r="J2882">
            <v>0.5625</v>
          </cell>
          <cell r="K2882">
            <v>5.6666666670000003</v>
          </cell>
          <cell r="L2882">
            <v>182.98</v>
          </cell>
          <cell r="O2882" t="str">
            <v>Y</v>
          </cell>
          <cell r="P2882" t="str">
            <v>N</v>
          </cell>
          <cell r="Q2882" t="str">
            <v>Vacancy</v>
          </cell>
          <cell r="S2882">
            <v>0.15</v>
          </cell>
        </row>
        <row r="2883">
          <cell r="D2883">
            <v>1108003993</v>
          </cell>
          <cell r="E2883" t="str">
            <v>PAT NKOSI</v>
          </cell>
          <cell r="F2883" t="str">
            <v>D (MD)</v>
          </cell>
          <cell r="G2883">
            <v>347439</v>
          </cell>
          <cell r="H2883" t="str">
            <v>Mayday</v>
          </cell>
          <cell r="I2883">
            <v>0.5625</v>
          </cell>
          <cell r="J2883">
            <v>0.85416666666666663</v>
          </cell>
          <cell r="K2883">
            <v>6.6666666670000003</v>
          </cell>
          <cell r="L2883">
            <v>215.27</v>
          </cell>
          <cell r="O2883" t="str">
            <v>Y</v>
          </cell>
          <cell r="P2883" t="str">
            <v>N</v>
          </cell>
          <cell r="Q2883" t="str">
            <v>Backfill</v>
          </cell>
          <cell r="S2883">
            <v>0.18</v>
          </cell>
        </row>
        <row r="2884">
          <cell r="D2884">
            <v>1008007321</v>
          </cell>
          <cell r="E2884" t="str">
            <v>PEGGY CHIRIKURE</v>
          </cell>
          <cell r="F2884" t="str">
            <v>D (Ch)</v>
          </cell>
          <cell r="G2884">
            <v>17453</v>
          </cell>
          <cell r="H2884" t="str">
            <v>Choice</v>
          </cell>
          <cell r="I2884">
            <v>0.3125</v>
          </cell>
          <cell r="J2884">
            <v>0.5625</v>
          </cell>
          <cell r="K2884">
            <v>5.6666666670000003</v>
          </cell>
          <cell r="L2884">
            <v>138.1</v>
          </cell>
          <cell r="M2884">
            <v>158.33126126201643</v>
          </cell>
          <cell r="O2884" t="str">
            <v>Y</v>
          </cell>
          <cell r="P2884" t="str">
            <v>N</v>
          </cell>
          <cell r="Q2884" t="str">
            <v>Vacancy</v>
          </cell>
          <cell r="S2884">
            <v>0.15</v>
          </cell>
        </row>
        <row r="2885">
          <cell r="D2885">
            <v>1108004029</v>
          </cell>
          <cell r="E2885" t="str">
            <v>PEGGY CHIRIKURE</v>
          </cell>
          <cell r="F2885" t="str">
            <v>D (Ch)</v>
          </cell>
          <cell r="G2885">
            <v>17453</v>
          </cell>
          <cell r="H2885" t="str">
            <v>Choice</v>
          </cell>
          <cell r="I2885">
            <v>0.5625</v>
          </cell>
          <cell r="J2885">
            <v>0.85416666666666663</v>
          </cell>
          <cell r="K2885">
            <v>6.6666666670000003</v>
          </cell>
          <cell r="L2885">
            <v>162.47</v>
          </cell>
          <cell r="M2885">
            <v>186.2720720713169</v>
          </cell>
          <cell r="O2885" t="str">
            <v>Y</v>
          </cell>
          <cell r="P2885" t="str">
            <v>N</v>
          </cell>
          <cell r="Q2885" t="str">
            <v>Vacancy</v>
          </cell>
          <cell r="S2885">
            <v>0.18</v>
          </cell>
        </row>
        <row r="2886">
          <cell r="D2886">
            <v>1108006344</v>
          </cell>
          <cell r="E2886" t="str">
            <v>PEGGY MAPOGO</v>
          </cell>
          <cell r="F2886" t="str">
            <v>D (Ch)</v>
          </cell>
          <cell r="G2886">
            <v>17383</v>
          </cell>
          <cell r="H2886" t="str">
            <v>Choice</v>
          </cell>
          <cell r="I2886">
            <v>0.32291666666666669</v>
          </cell>
          <cell r="J2886">
            <v>0.83333333333333337</v>
          </cell>
          <cell r="K2886">
            <v>10.25</v>
          </cell>
          <cell r="L2886">
            <v>249.79</v>
          </cell>
          <cell r="O2886" t="str">
            <v>Y</v>
          </cell>
          <cell r="P2886" t="str">
            <v>N</v>
          </cell>
          <cell r="Q2886" t="str">
            <v>Short Term Sick</v>
          </cell>
          <cell r="S2886">
            <v>0.27</v>
          </cell>
        </row>
        <row r="2887">
          <cell r="D2887">
            <v>1108006459</v>
          </cell>
          <cell r="E2887" t="str">
            <v>RACHEL OBERDOFF</v>
          </cell>
          <cell r="F2887" t="str">
            <v>D (MD)</v>
          </cell>
          <cell r="G2887">
            <v>349489</v>
          </cell>
          <cell r="H2887" t="str">
            <v>Mayday</v>
          </cell>
          <cell r="I2887">
            <v>0.60416666666666663</v>
          </cell>
          <cell r="J2887">
            <v>0.85416666666666663</v>
          </cell>
          <cell r="K2887">
            <v>6</v>
          </cell>
          <cell r="L2887">
            <v>193.74</v>
          </cell>
          <cell r="O2887" t="str">
            <v>Y</v>
          </cell>
          <cell r="P2887" t="str">
            <v>N</v>
          </cell>
          <cell r="Q2887" t="str">
            <v>Acuity</v>
          </cell>
          <cell r="S2887">
            <v>0.16</v>
          </cell>
        </row>
        <row r="2888">
          <cell r="D2888">
            <v>1108006535</v>
          </cell>
          <cell r="E2888" t="str">
            <v>RAYMOND TEKILE</v>
          </cell>
          <cell r="F2888" t="str">
            <v>D (Ch)</v>
          </cell>
          <cell r="G2888">
            <v>17394</v>
          </cell>
          <cell r="H2888" t="str">
            <v>Choice</v>
          </cell>
          <cell r="I2888">
            <v>0.83333333333333337</v>
          </cell>
          <cell r="J2888">
            <v>0.33333333333333331</v>
          </cell>
          <cell r="K2888">
            <v>11.33333333</v>
          </cell>
          <cell r="L2888">
            <v>359.05</v>
          </cell>
          <cell r="O2888" t="str">
            <v>Y</v>
          </cell>
          <cell r="P2888" t="str">
            <v>N</v>
          </cell>
          <cell r="Q2888" t="str">
            <v>Vacancy</v>
          </cell>
          <cell r="S2888">
            <v>0.3</v>
          </cell>
        </row>
        <row r="2889">
          <cell r="D2889">
            <v>1108006385</v>
          </cell>
          <cell r="E2889" t="str">
            <v>RICCA PARADA</v>
          </cell>
          <cell r="F2889" t="str">
            <v>D (Ch)</v>
          </cell>
          <cell r="G2889">
            <v>17443</v>
          </cell>
          <cell r="H2889" t="str">
            <v>Choice</v>
          </cell>
          <cell r="I2889">
            <v>0.33333333333333331</v>
          </cell>
          <cell r="J2889">
            <v>0.54166666666666663</v>
          </cell>
          <cell r="K2889">
            <v>5</v>
          </cell>
          <cell r="L2889">
            <v>121.85</v>
          </cell>
          <cell r="O2889" t="str">
            <v>Y</v>
          </cell>
          <cell r="P2889" t="str">
            <v>N</v>
          </cell>
          <cell r="Q2889" t="str">
            <v>Vacancy</v>
          </cell>
          <cell r="S2889">
            <v>0.13</v>
          </cell>
        </row>
        <row r="2890">
          <cell r="D2890">
            <v>1108005055</v>
          </cell>
          <cell r="E2890" t="str">
            <v>RITCHIE RUBIA</v>
          </cell>
          <cell r="F2890" t="str">
            <v>D (Ch)</v>
          </cell>
          <cell r="H2890" t="str">
            <v>Choice</v>
          </cell>
          <cell r="I2890">
            <v>0.83333333333333337</v>
          </cell>
          <cell r="J2890">
            <v>0.33333333333333331</v>
          </cell>
          <cell r="K2890">
            <v>11.33333333</v>
          </cell>
          <cell r="L2890">
            <v>359.05</v>
          </cell>
          <cell r="O2890" t="str">
            <v>Y</v>
          </cell>
          <cell r="P2890" t="str">
            <v>N</v>
          </cell>
          <cell r="Q2890" t="str">
            <v>Extra Capacity</v>
          </cell>
          <cell r="S2890">
            <v>0.3</v>
          </cell>
        </row>
        <row r="2891">
          <cell r="D2891">
            <v>1108001854</v>
          </cell>
          <cell r="E2891" t="str">
            <v>SAM KELEM</v>
          </cell>
          <cell r="F2891" t="str">
            <v>D (Ch)</v>
          </cell>
          <cell r="G2891">
            <v>17369</v>
          </cell>
          <cell r="H2891" t="str">
            <v>Choice</v>
          </cell>
          <cell r="I2891">
            <v>0.84375</v>
          </cell>
          <cell r="J2891">
            <v>0.3125</v>
          </cell>
          <cell r="K2891">
            <v>10.25</v>
          </cell>
          <cell r="L2891">
            <v>324.73</v>
          </cell>
          <cell r="O2891" t="str">
            <v>Y</v>
          </cell>
          <cell r="P2891" t="str">
            <v>N</v>
          </cell>
          <cell r="Q2891" t="str">
            <v>Vacancy</v>
          </cell>
          <cell r="S2891">
            <v>0.27</v>
          </cell>
        </row>
        <row r="2892">
          <cell r="D2892">
            <v>1108002417</v>
          </cell>
          <cell r="E2892" t="str">
            <v>SEREELETSO MAITIYO</v>
          </cell>
          <cell r="F2892" t="str">
            <v>D (Ch)</v>
          </cell>
          <cell r="G2892">
            <v>17373</v>
          </cell>
          <cell r="H2892" t="str">
            <v>Choice</v>
          </cell>
          <cell r="I2892">
            <v>0.625</v>
          </cell>
          <cell r="J2892">
            <v>0.90625</v>
          </cell>
          <cell r="K2892">
            <v>6.75</v>
          </cell>
          <cell r="L2892">
            <v>164.5</v>
          </cell>
          <cell r="O2892" t="str">
            <v>Y</v>
          </cell>
          <cell r="P2892" t="str">
            <v>N</v>
          </cell>
          <cell r="Q2892" t="str">
            <v>Extra Capacity</v>
          </cell>
          <cell r="S2892">
            <v>0.18</v>
          </cell>
        </row>
        <row r="2893">
          <cell r="D2893">
            <v>1108005130</v>
          </cell>
          <cell r="E2893" t="str">
            <v>SEREELETSO MAITIYO</v>
          </cell>
          <cell r="F2893" t="str">
            <v>D (Ch)</v>
          </cell>
          <cell r="G2893">
            <v>17373</v>
          </cell>
          <cell r="H2893" t="str">
            <v>Choice</v>
          </cell>
          <cell r="I2893">
            <v>0.29166666666666669</v>
          </cell>
          <cell r="J2893">
            <v>0.625</v>
          </cell>
          <cell r="K2893">
            <v>7.6666666670000003</v>
          </cell>
          <cell r="L2893">
            <v>186.84</v>
          </cell>
          <cell r="O2893" t="str">
            <v>Y</v>
          </cell>
          <cell r="P2893" t="str">
            <v>N</v>
          </cell>
          <cell r="Q2893" t="str">
            <v>Short Term Sick</v>
          </cell>
          <cell r="S2893">
            <v>0.2</v>
          </cell>
        </row>
        <row r="2894">
          <cell r="D2894">
            <v>1008004106</v>
          </cell>
          <cell r="E2894" t="str">
            <v>SIBONGILE DOKOTERA</v>
          </cell>
          <cell r="F2894" t="str">
            <v>D (MD)</v>
          </cell>
          <cell r="G2894">
            <v>347435</v>
          </cell>
          <cell r="H2894" t="str">
            <v>Mayday</v>
          </cell>
          <cell r="I2894">
            <v>0.3125</v>
          </cell>
          <cell r="J2894">
            <v>0.54166666666666663</v>
          </cell>
          <cell r="K2894">
            <v>5.5</v>
          </cell>
          <cell r="L2894">
            <v>177.59</v>
          </cell>
          <cell r="O2894" t="str">
            <v>Y</v>
          </cell>
          <cell r="P2894" t="str">
            <v>N</v>
          </cell>
          <cell r="Q2894" t="str">
            <v>Vacancy</v>
          </cell>
          <cell r="S2894">
            <v>0.15</v>
          </cell>
        </row>
        <row r="2895">
          <cell r="D2895">
            <v>1008004108</v>
          </cell>
          <cell r="E2895" t="str">
            <v>SIBONGILE DOKOTERA</v>
          </cell>
          <cell r="F2895" t="str">
            <v>D (MD)</v>
          </cell>
          <cell r="G2895">
            <v>347435</v>
          </cell>
          <cell r="H2895" t="str">
            <v>Mayday</v>
          </cell>
          <cell r="I2895">
            <v>0.625</v>
          </cell>
          <cell r="J2895">
            <v>0.85416666666666663</v>
          </cell>
          <cell r="K2895">
            <v>5.5</v>
          </cell>
          <cell r="L2895">
            <v>177.59</v>
          </cell>
          <cell r="O2895" t="str">
            <v>Y</v>
          </cell>
          <cell r="P2895" t="str">
            <v>N</v>
          </cell>
          <cell r="Q2895" t="str">
            <v>Vacancy</v>
          </cell>
          <cell r="S2895">
            <v>0.15</v>
          </cell>
        </row>
        <row r="2896">
          <cell r="D2896">
            <v>1008004109</v>
          </cell>
          <cell r="E2896" t="str">
            <v>TARA MASSIE</v>
          </cell>
          <cell r="F2896" t="str">
            <v>D (MD)</v>
          </cell>
          <cell r="G2896">
            <v>347421</v>
          </cell>
          <cell r="H2896" t="str">
            <v>Mayday</v>
          </cell>
          <cell r="I2896">
            <v>0.625</v>
          </cell>
          <cell r="J2896">
            <v>0.85416666666666663</v>
          </cell>
          <cell r="K2896">
            <v>5.5</v>
          </cell>
          <cell r="L2896">
            <v>177.59</v>
          </cell>
          <cell r="O2896" t="str">
            <v>Y</v>
          </cell>
          <cell r="P2896" t="str">
            <v>N</v>
          </cell>
          <cell r="Q2896" t="str">
            <v>Vacancy</v>
          </cell>
          <cell r="S2896">
            <v>0.15</v>
          </cell>
        </row>
        <row r="2897">
          <cell r="D2897">
            <v>1108004028</v>
          </cell>
          <cell r="E2897" t="str">
            <v>TARA MASSIE</v>
          </cell>
          <cell r="F2897" t="str">
            <v>D (MD)</v>
          </cell>
          <cell r="G2897">
            <v>347422</v>
          </cell>
          <cell r="H2897" t="str">
            <v>Mayday</v>
          </cell>
          <cell r="I2897">
            <v>0.3125</v>
          </cell>
          <cell r="J2897">
            <v>0.5625</v>
          </cell>
          <cell r="K2897">
            <v>5.6666666670000003</v>
          </cell>
          <cell r="L2897">
            <v>182.98</v>
          </cell>
          <cell r="O2897" t="str">
            <v>Y</v>
          </cell>
          <cell r="P2897" t="str">
            <v>N</v>
          </cell>
          <cell r="Q2897" t="str">
            <v>Vacancy</v>
          </cell>
          <cell r="S2897">
            <v>0.15</v>
          </cell>
        </row>
        <row r="2898">
          <cell r="D2898">
            <v>1108005165</v>
          </cell>
          <cell r="E2898" t="str">
            <v>TEMBE NGIDI</v>
          </cell>
          <cell r="F2898" t="str">
            <v>D (MD)</v>
          </cell>
          <cell r="G2898">
            <v>347479</v>
          </cell>
          <cell r="H2898" t="str">
            <v>Mayday</v>
          </cell>
          <cell r="I2898">
            <v>0.82291666666666663</v>
          </cell>
          <cell r="J2898">
            <v>0.34375</v>
          </cell>
          <cell r="K2898">
            <v>11.5</v>
          </cell>
          <cell r="L2898">
            <v>482.74</v>
          </cell>
          <cell r="M2898">
            <v>392.29</v>
          </cell>
          <cell r="O2898" t="str">
            <v>Y</v>
          </cell>
          <cell r="P2898" t="str">
            <v>N</v>
          </cell>
          <cell r="Q2898" t="str">
            <v>Vacancy</v>
          </cell>
          <cell r="S2898">
            <v>0.31</v>
          </cell>
        </row>
        <row r="2899">
          <cell r="D2899">
            <v>1108003852</v>
          </cell>
          <cell r="E2899" t="str">
            <v>TOM OSBOURNE</v>
          </cell>
          <cell r="F2899" t="str">
            <v>D General (Orio</v>
          </cell>
          <cell r="G2899" t="str">
            <v>Invsd Smt checked</v>
          </cell>
          <cell r="H2899" t="str">
            <v>Orion</v>
          </cell>
          <cell r="I2899">
            <v>0.33333333333333331</v>
          </cell>
          <cell r="J2899">
            <v>0.54166666666666663</v>
          </cell>
          <cell r="K2899">
            <v>5</v>
          </cell>
          <cell r="L2899">
            <v>90.6</v>
          </cell>
          <cell r="O2899" t="str">
            <v>Y</v>
          </cell>
          <cell r="P2899" t="str">
            <v>N</v>
          </cell>
          <cell r="Q2899" t="str">
            <v>Vacancy</v>
          </cell>
          <cell r="S2899">
            <v>0.13</v>
          </cell>
        </row>
        <row r="2900">
          <cell r="D2900">
            <v>1108006146</v>
          </cell>
          <cell r="E2900" t="str">
            <v>VANESSA GOULD</v>
          </cell>
          <cell r="F2900" t="str">
            <v>A /2 General (M</v>
          </cell>
          <cell r="G2900" t="str">
            <v>604-159195</v>
          </cell>
          <cell r="H2900" t="str">
            <v>Medacs</v>
          </cell>
          <cell r="I2900">
            <v>0.625</v>
          </cell>
          <cell r="J2900">
            <v>0.875</v>
          </cell>
          <cell r="K2900">
            <v>5.75</v>
          </cell>
          <cell r="L2900">
            <v>56.06</v>
          </cell>
          <cell r="O2900" t="str">
            <v>Y</v>
          </cell>
          <cell r="P2900" t="str">
            <v>N</v>
          </cell>
          <cell r="Q2900" t="str">
            <v>Nurse Moved</v>
          </cell>
          <cell r="S2900">
            <v>0.15</v>
          </cell>
        </row>
        <row r="2901">
          <cell r="D2901">
            <v>1108006661</v>
          </cell>
          <cell r="E2901" t="str">
            <v>ALLI SUBRAMANIAM</v>
          </cell>
          <cell r="F2901" t="str">
            <v>D (MD)</v>
          </cell>
          <cell r="G2901">
            <v>348815</v>
          </cell>
          <cell r="H2901" t="str">
            <v>Mayday</v>
          </cell>
          <cell r="I2901">
            <v>0.32291666666666669</v>
          </cell>
          <cell r="J2901">
            <v>0.54166666666666663</v>
          </cell>
          <cell r="K2901">
            <v>5.25</v>
          </cell>
          <cell r="L2901">
            <v>220.38</v>
          </cell>
          <cell r="O2901" t="str">
            <v>Y</v>
          </cell>
          <cell r="P2901" t="str">
            <v>N</v>
          </cell>
          <cell r="Q2901" t="str">
            <v>Vacancy</v>
          </cell>
          <cell r="S2901">
            <v>0.14000000000000001</v>
          </cell>
        </row>
        <row r="2902">
          <cell r="D2902">
            <v>1108006662</v>
          </cell>
          <cell r="E2902" t="str">
            <v>ALLI SUBRAMANIAM</v>
          </cell>
          <cell r="F2902" t="str">
            <v>D (MD)</v>
          </cell>
          <cell r="G2902">
            <v>348815</v>
          </cell>
          <cell r="H2902" t="str">
            <v>Mayday</v>
          </cell>
          <cell r="I2902">
            <v>0.63541666666666663</v>
          </cell>
          <cell r="J2902">
            <v>0.85416666666666663</v>
          </cell>
          <cell r="K2902">
            <v>5.25</v>
          </cell>
          <cell r="L2902">
            <v>220.38</v>
          </cell>
          <cell r="O2902" t="str">
            <v>Y</v>
          </cell>
          <cell r="P2902" t="str">
            <v>N</v>
          </cell>
          <cell r="Q2902" t="str">
            <v>Short Term Sick</v>
          </cell>
          <cell r="S2902">
            <v>0.14000000000000001</v>
          </cell>
        </row>
        <row r="2903">
          <cell r="D2903">
            <v>1208000226</v>
          </cell>
          <cell r="E2903" t="str">
            <v>ANTHONY OGOEGBUNAN</v>
          </cell>
          <cell r="F2903" t="str">
            <v>D (MD)</v>
          </cell>
          <cell r="G2903">
            <v>347430</v>
          </cell>
          <cell r="H2903" t="str">
            <v>Mayday</v>
          </cell>
          <cell r="I2903">
            <v>0.83333333333333337</v>
          </cell>
          <cell r="J2903">
            <v>0.33333333333333331</v>
          </cell>
          <cell r="K2903">
            <v>11</v>
          </cell>
          <cell r="L2903">
            <v>461.75</v>
          </cell>
          <cell r="O2903" t="str">
            <v>Y</v>
          </cell>
          <cell r="P2903" t="str">
            <v>N</v>
          </cell>
          <cell r="Q2903" t="str">
            <v>Vacancy</v>
          </cell>
          <cell r="S2903">
            <v>0.28999999999999998</v>
          </cell>
        </row>
        <row r="2904">
          <cell r="D2904">
            <v>1108004514</v>
          </cell>
          <cell r="E2904" t="str">
            <v>BERNADETTE SHINYA-NDUNUWANI</v>
          </cell>
          <cell r="F2904" t="str">
            <v>D (MD)</v>
          </cell>
          <cell r="G2904">
            <v>347694</v>
          </cell>
          <cell r="H2904" t="str">
            <v>Mayday</v>
          </cell>
          <cell r="I2904">
            <v>0.3125</v>
          </cell>
          <cell r="J2904">
            <v>0.625</v>
          </cell>
          <cell r="K2904">
            <v>7.1666666670000003</v>
          </cell>
          <cell r="L2904">
            <v>300.83999999999997</v>
          </cell>
          <cell r="O2904" t="str">
            <v>Y</v>
          </cell>
          <cell r="P2904" t="str">
            <v>N</v>
          </cell>
          <cell r="Q2904" t="str">
            <v>Extra Capacity</v>
          </cell>
          <cell r="S2904">
            <v>0.19</v>
          </cell>
        </row>
        <row r="2905">
          <cell r="D2905">
            <v>1108002420</v>
          </cell>
          <cell r="E2905" t="str">
            <v>BIDDY CHAFESUKA</v>
          </cell>
          <cell r="F2905" t="str">
            <v>D (Ch)</v>
          </cell>
          <cell r="G2905">
            <v>17373</v>
          </cell>
          <cell r="H2905" t="str">
            <v>Choice</v>
          </cell>
          <cell r="I2905">
            <v>0.29166666666666669</v>
          </cell>
          <cell r="J2905">
            <v>0.625</v>
          </cell>
          <cell r="K2905">
            <v>7.6666666670000003</v>
          </cell>
          <cell r="L2905">
            <v>242.89</v>
          </cell>
          <cell r="O2905" t="str">
            <v>Y</v>
          </cell>
          <cell r="P2905" t="str">
            <v>N</v>
          </cell>
          <cell r="Q2905" t="str">
            <v>Extra Capacity</v>
          </cell>
          <cell r="S2905">
            <v>0.2</v>
          </cell>
        </row>
        <row r="2906">
          <cell r="D2906">
            <v>1108002421</v>
          </cell>
          <cell r="E2906" t="str">
            <v>BIDDY CHAFESUKA</v>
          </cell>
          <cell r="F2906" t="str">
            <v>D (Ch)</v>
          </cell>
          <cell r="G2906">
            <v>17373</v>
          </cell>
          <cell r="H2906" t="str">
            <v>Choice</v>
          </cell>
          <cell r="I2906">
            <v>0.625</v>
          </cell>
          <cell r="J2906">
            <v>0.90625</v>
          </cell>
          <cell r="K2906">
            <v>6.75</v>
          </cell>
          <cell r="L2906">
            <v>213.85</v>
          </cell>
          <cell r="O2906" t="str">
            <v>Y</v>
          </cell>
          <cell r="P2906" t="str">
            <v>N</v>
          </cell>
          <cell r="Q2906" t="str">
            <v>Extra Capacity</v>
          </cell>
          <cell r="S2906">
            <v>0.18</v>
          </cell>
        </row>
        <row r="2907">
          <cell r="D2907">
            <v>1108004345</v>
          </cell>
          <cell r="E2907" t="str">
            <v>BRIGHTNESS NDEBELE</v>
          </cell>
          <cell r="F2907" t="str">
            <v>D (MD)</v>
          </cell>
          <cell r="G2907">
            <v>347705</v>
          </cell>
          <cell r="H2907" t="str">
            <v>Mayday</v>
          </cell>
          <cell r="I2907">
            <v>0.60416666666666663</v>
          </cell>
          <cell r="J2907">
            <v>0.85416666666666663</v>
          </cell>
          <cell r="K2907">
            <v>5.6666666670000003</v>
          </cell>
          <cell r="L2907">
            <v>237.87</v>
          </cell>
          <cell r="O2907" t="str">
            <v>Y</v>
          </cell>
          <cell r="P2907" t="str">
            <v>N</v>
          </cell>
          <cell r="Q2907" t="str">
            <v>Short Term Sick</v>
          </cell>
          <cell r="S2907">
            <v>0.15</v>
          </cell>
        </row>
        <row r="2908">
          <cell r="D2908">
            <v>1208000231</v>
          </cell>
          <cell r="E2908" t="str">
            <v>CARMEN MAURICIO</v>
          </cell>
          <cell r="F2908" t="str">
            <v>D (MD)</v>
          </cell>
          <cell r="G2908">
            <v>347724</v>
          </cell>
          <cell r="H2908" t="str">
            <v>Mayday</v>
          </cell>
          <cell r="I2908">
            <v>0.3125</v>
          </cell>
          <cell r="J2908">
            <v>0.64583333333333337</v>
          </cell>
          <cell r="K2908">
            <v>7.5</v>
          </cell>
          <cell r="L2908">
            <v>314.83</v>
          </cell>
          <cell r="O2908" t="str">
            <v>Y</v>
          </cell>
          <cell r="P2908" t="str">
            <v>N</v>
          </cell>
          <cell r="Q2908" t="str">
            <v>Vacancy</v>
          </cell>
          <cell r="S2908">
            <v>0.2</v>
          </cell>
        </row>
        <row r="2909">
          <cell r="D2909">
            <v>1108004521</v>
          </cell>
          <cell r="E2909" t="str">
            <v>EMMANUEL SALAKO</v>
          </cell>
          <cell r="F2909" t="str">
            <v>D (MD)</v>
          </cell>
          <cell r="G2909">
            <v>347722</v>
          </cell>
          <cell r="H2909" t="str">
            <v>Mayday</v>
          </cell>
          <cell r="I2909">
            <v>0.3125</v>
          </cell>
          <cell r="J2909">
            <v>0.625</v>
          </cell>
          <cell r="K2909">
            <v>7.1666666670000003</v>
          </cell>
          <cell r="L2909">
            <v>300.83999999999997</v>
          </cell>
          <cell r="O2909" t="str">
            <v>Y</v>
          </cell>
          <cell r="P2909" t="str">
            <v>N</v>
          </cell>
          <cell r="Q2909" t="str">
            <v>Extra Capacity</v>
          </cell>
          <cell r="S2909">
            <v>0.19</v>
          </cell>
        </row>
        <row r="2910">
          <cell r="D2910">
            <v>1108004535</v>
          </cell>
          <cell r="E2910" t="str">
            <v>EMMANUEL SALAKO</v>
          </cell>
          <cell r="F2910" t="str">
            <v>D (MD)</v>
          </cell>
          <cell r="G2910">
            <v>347722</v>
          </cell>
          <cell r="H2910" t="str">
            <v>Mayday</v>
          </cell>
          <cell r="I2910">
            <v>0.625</v>
          </cell>
          <cell r="J2910">
            <v>0.85416666666666663</v>
          </cell>
          <cell r="K2910">
            <v>5.5</v>
          </cell>
          <cell r="L2910">
            <v>230.87</v>
          </cell>
          <cell r="O2910" t="str">
            <v>Y</v>
          </cell>
          <cell r="P2910" t="str">
            <v>N</v>
          </cell>
          <cell r="Q2910" t="str">
            <v>Extra Capacity</v>
          </cell>
          <cell r="S2910">
            <v>0.15</v>
          </cell>
        </row>
        <row r="2911">
          <cell r="D2911">
            <v>1008005994</v>
          </cell>
          <cell r="E2911" t="str">
            <v>FIONA DURKIN-GREER</v>
          </cell>
          <cell r="F2911" t="str">
            <v>D (MD)</v>
          </cell>
          <cell r="H2911" t="str">
            <v>Mayday</v>
          </cell>
          <cell r="I2911">
            <v>0.3125</v>
          </cell>
          <cell r="J2911">
            <v>0.5625</v>
          </cell>
          <cell r="K2911">
            <v>5.6666666670000003</v>
          </cell>
          <cell r="L2911">
            <v>237.87</v>
          </cell>
          <cell r="O2911" t="str">
            <v>Y</v>
          </cell>
          <cell r="P2911" t="str">
            <v>N</v>
          </cell>
          <cell r="Q2911" t="str">
            <v>Vacancy</v>
          </cell>
          <cell r="S2911">
            <v>0.15</v>
          </cell>
        </row>
        <row r="2912">
          <cell r="D2912">
            <v>1208000229</v>
          </cell>
          <cell r="E2912" t="str">
            <v>KATH BURTON</v>
          </cell>
          <cell r="F2912" t="str">
            <v>D (MD)</v>
          </cell>
          <cell r="G2912">
            <v>348471</v>
          </cell>
          <cell r="H2912" t="str">
            <v>Mayday</v>
          </cell>
          <cell r="I2912">
            <v>0.3125</v>
          </cell>
          <cell r="J2912">
            <v>0.64583333333333337</v>
          </cell>
          <cell r="K2912">
            <v>7.5</v>
          </cell>
          <cell r="L2912">
            <v>314.83</v>
          </cell>
          <cell r="O2912" t="str">
            <v>Y</v>
          </cell>
          <cell r="P2912" t="str">
            <v>N</v>
          </cell>
          <cell r="Q2912" t="str">
            <v>Vacancy</v>
          </cell>
          <cell r="S2912">
            <v>0.2</v>
          </cell>
        </row>
        <row r="2913">
          <cell r="D2913">
            <v>1108003156</v>
          </cell>
          <cell r="E2913" t="str">
            <v>KATIE KEAVENEY</v>
          </cell>
          <cell r="F2913" t="str">
            <v>D (MD)</v>
          </cell>
          <cell r="G2913">
            <v>347726</v>
          </cell>
          <cell r="H2913" t="str">
            <v>Mayday</v>
          </cell>
          <cell r="I2913">
            <v>0.83333333333333337</v>
          </cell>
          <cell r="J2913">
            <v>0.33333333333333331</v>
          </cell>
          <cell r="K2913">
            <v>11.33333333</v>
          </cell>
          <cell r="L2913">
            <v>475.74</v>
          </cell>
          <cell r="O2913" t="str">
            <v>Y</v>
          </cell>
          <cell r="P2913" t="str">
            <v>N</v>
          </cell>
          <cell r="Q2913" t="str">
            <v>Vacancy</v>
          </cell>
          <cell r="S2913">
            <v>0.3</v>
          </cell>
        </row>
        <row r="2914">
          <cell r="D2914">
            <v>1108006536</v>
          </cell>
          <cell r="E2914" t="str">
            <v>MARIA LINGAT</v>
          </cell>
          <cell r="F2914" t="str">
            <v>D (Ch)</v>
          </cell>
          <cell r="G2914">
            <v>17393</v>
          </cell>
          <cell r="H2914" t="str">
            <v>Choice</v>
          </cell>
          <cell r="I2914">
            <v>0.83333333333333337</v>
          </cell>
          <cell r="J2914">
            <v>0.33333333333333331</v>
          </cell>
          <cell r="K2914">
            <v>11.33333333</v>
          </cell>
          <cell r="L2914">
            <v>359.05</v>
          </cell>
          <cell r="O2914" t="str">
            <v>Y</v>
          </cell>
          <cell r="P2914" t="str">
            <v>N</v>
          </cell>
          <cell r="Q2914" t="str">
            <v>Vacancy</v>
          </cell>
          <cell r="S2914">
            <v>0.3</v>
          </cell>
        </row>
        <row r="2915">
          <cell r="D2915">
            <v>1108006500</v>
          </cell>
          <cell r="E2915" t="str">
            <v>MARIA WEBSTER</v>
          </cell>
          <cell r="F2915" t="str">
            <v>D (Amb)</v>
          </cell>
          <cell r="G2915">
            <v>766204</v>
          </cell>
          <cell r="H2915" t="str">
            <v>Ambition</v>
          </cell>
          <cell r="I2915">
            <v>0.88541666666666663</v>
          </cell>
          <cell r="J2915">
            <v>0.3125</v>
          </cell>
          <cell r="K2915">
            <v>9.25</v>
          </cell>
          <cell r="L2915">
            <v>470.18</v>
          </cell>
          <cell r="O2915" t="str">
            <v>Y</v>
          </cell>
          <cell r="P2915" t="str">
            <v>N</v>
          </cell>
          <cell r="Q2915" t="str">
            <v>Specials</v>
          </cell>
          <cell r="S2915">
            <v>0.25</v>
          </cell>
        </row>
        <row r="2916">
          <cell r="D2916">
            <v>1108004542</v>
          </cell>
          <cell r="E2916" t="str">
            <v>MARILEEN DESOUZA</v>
          </cell>
          <cell r="F2916" t="str">
            <v>D (Ch)</v>
          </cell>
          <cell r="G2916">
            <v>17394</v>
          </cell>
          <cell r="H2916" t="str">
            <v>Choice</v>
          </cell>
          <cell r="I2916">
            <v>0.83333333333333337</v>
          </cell>
          <cell r="J2916">
            <v>0.33333333333333331</v>
          </cell>
          <cell r="K2916">
            <v>11.33333333</v>
          </cell>
          <cell r="L2916">
            <v>359.05</v>
          </cell>
          <cell r="O2916" t="str">
            <v>Y</v>
          </cell>
          <cell r="P2916" t="str">
            <v>N</v>
          </cell>
          <cell r="Q2916" t="str">
            <v>Extra Capacity</v>
          </cell>
          <cell r="S2916">
            <v>0.3</v>
          </cell>
        </row>
        <row r="2917">
          <cell r="D2917">
            <v>1108004344</v>
          </cell>
          <cell r="E2917" t="str">
            <v>MERCY AFELE</v>
          </cell>
          <cell r="F2917" t="str">
            <v>D (MD)</v>
          </cell>
          <cell r="G2917">
            <v>347700</v>
          </cell>
          <cell r="H2917" t="str">
            <v>Mayday</v>
          </cell>
          <cell r="I2917">
            <v>0.60416666666666663</v>
          </cell>
          <cell r="J2917">
            <v>0.85416666666666663</v>
          </cell>
          <cell r="K2917">
            <v>5.6666666670000003</v>
          </cell>
          <cell r="L2917">
            <v>237.87</v>
          </cell>
          <cell r="O2917" t="str">
            <v>Y</v>
          </cell>
          <cell r="P2917" t="str">
            <v>N</v>
          </cell>
          <cell r="Q2917" t="str">
            <v>Short Term Sick</v>
          </cell>
          <cell r="S2917">
            <v>0.15</v>
          </cell>
        </row>
        <row r="2918">
          <cell r="D2918">
            <v>1108006689</v>
          </cell>
          <cell r="E2918" t="str">
            <v>MERCY AFELE</v>
          </cell>
          <cell r="F2918" t="str">
            <v>D (MD)</v>
          </cell>
          <cell r="G2918">
            <v>347702</v>
          </cell>
          <cell r="H2918" t="str">
            <v>Mayday</v>
          </cell>
          <cell r="I2918">
            <v>0.3125</v>
          </cell>
          <cell r="J2918">
            <v>0.60416666666666663</v>
          </cell>
          <cell r="K2918">
            <v>6.6666666670000003</v>
          </cell>
          <cell r="L2918">
            <v>279.85000000000002</v>
          </cell>
          <cell r="O2918" t="str">
            <v>Y</v>
          </cell>
          <cell r="P2918" t="str">
            <v>N</v>
          </cell>
          <cell r="Q2918" t="str">
            <v>Extra Capacity</v>
          </cell>
          <cell r="S2918">
            <v>0.18</v>
          </cell>
        </row>
        <row r="2919">
          <cell r="D2919">
            <v>1108005626</v>
          </cell>
          <cell r="E2919" t="str">
            <v>MIHAELA CHIRIBAU</v>
          </cell>
          <cell r="F2919" t="str">
            <v>D (MD)</v>
          </cell>
          <cell r="G2919">
            <v>347739</v>
          </cell>
          <cell r="H2919" t="str">
            <v>Mayday</v>
          </cell>
          <cell r="I2919">
            <v>0.58333333333333337</v>
          </cell>
          <cell r="J2919">
            <v>0.83333333333333337</v>
          </cell>
          <cell r="K2919">
            <v>5.6666666670000003</v>
          </cell>
          <cell r="L2919">
            <v>237.87</v>
          </cell>
          <cell r="O2919" t="str">
            <v>Y</v>
          </cell>
          <cell r="P2919" t="str">
            <v>N</v>
          </cell>
          <cell r="Q2919" t="str">
            <v>Backfill</v>
          </cell>
          <cell r="S2919">
            <v>0.15</v>
          </cell>
        </row>
        <row r="2920">
          <cell r="D2920">
            <v>1108004032</v>
          </cell>
          <cell r="E2920" t="str">
            <v>PEGGY CHIRIKURE</v>
          </cell>
          <cell r="F2920" t="str">
            <v>D (Ch)</v>
          </cell>
          <cell r="H2920" t="str">
            <v>Choice</v>
          </cell>
          <cell r="I2920">
            <v>0.3125</v>
          </cell>
          <cell r="J2920">
            <v>0.5625</v>
          </cell>
          <cell r="K2920">
            <v>5.6666666670000003</v>
          </cell>
          <cell r="L2920">
            <v>179.53</v>
          </cell>
          <cell r="O2920" t="str">
            <v>Y</v>
          </cell>
          <cell r="P2920" t="str">
            <v>N</v>
          </cell>
          <cell r="Q2920" t="str">
            <v>Vacancy</v>
          </cell>
          <cell r="S2920">
            <v>0.15</v>
          </cell>
        </row>
        <row r="2921">
          <cell r="D2921">
            <v>1108005599</v>
          </cell>
          <cell r="E2921" t="str">
            <v>PEGGY MAPOGO</v>
          </cell>
          <cell r="F2921" t="str">
            <v>D (Ch)</v>
          </cell>
          <cell r="G2921">
            <v>17446</v>
          </cell>
          <cell r="H2921" t="str">
            <v>Choice</v>
          </cell>
          <cell r="I2921">
            <v>0.32291666666666669</v>
          </cell>
          <cell r="J2921">
            <v>0.54166666666666663</v>
          </cell>
          <cell r="K2921">
            <v>5.25</v>
          </cell>
          <cell r="L2921">
            <v>166.33</v>
          </cell>
          <cell r="O2921" t="str">
            <v>Y</v>
          </cell>
          <cell r="P2921" t="str">
            <v>N</v>
          </cell>
          <cell r="Q2921" t="str">
            <v>Vacancy</v>
          </cell>
          <cell r="S2921">
            <v>0.14000000000000001</v>
          </cell>
        </row>
        <row r="2922">
          <cell r="D2922">
            <v>1108006527</v>
          </cell>
          <cell r="E2922" t="str">
            <v>RIAZ AHMED</v>
          </cell>
          <cell r="F2922" t="str">
            <v>D/5 Mental (Med</v>
          </cell>
          <cell r="G2922" t="str">
            <v>604-158807</v>
          </cell>
          <cell r="H2922" t="str">
            <v>Medacs</v>
          </cell>
          <cell r="I2922">
            <v>0.29166666666666669</v>
          </cell>
          <cell r="J2922">
            <v>0.625</v>
          </cell>
          <cell r="K2922">
            <v>7.6666666670000003</v>
          </cell>
          <cell r="L2922">
            <v>183.69</v>
          </cell>
          <cell r="O2922" t="str">
            <v>Y</v>
          </cell>
          <cell r="P2922" t="str">
            <v>N</v>
          </cell>
          <cell r="Q2922" t="str">
            <v>Specials</v>
          </cell>
          <cell r="S2922">
            <v>0.2</v>
          </cell>
        </row>
        <row r="2923">
          <cell r="D2923">
            <v>1108001858</v>
          </cell>
          <cell r="E2923" t="str">
            <v>ROMMEL MAQUEDA</v>
          </cell>
          <cell r="F2923" t="str">
            <v>D (Ch)</v>
          </cell>
          <cell r="G2923">
            <v>17369</v>
          </cell>
          <cell r="H2923" t="str">
            <v>Choice</v>
          </cell>
          <cell r="I2923">
            <v>0.84375</v>
          </cell>
          <cell r="J2923">
            <v>0.3125</v>
          </cell>
          <cell r="K2923">
            <v>10.25</v>
          </cell>
          <cell r="L2923">
            <v>324.73</v>
          </cell>
          <cell r="O2923" t="str">
            <v>Y</v>
          </cell>
          <cell r="P2923" t="str">
            <v>N</v>
          </cell>
          <cell r="Q2923" t="str">
            <v>Vacancy</v>
          </cell>
          <cell r="S2923">
            <v>0.27</v>
          </cell>
        </row>
        <row r="2924">
          <cell r="D2924">
            <v>1108005767</v>
          </cell>
          <cell r="E2924" t="str">
            <v>SAM KELEM</v>
          </cell>
          <cell r="F2924" t="str">
            <v>D (Ch)</v>
          </cell>
          <cell r="G2924">
            <v>17372</v>
          </cell>
          <cell r="H2924" t="str">
            <v>Choice</v>
          </cell>
          <cell r="I2924">
            <v>0.83333333333333337</v>
          </cell>
          <cell r="J2924">
            <v>0.32291666666666669</v>
          </cell>
          <cell r="K2924">
            <v>10.75</v>
          </cell>
          <cell r="L2924">
            <v>340.57</v>
          </cell>
          <cell r="O2924" t="str">
            <v>Y</v>
          </cell>
          <cell r="P2924" t="str">
            <v>N</v>
          </cell>
          <cell r="Q2924" t="str">
            <v>Short Term Sick</v>
          </cell>
          <cell r="S2924">
            <v>0.28999999999999998</v>
          </cell>
        </row>
        <row r="2925">
          <cell r="D2925">
            <v>1108004549</v>
          </cell>
          <cell r="E2925" t="str">
            <v>SAMSON BARACENA</v>
          </cell>
          <cell r="F2925" t="str">
            <v>D (Ch)</v>
          </cell>
          <cell r="G2925">
            <v>17393</v>
          </cell>
          <cell r="H2925" t="str">
            <v>Choice</v>
          </cell>
          <cell r="I2925">
            <v>0.83333333333333337</v>
          </cell>
          <cell r="J2925">
            <v>0.33333333333333331</v>
          </cell>
          <cell r="K2925">
            <v>11.33333333</v>
          </cell>
          <cell r="L2925">
            <v>359.05</v>
          </cell>
          <cell r="O2925" t="str">
            <v>Y</v>
          </cell>
          <cell r="P2925" t="str">
            <v>N</v>
          </cell>
          <cell r="Q2925" t="str">
            <v>Extra Capacity</v>
          </cell>
          <cell r="S2925">
            <v>0.3</v>
          </cell>
        </row>
        <row r="2926">
          <cell r="D2926">
            <v>1108006702</v>
          </cell>
          <cell r="E2926" t="str">
            <v>SELINAH BAKASA</v>
          </cell>
          <cell r="F2926" t="str">
            <v>D (Ch)</v>
          </cell>
          <cell r="G2926">
            <v>17456</v>
          </cell>
          <cell r="H2926" t="str">
            <v>Choice</v>
          </cell>
          <cell r="I2926">
            <v>0.3125</v>
          </cell>
          <cell r="J2926">
            <v>0.85416666666666663</v>
          </cell>
          <cell r="K2926">
            <v>12.33333333</v>
          </cell>
          <cell r="L2926">
            <v>390.73</v>
          </cell>
          <cell r="O2926" t="str">
            <v>Y</v>
          </cell>
          <cell r="P2926" t="str">
            <v>N</v>
          </cell>
          <cell r="Q2926" t="str">
            <v>Short Term Sick</v>
          </cell>
          <cell r="S2926">
            <v>0.33</v>
          </cell>
        </row>
        <row r="2927">
          <cell r="D2927">
            <v>1108005781</v>
          </cell>
          <cell r="E2927" t="str">
            <v>STANLEY IGWE</v>
          </cell>
          <cell r="F2927" t="str">
            <v>2 General (Adva</v>
          </cell>
          <cell r="G2927">
            <v>1411412</v>
          </cell>
          <cell r="H2927" t="str">
            <v>Advantage</v>
          </cell>
          <cell r="I2927">
            <v>0.625</v>
          </cell>
          <cell r="J2927">
            <v>0.88541666666666663</v>
          </cell>
          <cell r="K2927">
            <v>5.9166666670000003</v>
          </cell>
          <cell r="L2927">
            <v>73.13</v>
          </cell>
          <cell r="O2927" t="str">
            <v>Y</v>
          </cell>
          <cell r="P2927" t="str">
            <v>N</v>
          </cell>
          <cell r="Q2927" t="str">
            <v>Specials</v>
          </cell>
          <cell r="S2927">
            <v>0.16</v>
          </cell>
        </row>
        <row r="2928">
          <cell r="D2928">
            <v>1108005132</v>
          </cell>
          <cell r="E2928" t="str">
            <v>TAMBU JENA</v>
          </cell>
          <cell r="F2928" t="str">
            <v>D (Ch)</v>
          </cell>
          <cell r="G2928">
            <v>17378</v>
          </cell>
          <cell r="H2928" t="str">
            <v>Choice</v>
          </cell>
          <cell r="I2928">
            <v>0.625</v>
          </cell>
          <cell r="J2928">
            <v>0.90625</v>
          </cell>
          <cell r="K2928">
            <v>6.75</v>
          </cell>
          <cell r="L2928">
            <v>213.85</v>
          </cell>
          <cell r="O2928" t="str">
            <v>Y</v>
          </cell>
          <cell r="P2928" t="str">
            <v>N</v>
          </cell>
          <cell r="Q2928" t="str">
            <v>Short Term Sick</v>
          </cell>
          <cell r="S2928">
            <v>0.18</v>
          </cell>
        </row>
        <row r="2929">
          <cell r="D2929">
            <v>1108005650</v>
          </cell>
          <cell r="E2929" t="str">
            <v>TAMBU JENA</v>
          </cell>
          <cell r="F2929" t="str">
            <v>D (Ch)</v>
          </cell>
          <cell r="G2929">
            <v>17387</v>
          </cell>
          <cell r="H2929" t="str">
            <v>Choice</v>
          </cell>
          <cell r="I2929">
            <v>0.3125</v>
          </cell>
          <cell r="J2929">
            <v>0.60416666666666663</v>
          </cell>
          <cell r="K2929">
            <v>6.6666666670000003</v>
          </cell>
          <cell r="L2929">
            <v>211.21</v>
          </cell>
          <cell r="O2929" t="str">
            <v>Y</v>
          </cell>
          <cell r="P2929" t="str">
            <v>N</v>
          </cell>
          <cell r="Q2929" t="str">
            <v>Vacancy</v>
          </cell>
          <cell r="S2929">
            <v>0.18</v>
          </cell>
        </row>
        <row r="2930">
          <cell r="D2930">
            <v>1108006748</v>
          </cell>
          <cell r="E2930" t="str">
            <v>TARA MASSIE</v>
          </cell>
          <cell r="F2930" t="str">
            <v>D (MD)</v>
          </cell>
          <cell r="G2930">
            <v>347419</v>
          </cell>
          <cell r="H2930" t="str">
            <v>Mayday</v>
          </cell>
          <cell r="I2930">
            <v>0.3125</v>
          </cell>
          <cell r="J2930">
            <v>0.60416666666666663</v>
          </cell>
          <cell r="K2930">
            <v>6.6666666670000003</v>
          </cell>
          <cell r="L2930">
            <v>279.85000000000002</v>
          </cell>
          <cell r="O2930" t="str">
            <v>Y</v>
          </cell>
          <cell r="P2930" t="str">
            <v>N</v>
          </cell>
          <cell r="Q2930" t="str">
            <v>Extra Capacity</v>
          </cell>
          <cell r="S2930">
            <v>0.18</v>
          </cell>
        </row>
        <row r="2931">
          <cell r="D2931">
            <v>1108005172</v>
          </cell>
          <cell r="E2931" t="str">
            <v>TEMBE NGIDI</v>
          </cell>
          <cell r="F2931" t="str">
            <v>D (MD)</v>
          </cell>
          <cell r="G2931">
            <v>347476</v>
          </cell>
          <cell r="H2931" t="str">
            <v>Mayday</v>
          </cell>
          <cell r="I2931">
            <v>0.82291666666666663</v>
          </cell>
          <cell r="J2931">
            <v>0.34375</v>
          </cell>
          <cell r="K2931">
            <v>11.5</v>
          </cell>
          <cell r="L2931">
            <v>482.74</v>
          </cell>
          <cell r="M2931">
            <v>419.87</v>
          </cell>
          <cell r="O2931" t="str">
            <v>Y</v>
          </cell>
          <cell r="P2931" t="str">
            <v>N</v>
          </cell>
          <cell r="Q2931" t="str">
            <v>Vacancy</v>
          </cell>
          <cell r="S2931">
            <v>0.31</v>
          </cell>
        </row>
        <row r="2932">
          <cell r="D2932">
            <v>1108002307</v>
          </cell>
          <cell r="E2932" t="str">
            <v>WAKAMUZI MOYO</v>
          </cell>
          <cell r="F2932" t="str">
            <v>D (Ch)</v>
          </cell>
          <cell r="G2932">
            <v>17390</v>
          </cell>
          <cell r="H2932" t="str">
            <v>Choice</v>
          </cell>
          <cell r="I2932">
            <v>0.3125</v>
          </cell>
          <cell r="J2932">
            <v>0.5625</v>
          </cell>
          <cell r="K2932">
            <v>5.6666666670000003</v>
          </cell>
          <cell r="L2932">
            <v>179.53</v>
          </cell>
          <cell r="O2932" t="str">
            <v>Y</v>
          </cell>
          <cell r="P2932" t="str">
            <v>N</v>
          </cell>
          <cell r="Q2932" t="str">
            <v>Vacancy</v>
          </cell>
          <cell r="S2932">
            <v>0.15</v>
          </cell>
        </row>
        <row r="2933">
          <cell r="D2933">
            <v>1108006690</v>
          </cell>
          <cell r="E2933" t="str">
            <v>WAKAMUZI MOYO</v>
          </cell>
          <cell r="F2933" t="str">
            <v>D (Ch)</v>
          </cell>
          <cell r="G2933">
            <v>17393</v>
          </cell>
          <cell r="H2933" t="str">
            <v>Choice</v>
          </cell>
          <cell r="I2933">
            <v>0.625</v>
          </cell>
          <cell r="J2933">
            <v>0.85416666666666663</v>
          </cell>
          <cell r="K2933">
            <v>5.5</v>
          </cell>
          <cell r="L2933">
            <v>174.25</v>
          </cell>
          <cell r="O2933" t="str">
            <v>Y</v>
          </cell>
          <cell r="P2933" t="str">
            <v>N</v>
          </cell>
          <cell r="Q2933" t="str">
            <v>Extra Capacity</v>
          </cell>
          <cell r="S2933">
            <v>0.15</v>
          </cell>
        </row>
        <row r="2934">
          <cell r="D2934">
            <v>1108006585</v>
          </cell>
          <cell r="E2934" t="str">
            <v>ADEOLA SOGBESAN</v>
          </cell>
          <cell r="F2934" t="str">
            <v>D (MD)</v>
          </cell>
          <cell r="G2934">
            <v>347472</v>
          </cell>
          <cell r="H2934" t="str">
            <v>Mayday</v>
          </cell>
          <cell r="I2934">
            <v>0.32291666666666669</v>
          </cell>
          <cell r="J2934">
            <v>0.84375</v>
          </cell>
          <cell r="K2934">
            <v>11.83333333</v>
          </cell>
          <cell r="L2934">
            <v>611.36</v>
          </cell>
          <cell r="M2934">
            <v>481.07</v>
          </cell>
          <cell r="O2934" t="str">
            <v>Y</v>
          </cell>
          <cell r="P2934" t="str">
            <v>N</v>
          </cell>
          <cell r="Q2934" t="str">
            <v>Vacancy</v>
          </cell>
          <cell r="S2934">
            <v>0.32</v>
          </cell>
        </row>
        <row r="2935">
          <cell r="D2935">
            <v>1108005174</v>
          </cell>
          <cell r="E2935" t="str">
            <v>ALAN CURTIS</v>
          </cell>
          <cell r="F2935" t="str">
            <v>D (MD)</v>
          </cell>
          <cell r="G2935">
            <v>347606</v>
          </cell>
          <cell r="H2935" t="str">
            <v>Mayday</v>
          </cell>
          <cell r="I2935">
            <v>0.32291666666666669</v>
          </cell>
          <cell r="J2935">
            <v>0.84375</v>
          </cell>
          <cell r="K2935">
            <v>11.83333333</v>
          </cell>
          <cell r="L2935">
            <v>611.36</v>
          </cell>
          <cell r="O2935" t="str">
            <v>Y</v>
          </cell>
          <cell r="P2935" t="str">
            <v>N</v>
          </cell>
          <cell r="Q2935" t="str">
            <v>Long Term Sick</v>
          </cell>
          <cell r="S2935">
            <v>0.32</v>
          </cell>
        </row>
        <row r="2936">
          <cell r="D2936">
            <v>1108006696</v>
          </cell>
          <cell r="E2936" t="str">
            <v>ANDREA VENEURELA</v>
          </cell>
          <cell r="F2936" t="str">
            <v>D (Ch)</v>
          </cell>
          <cell r="H2936" t="str">
            <v>Choice</v>
          </cell>
          <cell r="I2936">
            <v>0.83333333333333337</v>
          </cell>
          <cell r="J2936">
            <v>0.33333333333333331</v>
          </cell>
          <cell r="K2936">
            <v>11.33333333</v>
          </cell>
          <cell r="L2936">
            <v>441.91</v>
          </cell>
          <cell r="O2936" t="str">
            <v>Y</v>
          </cell>
          <cell r="P2936" t="str">
            <v>N</v>
          </cell>
          <cell r="Q2936" t="str">
            <v>Extra Capacity</v>
          </cell>
          <cell r="S2936">
            <v>0.3</v>
          </cell>
        </row>
        <row r="2937">
          <cell r="D2937">
            <v>1108002426</v>
          </cell>
          <cell r="E2937" t="str">
            <v>BIDDY CHAFESUKA</v>
          </cell>
          <cell r="F2937" t="str">
            <v>D (Ch)</v>
          </cell>
          <cell r="G2937">
            <v>17373</v>
          </cell>
          <cell r="H2937" t="str">
            <v>Choice</v>
          </cell>
          <cell r="I2937">
            <v>0.625</v>
          </cell>
          <cell r="J2937">
            <v>0.90625</v>
          </cell>
          <cell r="K2937">
            <v>6.75</v>
          </cell>
          <cell r="L2937">
            <v>263.2</v>
          </cell>
          <cell r="O2937" t="str">
            <v>Y</v>
          </cell>
          <cell r="P2937" t="str">
            <v>N</v>
          </cell>
          <cell r="Q2937" t="str">
            <v>Extra Capacity</v>
          </cell>
          <cell r="S2937">
            <v>0.18</v>
          </cell>
        </row>
        <row r="2938">
          <cell r="D2938">
            <v>1108004522</v>
          </cell>
          <cell r="E2938" t="str">
            <v>BRIGHTNESS NDEBELE</v>
          </cell>
          <cell r="F2938" t="str">
            <v>D (MD)</v>
          </cell>
          <cell r="G2938">
            <v>347706</v>
          </cell>
          <cell r="H2938" t="str">
            <v>Mayday</v>
          </cell>
          <cell r="I2938">
            <v>0.3125</v>
          </cell>
          <cell r="J2938">
            <v>0.625</v>
          </cell>
          <cell r="K2938">
            <v>7.1666666670000003</v>
          </cell>
          <cell r="L2938">
            <v>370.26</v>
          </cell>
          <cell r="O2938" t="str">
            <v>Y</v>
          </cell>
          <cell r="P2938" t="str">
            <v>N</v>
          </cell>
          <cell r="Q2938" t="str">
            <v>Extra Capacity</v>
          </cell>
          <cell r="S2938">
            <v>0.19</v>
          </cell>
        </row>
        <row r="2939">
          <cell r="D2939">
            <v>1108004505</v>
          </cell>
          <cell r="E2939" t="str">
            <v>DAMILOLA AIKI</v>
          </cell>
          <cell r="F2939" t="str">
            <v>A (Ch)</v>
          </cell>
          <cell r="G2939">
            <v>17371</v>
          </cell>
          <cell r="H2939" t="str">
            <v>Choice</v>
          </cell>
          <cell r="I2939">
            <v>0.5625</v>
          </cell>
          <cell r="J2939">
            <v>0.85416666666666663</v>
          </cell>
          <cell r="K2939">
            <v>6.6666666670000003</v>
          </cell>
          <cell r="L2939">
            <v>123.22</v>
          </cell>
          <cell r="O2939" t="str">
            <v>Y</v>
          </cell>
          <cell r="P2939" t="str">
            <v>N</v>
          </cell>
          <cell r="Q2939" t="str">
            <v>Under Established</v>
          </cell>
          <cell r="S2939">
            <v>0.18</v>
          </cell>
        </row>
        <row r="2940">
          <cell r="D2940">
            <v>1108006595</v>
          </cell>
          <cell r="E2940" t="str">
            <v>ELENOR PARAZO</v>
          </cell>
          <cell r="F2940" t="str">
            <v>D (MD)</v>
          </cell>
          <cell r="G2940">
            <v>347473</v>
          </cell>
          <cell r="H2940" t="str">
            <v>Mayday</v>
          </cell>
          <cell r="I2940">
            <v>0.82291666666666663</v>
          </cell>
          <cell r="J2940">
            <v>0.34375</v>
          </cell>
          <cell r="K2940">
            <v>11.5</v>
          </cell>
          <cell r="L2940">
            <v>594.14</v>
          </cell>
          <cell r="O2940" t="str">
            <v>Y</v>
          </cell>
          <cell r="P2940" t="str">
            <v>N</v>
          </cell>
          <cell r="Q2940" t="str">
            <v>Vacancy</v>
          </cell>
          <cell r="S2940">
            <v>0.31</v>
          </cell>
        </row>
        <row r="2941">
          <cell r="D2941">
            <v>1108004515</v>
          </cell>
          <cell r="E2941" t="str">
            <v>EMMANUEL SALAKO</v>
          </cell>
          <cell r="F2941" t="str">
            <v>D (MD)</v>
          </cell>
          <cell r="G2941">
            <v>347723</v>
          </cell>
          <cell r="H2941" t="str">
            <v>Mayday</v>
          </cell>
          <cell r="I2941">
            <v>0.3125</v>
          </cell>
          <cell r="J2941">
            <v>0.625</v>
          </cell>
          <cell r="K2941">
            <v>7.1666666670000003</v>
          </cell>
          <cell r="L2941">
            <v>370.26</v>
          </cell>
          <cell r="O2941" t="str">
            <v>Y</v>
          </cell>
          <cell r="P2941" t="str">
            <v>N</v>
          </cell>
          <cell r="Q2941" t="str">
            <v>Extra Capacity</v>
          </cell>
          <cell r="S2941">
            <v>0.19</v>
          </cell>
        </row>
        <row r="2942">
          <cell r="D2942">
            <v>1108004536</v>
          </cell>
          <cell r="E2942" t="str">
            <v>EMMANUEL SALAKO</v>
          </cell>
          <cell r="F2942" t="str">
            <v>D (MD)</v>
          </cell>
          <cell r="G2942">
            <v>347734</v>
          </cell>
          <cell r="H2942" t="str">
            <v>Mayday</v>
          </cell>
          <cell r="I2942">
            <v>0.625</v>
          </cell>
          <cell r="J2942">
            <v>0.85416666666666663</v>
          </cell>
          <cell r="K2942">
            <v>5.5</v>
          </cell>
          <cell r="L2942">
            <v>284.14999999999998</v>
          </cell>
          <cell r="O2942" t="str">
            <v>Y</v>
          </cell>
          <cell r="P2942" t="str">
            <v>N</v>
          </cell>
          <cell r="Q2942" t="str">
            <v>Extra Capacity</v>
          </cell>
          <cell r="S2942">
            <v>0.15</v>
          </cell>
        </row>
        <row r="2943">
          <cell r="D2943">
            <v>1108005177</v>
          </cell>
          <cell r="E2943" t="str">
            <v>JAMES MCCLEMENTS</v>
          </cell>
          <cell r="F2943" t="str">
            <v>D (MD)</v>
          </cell>
          <cell r="G2943">
            <v>347480</v>
          </cell>
          <cell r="H2943" t="str">
            <v>Mayday</v>
          </cell>
          <cell r="I2943">
            <v>0.82291666666666663</v>
          </cell>
          <cell r="J2943">
            <v>0.34375</v>
          </cell>
          <cell r="K2943">
            <v>11.5</v>
          </cell>
          <cell r="L2943">
            <v>594.14</v>
          </cell>
          <cell r="O2943" t="str">
            <v>Y</v>
          </cell>
          <cell r="P2943" t="str">
            <v>N</v>
          </cell>
          <cell r="Q2943" t="str">
            <v>Extra Capacity</v>
          </cell>
          <cell r="S2943">
            <v>0.31</v>
          </cell>
        </row>
        <row r="2944">
          <cell r="D2944">
            <v>1208000122</v>
          </cell>
          <cell r="E2944" t="str">
            <v>JENNIFER FARRAR</v>
          </cell>
          <cell r="F2944" t="str">
            <v>D (MD)</v>
          </cell>
          <cell r="H2944" t="str">
            <v>Mayday</v>
          </cell>
          <cell r="I2944">
            <v>0.83333333333333337</v>
          </cell>
          <cell r="J2944">
            <v>0.33333333333333331</v>
          </cell>
          <cell r="K2944">
            <v>11</v>
          </cell>
          <cell r="L2944">
            <v>568.29999999999995</v>
          </cell>
          <cell r="O2944" t="str">
            <v>Y</v>
          </cell>
          <cell r="P2944" t="str">
            <v>N</v>
          </cell>
          <cell r="Q2944" t="str">
            <v>Acuity</v>
          </cell>
          <cell r="S2944">
            <v>0.28999999999999998</v>
          </cell>
        </row>
        <row r="2945">
          <cell r="D2945">
            <v>1108006584</v>
          </cell>
          <cell r="E2945" t="str">
            <v>JO BRADY</v>
          </cell>
          <cell r="F2945" t="str">
            <v>D (MD)</v>
          </cell>
          <cell r="G2945">
            <v>347481</v>
          </cell>
          <cell r="H2945" t="str">
            <v>Mayday</v>
          </cell>
          <cell r="I2945">
            <v>0.32291666666666669</v>
          </cell>
          <cell r="J2945">
            <v>0.84375</v>
          </cell>
          <cell r="K2945">
            <v>11.83333333</v>
          </cell>
          <cell r="L2945">
            <v>611.36</v>
          </cell>
          <cell r="O2945" t="str">
            <v>Y</v>
          </cell>
          <cell r="P2945" t="str">
            <v>N</v>
          </cell>
          <cell r="Q2945" t="str">
            <v>Vacancy</v>
          </cell>
          <cell r="S2945">
            <v>0.32</v>
          </cell>
        </row>
        <row r="2946">
          <cell r="D2946">
            <v>1108006667</v>
          </cell>
          <cell r="E2946" t="str">
            <v>KATH BURTON</v>
          </cell>
          <cell r="F2946" t="str">
            <v>D (MD)</v>
          </cell>
          <cell r="G2946">
            <v>348121</v>
          </cell>
          <cell r="H2946" t="str">
            <v>Mayday</v>
          </cell>
          <cell r="I2946">
            <v>0.3125</v>
          </cell>
          <cell r="J2946">
            <v>0.85416666666666663</v>
          </cell>
          <cell r="K2946">
            <v>12.33333333</v>
          </cell>
          <cell r="L2946">
            <v>637.19000000000005</v>
          </cell>
          <cell r="O2946" t="str">
            <v>Y</v>
          </cell>
          <cell r="P2946" t="str">
            <v>N</v>
          </cell>
          <cell r="Q2946" t="str">
            <v>Acuity</v>
          </cell>
          <cell r="S2946">
            <v>0.33</v>
          </cell>
        </row>
        <row r="2947">
          <cell r="D2947">
            <v>1108006816</v>
          </cell>
          <cell r="E2947" t="str">
            <v>MARIA LINGAT</v>
          </cell>
          <cell r="F2947" t="str">
            <v>D (Ch)</v>
          </cell>
          <cell r="G2947">
            <v>17393</v>
          </cell>
          <cell r="H2947" t="str">
            <v>Choice</v>
          </cell>
          <cell r="I2947">
            <v>0.83333333333333337</v>
          </cell>
          <cell r="J2947">
            <v>0.33333333333333331</v>
          </cell>
          <cell r="K2947">
            <v>11.33333333</v>
          </cell>
          <cell r="L2947">
            <v>441.91</v>
          </cell>
          <cell r="O2947" t="str">
            <v>Y</v>
          </cell>
          <cell r="P2947" t="str">
            <v>N</v>
          </cell>
          <cell r="Q2947" t="str">
            <v>Extra Capacity</v>
          </cell>
          <cell r="S2947">
            <v>0.3</v>
          </cell>
        </row>
        <row r="2948">
          <cell r="D2948">
            <v>1108006055</v>
          </cell>
          <cell r="E2948" t="str">
            <v>MIHAELA CHIRIBAU</v>
          </cell>
          <cell r="F2948" t="str">
            <v>D (MD)</v>
          </cell>
          <cell r="G2948">
            <v>347738</v>
          </cell>
          <cell r="H2948" t="str">
            <v>Mayday</v>
          </cell>
          <cell r="I2948">
            <v>0.29166666666666669</v>
          </cell>
          <cell r="J2948">
            <v>0.625</v>
          </cell>
          <cell r="K2948">
            <v>7.6666666670000003</v>
          </cell>
          <cell r="L2948">
            <v>396.09</v>
          </cell>
          <cell r="O2948" t="str">
            <v>Y</v>
          </cell>
          <cell r="P2948" t="str">
            <v>N</v>
          </cell>
          <cell r="Q2948" t="str">
            <v>Vacancy</v>
          </cell>
          <cell r="S2948">
            <v>0.2</v>
          </cell>
        </row>
        <row r="2949">
          <cell r="D2949">
            <v>1108006817</v>
          </cell>
          <cell r="E2949" t="str">
            <v>NILO DANUGO</v>
          </cell>
          <cell r="F2949" t="str">
            <v>D (Ch)</v>
          </cell>
          <cell r="G2949">
            <v>17375</v>
          </cell>
          <cell r="H2949" t="str">
            <v>Choice</v>
          </cell>
          <cell r="I2949">
            <v>0.83333333333333337</v>
          </cell>
          <cell r="J2949">
            <v>0.33333333333333331</v>
          </cell>
          <cell r="K2949">
            <v>11.33333333</v>
          </cell>
          <cell r="L2949">
            <v>441.91</v>
          </cell>
          <cell r="O2949" t="str">
            <v>Y</v>
          </cell>
          <cell r="P2949" t="str">
            <v>N</v>
          </cell>
          <cell r="Q2949" t="str">
            <v>Extra Capacity</v>
          </cell>
          <cell r="S2949">
            <v>0.3</v>
          </cell>
        </row>
        <row r="2950">
          <cell r="D2950">
            <v>1108004035</v>
          </cell>
          <cell r="E2950" t="str">
            <v>PEGGY CHIRIKURE</v>
          </cell>
          <cell r="F2950" t="str">
            <v>D (Ch)</v>
          </cell>
          <cell r="G2950">
            <v>17453</v>
          </cell>
          <cell r="H2950" t="str">
            <v>Choice</v>
          </cell>
          <cell r="I2950">
            <v>0.5625</v>
          </cell>
          <cell r="J2950">
            <v>0.85416666666666663</v>
          </cell>
          <cell r="K2950">
            <v>6.6666666670000003</v>
          </cell>
          <cell r="L2950">
            <v>259.95</v>
          </cell>
          <cell r="M2950">
            <v>186.2720720713169</v>
          </cell>
          <cell r="O2950" t="str">
            <v>Y</v>
          </cell>
          <cell r="P2950" t="str">
            <v>N</v>
          </cell>
          <cell r="Q2950" t="str">
            <v>Vacancy</v>
          </cell>
          <cell r="S2950">
            <v>0.18</v>
          </cell>
        </row>
        <row r="2951">
          <cell r="D2951">
            <v>1108004611</v>
          </cell>
          <cell r="E2951" t="str">
            <v>PEGGY CHIRIKURE</v>
          </cell>
          <cell r="F2951" t="str">
            <v>D (Ch)</v>
          </cell>
          <cell r="G2951">
            <v>17453</v>
          </cell>
          <cell r="H2951" t="str">
            <v>Choice</v>
          </cell>
          <cell r="I2951">
            <v>0.3125</v>
          </cell>
          <cell r="J2951">
            <v>0.5625</v>
          </cell>
          <cell r="K2951">
            <v>5.6666666670000003</v>
          </cell>
          <cell r="L2951">
            <v>220.95</v>
          </cell>
          <cell r="M2951">
            <v>158.33126126201643</v>
          </cell>
          <cell r="O2951" t="str">
            <v>Y</v>
          </cell>
          <cell r="P2951" t="str">
            <v>N</v>
          </cell>
          <cell r="Q2951" t="str">
            <v>Long Term Sick</v>
          </cell>
          <cell r="S2951">
            <v>0.15</v>
          </cell>
        </row>
        <row r="2952">
          <cell r="D2952">
            <v>1108006504</v>
          </cell>
          <cell r="E2952" t="str">
            <v>RIAZ AHMED</v>
          </cell>
          <cell r="F2952" t="str">
            <v>D/5 Mental (Med</v>
          </cell>
          <cell r="G2952" t="str">
            <v>604-158807</v>
          </cell>
          <cell r="H2952" t="str">
            <v>Medacs</v>
          </cell>
          <cell r="I2952">
            <v>0.29166666666666669</v>
          </cell>
          <cell r="J2952">
            <v>0.625</v>
          </cell>
          <cell r="K2952">
            <v>7.6666666670000003</v>
          </cell>
          <cell r="L2952">
            <v>226.07</v>
          </cell>
          <cell r="O2952" t="str">
            <v>Y</v>
          </cell>
          <cell r="P2952" t="str">
            <v>N</v>
          </cell>
          <cell r="Q2952" t="str">
            <v>Specials</v>
          </cell>
          <cell r="S2952">
            <v>0.2</v>
          </cell>
        </row>
        <row r="2953">
          <cell r="D2953">
            <v>1108006506</v>
          </cell>
          <cell r="E2953" t="str">
            <v>RIAZ AHMED</v>
          </cell>
          <cell r="F2953" t="str">
            <v>D/5 Mental (Med</v>
          </cell>
          <cell r="G2953" t="str">
            <v>604-158807</v>
          </cell>
          <cell r="H2953" t="str">
            <v>Medacs</v>
          </cell>
          <cell r="I2953">
            <v>0.625</v>
          </cell>
          <cell r="J2953">
            <v>0.88541666666666663</v>
          </cell>
          <cell r="K2953">
            <v>5.9166666670000003</v>
          </cell>
          <cell r="L2953">
            <v>174.47</v>
          </cell>
          <cell r="O2953" t="str">
            <v>Y</v>
          </cell>
          <cell r="P2953" t="str">
            <v>N</v>
          </cell>
          <cell r="Q2953" t="str">
            <v>Specials</v>
          </cell>
          <cell r="S2953">
            <v>0.16</v>
          </cell>
        </row>
        <row r="2954">
          <cell r="D2954">
            <v>1108006586</v>
          </cell>
          <cell r="E2954" t="str">
            <v>RODA RAMERIZ</v>
          </cell>
          <cell r="F2954" t="str">
            <v>D (Ch)</v>
          </cell>
          <cell r="G2954">
            <v>17385</v>
          </cell>
          <cell r="H2954" t="str">
            <v>Choice</v>
          </cell>
          <cell r="I2954">
            <v>0.82291666666666663</v>
          </cell>
          <cell r="J2954">
            <v>0.34375</v>
          </cell>
          <cell r="K2954">
            <v>11.83333333</v>
          </cell>
          <cell r="L2954">
            <v>461.41</v>
          </cell>
          <cell r="M2954">
            <v>366.64</v>
          </cell>
          <cell r="O2954" t="str">
            <v>Y</v>
          </cell>
          <cell r="P2954" t="str">
            <v>N</v>
          </cell>
          <cell r="Q2954" t="str">
            <v>Vacancy</v>
          </cell>
          <cell r="S2954">
            <v>0.32</v>
          </cell>
        </row>
        <row r="2955">
          <cell r="D2955">
            <v>1108004550</v>
          </cell>
          <cell r="E2955" t="str">
            <v>SAMSON BARACENA</v>
          </cell>
          <cell r="F2955" t="str">
            <v>D (Ch)</v>
          </cell>
          <cell r="G2955">
            <v>17393</v>
          </cell>
          <cell r="H2955" t="str">
            <v>Choice</v>
          </cell>
          <cell r="I2955">
            <v>0.83333333333333337</v>
          </cell>
          <cell r="J2955">
            <v>0.33333333333333331</v>
          </cell>
          <cell r="K2955">
            <v>11.33333333</v>
          </cell>
          <cell r="L2955">
            <v>441.91</v>
          </cell>
          <cell r="O2955" t="str">
            <v>Y</v>
          </cell>
          <cell r="P2955" t="str">
            <v>N</v>
          </cell>
          <cell r="Q2955" t="str">
            <v>Extra Capacity</v>
          </cell>
          <cell r="S2955">
            <v>0.3</v>
          </cell>
        </row>
        <row r="2956">
          <cell r="D2956">
            <v>1108005785</v>
          </cell>
          <cell r="E2956" t="str">
            <v>STANLEY IGWE</v>
          </cell>
          <cell r="F2956" t="str">
            <v>2 General (Adva</v>
          </cell>
          <cell r="G2956">
            <v>1411411</v>
          </cell>
          <cell r="H2956" t="str">
            <v>Advantage</v>
          </cell>
          <cell r="I2956">
            <v>0.88541666666666663</v>
          </cell>
          <cell r="J2956">
            <v>0.3125</v>
          </cell>
          <cell r="K2956">
            <v>9.25</v>
          </cell>
          <cell r="L2956">
            <v>142.91</v>
          </cell>
          <cell r="O2956" t="str">
            <v>Y</v>
          </cell>
          <cell r="P2956" t="str">
            <v>N</v>
          </cell>
          <cell r="Q2956" t="str">
            <v>Specials</v>
          </cell>
          <cell r="S2956">
            <v>0.25</v>
          </cell>
        </row>
        <row r="2957">
          <cell r="D2957">
            <v>1108006694</v>
          </cell>
          <cell r="E2957" t="str">
            <v>TAMBU JENA</v>
          </cell>
          <cell r="F2957" t="str">
            <v>D (Ch)</v>
          </cell>
          <cell r="H2957" t="str">
            <v>Choice</v>
          </cell>
          <cell r="I2957">
            <v>0.3125</v>
          </cell>
          <cell r="J2957">
            <v>0.625</v>
          </cell>
          <cell r="K2957">
            <v>7.1666666670000003</v>
          </cell>
          <cell r="L2957">
            <v>279.44</v>
          </cell>
          <cell r="O2957" t="str">
            <v>Y</v>
          </cell>
          <cell r="P2957" t="str">
            <v>N</v>
          </cell>
          <cell r="Q2957" t="str">
            <v>Extra Capacity</v>
          </cell>
          <cell r="S2957">
            <v>0.19</v>
          </cell>
        </row>
        <row r="2958">
          <cell r="D2958">
            <v>1108006695</v>
          </cell>
          <cell r="E2958" t="str">
            <v>TAMBU JENA</v>
          </cell>
          <cell r="F2958" t="str">
            <v>D (MD)</v>
          </cell>
          <cell r="H2958" t="str">
            <v>Mayday</v>
          </cell>
          <cell r="I2958">
            <v>0.625</v>
          </cell>
          <cell r="J2958">
            <v>0.85416666666666663</v>
          </cell>
          <cell r="K2958">
            <v>5.5</v>
          </cell>
          <cell r="L2958">
            <v>284.14999999999998</v>
          </cell>
          <cell r="O2958" t="str">
            <v>Y</v>
          </cell>
          <cell r="P2958" t="str">
            <v>N</v>
          </cell>
          <cell r="Q2958" t="str">
            <v>Extra Capacity</v>
          </cell>
          <cell r="S2958">
            <v>0.15</v>
          </cell>
        </row>
        <row r="2959">
          <cell r="D2959">
            <v>1108006598</v>
          </cell>
          <cell r="E2959" t="str">
            <v>ADEOLA SOGBESAN</v>
          </cell>
          <cell r="F2959" t="str">
            <v>D (MD)</v>
          </cell>
          <cell r="G2959">
            <v>352133</v>
          </cell>
          <cell r="H2959" t="str">
            <v>Mayday</v>
          </cell>
          <cell r="I2959">
            <v>0.32291666666666669</v>
          </cell>
          <cell r="J2959">
            <v>0.84375</v>
          </cell>
          <cell r="K2959">
            <v>11.8333333333333</v>
          </cell>
          <cell r="L2959">
            <v>382.1</v>
          </cell>
          <cell r="O2959" t="str">
            <v>Y</v>
          </cell>
          <cell r="P2959" t="str">
            <v>N</v>
          </cell>
          <cell r="Q2959" t="str">
            <v>Vacancy</v>
          </cell>
          <cell r="S2959">
            <v>0.32</v>
          </cell>
        </row>
        <row r="2960">
          <cell r="D2960">
            <v>1108006589</v>
          </cell>
          <cell r="E2960" t="str">
            <v>ALAN CURTIS</v>
          </cell>
          <cell r="F2960" t="str">
            <v>D (MD)</v>
          </cell>
          <cell r="G2960">
            <v>348358</v>
          </cell>
          <cell r="H2960" t="str">
            <v>Mayday</v>
          </cell>
          <cell r="I2960">
            <v>0.32291666666666669</v>
          </cell>
          <cell r="J2960">
            <v>0.84375</v>
          </cell>
          <cell r="K2960">
            <v>11.8333333333333</v>
          </cell>
          <cell r="L2960">
            <v>382.1</v>
          </cell>
          <cell r="O2960" t="str">
            <v>Y</v>
          </cell>
          <cell r="P2960" t="str">
            <v>N</v>
          </cell>
          <cell r="Q2960" t="str">
            <v>Vacancy</v>
          </cell>
          <cell r="S2960">
            <v>0.32</v>
          </cell>
        </row>
        <row r="2961">
          <cell r="D2961">
            <v>1108004787</v>
          </cell>
          <cell r="E2961" t="str">
            <v>ALLI SUBRAMANIAM</v>
          </cell>
          <cell r="F2961" t="str">
            <v>D (MD)</v>
          </cell>
          <cell r="H2961" t="str">
            <v>Mayday</v>
          </cell>
          <cell r="I2961">
            <v>0.3125</v>
          </cell>
          <cell r="J2961">
            <v>0.54166666666666663</v>
          </cell>
          <cell r="K2961">
            <v>5.5</v>
          </cell>
          <cell r="L2961">
            <v>177.59</v>
          </cell>
          <cell r="O2961" t="str">
            <v>Y</v>
          </cell>
          <cell r="P2961" t="str">
            <v>N</v>
          </cell>
          <cell r="Q2961" t="str">
            <v>Vacancy</v>
          </cell>
          <cell r="S2961">
            <v>0.15</v>
          </cell>
        </row>
        <row r="2962">
          <cell r="D2962">
            <v>1208000163</v>
          </cell>
          <cell r="E2962" t="str">
            <v>ALLI SUBRAMANIAM</v>
          </cell>
          <cell r="F2962" t="str">
            <v>D (MD)</v>
          </cell>
          <cell r="G2962">
            <v>356067</v>
          </cell>
          <cell r="H2962" t="str">
            <v>Mayday</v>
          </cell>
          <cell r="I2962">
            <v>0.625</v>
          </cell>
          <cell r="J2962">
            <v>0.85416666666666663</v>
          </cell>
          <cell r="K2962">
            <v>5.5</v>
          </cell>
          <cell r="L2962">
            <v>177.59</v>
          </cell>
          <cell r="O2962" t="str">
            <v>Y</v>
          </cell>
          <cell r="P2962" t="str">
            <v>N</v>
          </cell>
          <cell r="Q2962" t="str">
            <v>Extra Capacity</v>
          </cell>
          <cell r="S2962">
            <v>0.15</v>
          </cell>
        </row>
        <row r="2963">
          <cell r="D2963">
            <v>1008006799</v>
          </cell>
          <cell r="E2963" t="str">
            <v>ALMA DEPENA</v>
          </cell>
          <cell r="F2963" t="str">
            <v>D (Ch)</v>
          </cell>
          <cell r="G2963">
            <v>17468</v>
          </cell>
          <cell r="H2963" t="str">
            <v>Choice</v>
          </cell>
          <cell r="I2963">
            <v>0.83333333333333337</v>
          </cell>
          <cell r="J2963">
            <v>0.33333333333333331</v>
          </cell>
          <cell r="K2963">
            <v>11</v>
          </cell>
          <cell r="L2963">
            <v>348.49</v>
          </cell>
          <cell r="O2963" t="str">
            <v>Y</v>
          </cell>
          <cell r="P2963" t="str">
            <v>N</v>
          </cell>
          <cell r="Q2963" t="str">
            <v>Vacancy</v>
          </cell>
          <cell r="S2963">
            <v>0.28999999999999998</v>
          </cell>
        </row>
        <row r="2964">
          <cell r="D2964">
            <v>1108004544</v>
          </cell>
          <cell r="E2964" t="str">
            <v>ANDREA VENEURELA</v>
          </cell>
          <cell r="F2964" t="str">
            <v>D (Ch)</v>
          </cell>
          <cell r="G2964">
            <v>17462</v>
          </cell>
          <cell r="H2964" t="str">
            <v>Choice</v>
          </cell>
          <cell r="I2964">
            <v>0.83333333333333337</v>
          </cell>
          <cell r="J2964">
            <v>0.33333333333333331</v>
          </cell>
          <cell r="K2964">
            <v>11.3333333333333</v>
          </cell>
          <cell r="L2964">
            <v>359.05</v>
          </cell>
          <cell r="O2964" t="str">
            <v>Y</v>
          </cell>
          <cell r="P2964" t="str">
            <v>N</v>
          </cell>
          <cell r="Q2964" t="str">
            <v>Extra Capacity</v>
          </cell>
          <cell r="S2964">
            <v>0.3</v>
          </cell>
        </row>
        <row r="2965">
          <cell r="D2965">
            <v>1208000158</v>
          </cell>
          <cell r="E2965" t="str">
            <v>ARJE ZAMBARRANO</v>
          </cell>
          <cell r="F2965" t="str">
            <v>D (MD)</v>
          </cell>
          <cell r="G2965">
            <v>349106</v>
          </cell>
          <cell r="H2965" t="str">
            <v>Mayday</v>
          </cell>
          <cell r="I2965">
            <v>0.60416666666666663</v>
          </cell>
          <cell r="J2965">
            <v>0.85416666666666663</v>
          </cell>
          <cell r="K2965">
            <v>5.6666666666666696</v>
          </cell>
          <cell r="L2965">
            <v>182.98</v>
          </cell>
          <cell r="O2965" t="str">
            <v>Y</v>
          </cell>
          <cell r="P2965" t="str">
            <v>N</v>
          </cell>
          <cell r="Q2965" t="str">
            <v>Extra Capacity</v>
          </cell>
          <cell r="S2965">
            <v>0.15</v>
          </cell>
        </row>
        <row r="2966">
          <cell r="D2966">
            <v>1108006588</v>
          </cell>
          <cell r="E2966" t="str">
            <v>BERNADETTE SHINYA-NDUNUWANI</v>
          </cell>
          <cell r="F2966" t="str">
            <v>D (MD)</v>
          </cell>
          <cell r="G2966">
            <v>348331</v>
          </cell>
          <cell r="H2966" t="str">
            <v>Mayday</v>
          </cell>
          <cell r="I2966">
            <v>0.32291666666666669</v>
          </cell>
          <cell r="J2966">
            <v>0.84375</v>
          </cell>
          <cell r="K2966">
            <v>11.8333333333333</v>
          </cell>
          <cell r="L2966">
            <v>382.1</v>
          </cell>
          <cell r="O2966" t="str">
            <v>Y</v>
          </cell>
          <cell r="P2966" t="str">
            <v>N</v>
          </cell>
          <cell r="Q2966" t="str">
            <v>Vacancy</v>
          </cell>
          <cell r="S2966">
            <v>0.32</v>
          </cell>
        </row>
        <row r="2967">
          <cell r="D2967">
            <v>1208000159</v>
          </cell>
          <cell r="E2967" t="str">
            <v>BONITA BUTLER</v>
          </cell>
          <cell r="F2967" t="str">
            <v>D (MD)</v>
          </cell>
          <cell r="G2967">
            <v>348801</v>
          </cell>
          <cell r="H2967" t="str">
            <v>Mayday</v>
          </cell>
          <cell r="I2967">
            <v>0.60416666666666663</v>
          </cell>
          <cell r="J2967">
            <v>0.85416666666666663</v>
          </cell>
          <cell r="K2967">
            <v>5.6666666666666696</v>
          </cell>
          <cell r="L2967">
            <v>182.98</v>
          </cell>
          <cell r="O2967" t="str">
            <v>Y</v>
          </cell>
          <cell r="P2967" t="str">
            <v>N</v>
          </cell>
          <cell r="Q2967" t="str">
            <v>Extra Capacity</v>
          </cell>
          <cell r="S2967">
            <v>0.15</v>
          </cell>
        </row>
        <row r="2968">
          <cell r="D2968">
            <v>1208000942</v>
          </cell>
          <cell r="E2968" t="str">
            <v>CECILIA TIPPA</v>
          </cell>
          <cell r="F2968" t="str">
            <v>D (MD)</v>
          </cell>
          <cell r="H2968" t="str">
            <v>Mayday</v>
          </cell>
          <cell r="I2968">
            <v>0.83333333333333337</v>
          </cell>
          <cell r="J2968">
            <v>0.33333333333333331</v>
          </cell>
          <cell r="K2968">
            <v>11</v>
          </cell>
          <cell r="L2968">
            <v>461.75</v>
          </cell>
          <cell r="O2968" t="str">
            <v>Y</v>
          </cell>
          <cell r="P2968" t="str">
            <v>N</v>
          </cell>
          <cell r="Q2968" t="str">
            <v>Short Term Sick</v>
          </cell>
          <cell r="S2968">
            <v>0.28999999999999998</v>
          </cell>
        </row>
        <row r="2969">
          <cell r="D2969">
            <v>1108004789</v>
          </cell>
          <cell r="E2969" t="str">
            <v>CHARLOTTE TAYLOR</v>
          </cell>
          <cell r="F2969" t="str">
            <v>D/5 (PS)</v>
          </cell>
          <cell r="H2969" t="str">
            <v>Pinnacle Staffing</v>
          </cell>
          <cell r="I2969">
            <v>0.83333333333333337</v>
          </cell>
          <cell r="J2969">
            <v>0.33333333333333331</v>
          </cell>
          <cell r="K2969">
            <v>11.3333333333333</v>
          </cell>
          <cell r="L2969">
            <v>250.32</v>
          </cell>
          <cell r="O2969" t="str">
            <v>Y</v>
          </cell>
          <cell r="P2969" t="str">
            <v>N</v>
          </cell>
          <cell r="Q2969" t="str">
            <v>Vacancy</v>
          </cell>
          <cell r="S2969">
            <v>0.3</v>
          </cell>
        </row>
        <row r="2970">
          <cell r="D2970">
            <v>1108005879</v>
          </cell>
          <cell r="E2970" t="str">
            <v>CHERYL COWLING</v>
          </cell>
          <cell r="F2970" t="str">
            <v>D General (Orio</v>
          </cell>
          <cell r="G2970" t="str">
            <v>Invsd Smt checked</v>
          </cell>
          <cell r="H2970" t="str">
            <v>Orion</v>
          </cell>
          <cell r="I2970">
            <v>0.33333333333333331</v>
          </cell>
          <cell r="J2970">
            <v>0.75</v>
          </cell>
          <cell r="K2970">
            <v>9.5</v>
          </cell>
          <cell r="L2970">
            <v>172.14</v>
          </cell>
          <cell r="O2970" t="str">
            <v>Y</v>
          </cell>
          <cell r="P2970" t="str">
            <v>N</v>
          </cell>
          <cell r="Q2970" t="str">
            <v>Vacancy</v>
          </cell>
          <cell r="S2970">
            <v>0.25</v>
          </cell>
        </row>
        <row r="2971">
          <cell r="D2971">
            <v>1108006809</v>
          </cell>
          <cell r="E2971" t="str">
            <v>DONALD YANZA</v>
          </cell>
          <cell r="F2971" t="str">
            <v>D (Ch)</v>
          </cell>
          <cell r="G2971">
            <v>17466</v>
          </cell>
          <cell r="H2971" t="str">
            <v>Choice</v>
          </cell>
          <cell r="I2971">
            <v>0.83333333333333337</v>
          </cell>
          <cell r="J2971">
            <v>0.33333333333333331</v>
          </cell>
          <cell r="K2971">
            <v>11.3333333333333</v>
          </cell>
          <cell r="L2971">
            <v>359.05</v>
          </cell>
          <cell r="O2971" t="str">
            <v>Y</v>
          </cell>
          <cell r="P2971" t="str">
            <v>N</v>
          </cell>
          <cell r="Q2971" t="str">
            <v>Extra Capacity</v>
          </cell>
          <cell r="S2971">
            <v>0.3</v>
          </cell>
        </row>
        <row r="2972">
          <cell r="D2972">
            <v>1208000939</v>
          </cell>
          <cell r="E2972" t="str">
            <v>DOROTHY MUTHWA</v>
          </cell>
          <cell r="F2972" t="str">
            <v>A (Ch)</v>
          </cell>
          <cell r="G2972">
            <v>17538</v>
          </cell>
          <cell r="H2972" t="str">
            <v>Choice</v>
          </cell>
          <cell r="I2972">
            <v>0.83333333333333337</v>
          </cell>
          <cell r="J2972">
            <v>0.33333333333333331</v>
          </cell>
          <cell r="K2972">
            <v>11.3333333333333</v>
          </cell>
          <cell r="L2972">
            <v>167.58</v>
          </cell>
          <cell r="O2972" t="str">
            <v>Y</v>
          </cell>
          <cell r="P2972" t="str">
            <v>N</v>
          </cell>
          <cell r="Q2972" t="str">
            <v>On-Call</v>
          </cell>
          <cell r="S2972">
            <v>0.3</v>
          </cell>
        </row>
        <row r="2973">
          <cell r="D2973">
            <v>1208000321</v>
          </cell>
          <cell r="E2973" t="str">
            <v>GEORGINA MAFISA</v>
          </cell>
          <cell r="F2973" t="str">
            <v>D (MD)</v>
          </cell>
          <cell r="G2973">
            <v>348820</v>
          </cell>
          <cell r="H2973" t="str">
            <v>Mayday</v>
          </cell>
          <cell r="I2973">
            <v>0.41666666666666669</v>
          </cell>
          <cell r="J2973">
            <v>0.83333333333333337</v>
          </cell>
          <cell r="K2973">
            <v>9.6666666666666696</v>
          </cell>
          <cell r="L2973">
            <v>312.14</v>
          </cell>
          <cell r="O2973" t="str">
            <v>Y</v>
          </cell>
          <cell r="P2973" t="str">
            <v>N</v>
          </cell>
          <cell r="Q2973" t="str">
            <v>Short Term Sick</v>
          </cell>
          <cell r="S2973">
            <v>0.26</v>
          </cell>
        </row>
        <row r="2974">
          <cell r="D2974">
            <v>1108006544</v>
          </cell>
          <cell r="E2974" t="str">
            <v>JAKE BROOKES</v>
          </cell>
          <cell r="F2974" t="str">
            <v>D General (Orio</v>
          </cell>
          <cell r="G2974" t="str">
            <v>Invsd Smt checked</v>
          </cell>
          <cell r="H2974" t="str">
            <v>Orion</v>
          </cell>
          <cell r="I2974">
            <v>0.33333333333333331</v>
          </cell>
          <cell r="J2974">
            <v>0.75</v>
          </cell>
          <cell r="K2974">
            <v>9.6666666666666696</v>
          </cell>
          <cell r="L2974">
            <v>175.16</v>
          </cell>
          <cell r="O2974" t="str">
            <v>Y</v>
          </cell>
          <cell r="P2974" t="str">
            <v>N</v>
          </cell>
          <cell r="Q2974" t="str">
            <v>Vacancy</v>
          </cell>
          <cell r="S2974">
            <v>0.26</v>
          </cell>
        </row>
        <row r="2975">
          <cell r="D2975">
            <v>1108006599</v>
          </cell>
          <cell r="E2975" t="str">
            <v>JO BRADY</v>
          </cell>
          <cell r="F2975" t="str">
            <v>D (MD)</v>
          </cell>
          <cell r="G2975">
            <v>348361</v>
          </cell>
          <cell r="H2975" t="str">
            <v>Mayday</v>
          </cell>
          <cell r="I2975">
            <v>0.32291666666666669</v>
          </cell>
          <cell r="J2975">
            <v>0.84375</v>
          </cell>
          <cell r="K2975">
            <v>11.8333333333333</v>
          </cell>
          <cell r="L2975">
            <v>382.1</v>
          </cell>
          <cell r="O2975" t="str">
            <v>Y</v>
          </cell>
          <cell r="P2975" t="str">
            <v>N</v>
          </cell>
          <cell r="Q2975" t="str">
            <v>Vacancy</v>
          </cell>
          <cell r="S2975">
            <v>0.32</v>
          </cell>
        </row>
        <row r="2976">
          <cell r="D2976">
            <v>1108006818</v>
          </cell>
          <cell r="E2976" t="str">
            <v>JOANNE BUSS</v>
          </cell>
          <cell r="F2976" t="str">
            <v>D (MD)</v>
          </cell>
          <cell r="G2976">
            <v>348650</v>
          </cell>
          <cell r="H2976" t="str">
            <v>Mayday</v>
          </cell>
          <cell r="I2976">
            <v>0.3125</v>
          </cell>
          <cell r="J2976">
            <v>0.625</v>
          </cell>
          <cell r="K2976">
            <v>7.1666666666666696</v>
          </cell>
          <cell r="L2976">
            <v>231.41</v>
          </cell>
          <cell r="O2976" t="str">
            <v>Y</v>
          </cell>
          <cell r="P2976" t="str">
            <v>N</v>
          </cell>
          <cell r="Q2976" t="str">
            <v>Extra Capacity</v>
          </cell>
          <cell r="S2976">
            <v>0.19</v>
          </cell>
        </row>
        <row r="2977">
          <cell r="D2977">
            <v>1108004537</v>
          </cell>
          <cell r="E2977" t="str">
            <v>JOANNE DUCKER</v>
          </cell>
          <cell r="F2977" t="str">
            <v>D / 5 General (</v>
          </cell>
          <cell r="G2977" t="str">
            <v>604-159373</v>
          </cell>
          <cell r="H2977" t="str">
            <v>Medacs</v>
          </cell>
          <cell r="I2977">
            <v>0.60416666666666663</v>
          </cell>
          <cell r="J2977">
            <v>0.85416666666666663</v>
          </cell>
          <cell r="K2977">
            <v>5.6666666666666696</v>
          </cell>
          <cell r="L2977">
            <v>95.65</v>
          </cell>
          <cell r="O2977" t="str">
            <v>Y</v>
          </cell>
          <cell r="P2977" t="str">
            <v>N</v>
          </cell>
          <cell r="Q2977" t="str">
            <v>Extra Capacity</v>
          </cell>
          <cell r="S2977">
            <v>0.15</v>
          </cell>
        </row>
        <row r="2978">
          <cell r="D2978">
            <v>1208000393</v>
          </cell>
          <cell r="E2978" t="str">
            <v>KATH BURTON</v>
          </cell>
          <cell r="F2978" t="str">
            <v>D (MD)</v>
          </cell>
          <cell r="G2978">
            <v>348470</v>
          </cell>
          <cell r="H2978" t="str">
            <v>Mayday</v>
          </cell>
          <cell r="I2978">
            <v>0.3125</v>
          </cell>
          <cell r="J2978">
            <v>0.64583333333333337</v>
          </cell>
          <cell r="K2978">
            <v>7.5</v>
          </cell>
          <cell r="L2978">
            <v>242.17</v>
          </cell>
          <cell r="O2978" t="str">
            <v>Y</v>
          </cell>
          <cell r="P2978" t="str">
            <v>N</v>
          </cell>
          <cell r="Q2978" t="str">
            <v>Under Established</v>
          </cell>
          <cell r="S2978">
            <v>0.2</v>
          </cell>
        </row>
        <row r="2979">
          <cell r="D2979">
            <v>1208000008</v>
          </cell>
          <cell r="E2979" t="str">
            <v>KEN GOORDIN</v>
          </cell>
          <cell r="F2979" t="str">
            <v>D (Ch)</v>
          </cell>
          <cell r="G2979">
            <v>17461</v>
          </cell>
          <cell r="H2979" t="str">
            <v>Choice</v>
          </cell>
          <cell r="I2979">
            <v>0.88541666666666663</v>
          </cell>
          <cell r="J2979">
            <v>0.3125</v>
          </cell>
          <cell r="K2979">
            <v>9.25</v>
          </cell>
          <cell r="L2979">
            <v>293.05</v>
          </cell>
          <cell r="O2979" t="str">
            <v>Y</v>
          </cell>
          <cell r="P2979" t="str">
            <v>N</v>
          </cell>
          <cell r="Q2979" t="str">
            <v>Vacancy</v>
          </cell>
          <cell r="S2979">
            <v>0.25</v>
          </cell>
        </row>
        <row r="2980">
          <cell r="D2980">
            <v>1208000445</v>
          </cell>
          <cell r="E2980" t="str">
            <v>LETECIA MENIANO</v>
          </cell>
          <cell r="F2980" t="str">
            <v>D (MD)</v>
          </cell>
          <cell r="G2980">
            <v>349836</v>
          </cell>
          <cell r="H2980" t="str">
            <v>Mayday</v>
          </cell>
          <cell r="I2980">
            <v>0.83333333333333337</v>
          </cell>
          <cell r="J2980">
            <v>0.33333333333333331</v>
          </cell>
          <cell r="K2980">
            <v>11.3333333333333</v>
          </cell>
          <cell r="L2980">
            <v>475.74</v>
          </cell>
          <cell r="O2980" t="str">
            <v>Y</v>
          </cell>
          <cell r="P2980" t="str">
            <v>N</v>
          </cell>
          <cell r="Q2980" t="str">
            <v>Extra Capacity</v>
          </cell>
          <cell r="S2980">
            <v>0.3</v>
          </cell>
        </row>
        <row r="2981">
          <cell r="D2981">
            <v>1208000124</v>
          </cell>
          <cell r="E2981" t="str">
            <v>LOUISE SEYMOUR</v>
          </cell>
          <cell r="F2981" t="str">
            <v>D (MD)</v>
          </cell>
          <cell r="G2981">
            <v>348119</v>
          </cell>
          <cell r="H2981" t="str">
            <v>Mayday</v>
          </cell>
          <cell r="I2981">
            <v>0.3125</v>
          </cell>
          <cell r="J2981">
            <v>0.85416666666666663</v>
          </cell>
          <cell r="K2981">
            <v>12.3333333333333</v>
          </cell>
          <cell r="L2981">
            <v>398.24</v>
          </cell>
          <cell r="O2981" t="str">
            <v>Y</v>
          </cell>
          <cell r="P2981" t="str">
            <v>N</v>
          </cell>
          <cell r="Q2981" t="str">
            <v>Acuity</v>
          </cell>
          <cell r="S2981">
            <v>0.33</v>
          </cell>
        </row>
        <row r="2982">
          <cell r="D2982">
            <v>1108004551</v>
          </cell>
          <cell r="E2982" t="str">
            <v>MARILEEN DESOUZA</v>
          </cell>
          <cell r="F2982" t="str">
            <v>D (Ch)</v>
          </cell>
          <cell r="G2982">
            <v>17451</v>
          </cell>
          <cell r="H2982" t="str">
            <v>Choice</v>
          </cell>
          <cell r="I2982">
            <v>0.83333333333333337</v>
          </cell>
          <cell r="J2982">
            <v>0.33333333333333331</v>
          </cell>
          <cell r="K2982">
            <v>11.3333333333333</v>
          </cell>
          <cell r="L2982">
            <v>359.05</v>
          </cell>
          <cell r="O2982" t="str">
            <v>Y</v>
          </cell>
          <cell r="P2982" t="str">
            <v>N</v>
          </cell>
          <cell r="Q2982" t="str">
            <v>Extra Capacity</v>
          </cell>
          <cell r="S2982">
            <v>0.3</v>
          </cell>
        </row>
        <row r="2983">
          <cell r="D2983">
            <v>1208000444</v>
          </cell>
          <cell r="E2983" t="str">
            <v>METTA SUNDAY</v>
          </cell>
          <cell r="F2983" t="str">
            <v>D (MD)</v>
          </cell>
          <cell r="H2983" t="str">
            <v>Mayday</v>
          </cell>
          <cell r="I2983">
            <v>0.83333333333333337</v>
          </cell>
          <cell r="J2983">
            <v>0.33333333333333331</v>
          </cell>
          <cell r="K2983">
            <v>11.3333333333333</v>
          </cell>
          <cell r="L2983">
            <v>475.74</v>
          </cell>
          <cell r="O2983" t="str">
            <v>Y</v>
          </cell>
          <cell r="P2983" t="str">
            <v>N</v>
          </cell>
          <cell r="Q2983" t="str">
            <v>Extra Capacity</v>
          </cell>
          <cell r="S2983">
            <v>0.3</v>
          </cell>
        </row>
        <row r="2984">
          <cell r="D2984">
            <v>1108006700</v>
          </cell>
          <cell r="E2984" t="str">
            <v>MIHAELA CHIRIBAU</v>
          </cell>
          <cell r="F2984" t="str">
            <v>D (MD)</v>
          </cell>
          <cell r="G2984">
            <v>350075</v>
          </cell>
          <cell r="H2984" t="str">
            <v>Mayday</v>
          </cell>
          <cell r="I2984">
            <v>0.625</v>
          </cell>
          <cell r="J2984">
            <v>0.85416666666666663</v>
          </cell>
          <cell r="K2984">
            <v>5.5</v>
          </cell>
          <cell r="L2984">
            <v>177.59</v>
          </cell>
          <cell r="O2984" t="str">
            <v>Y</v>
          </cell>
          <cell r="P2984" t="str">
            <v>N</v>
          </cell>
          <cell r="Q2984" t="str">
            <v>Extra Capacity</v>
          </cell>
          <cell r="S2984">
            <v>0.15</v>
          </cell>
        </row>
        <row r="2985">
          <cell r="D2985">
            <v>1108006849</v>
          </cell>
          <cell r="E2985" t="str">
            <v>MIHAELA CHIRIBAU</v>
          </cell>
          <cell r="F2985" t="str">
            <v>D (MD)</v>
          </cell>
          <cell r="G2985">
            <v>350076</v>
          </cell>
          <cell r="H2985" t="str">
            <v>Mayday</v>
          </cell>
          <cell r="I2985">
            <v>0.30208333333333331</v>
          </cell>
          <cell r="J2985">
            <v>0.625</v>
          </cell>
          <cell r="K2985">
            <v>7.1666666666666696</v>
          </cell>
          <cell r="L2985">
            <v>231.41</v>
          </cell>
          <cell r="O2985" t="str">
            <v>Y</v>
          </cell>
          <cell r="P2985" t="str">
            <v>N</v>
          </cell>
          <cell r="Q2985" t="str">
            <v>Short Term Sick</v>
          </cell>
          <cell r="S2985">
            <v>0.19</v>
          </cell>
        </row>
        <row r="2986">
          <cell r="D2986">
            <v>1208000944</v>
          </cell>
          <cell r="E2986" t="str">
            <v>NETCE SIA</v>
          </cell>
          <cell r="F2986" t="str">
            <v>D (MD)</v>
          </cell>
          <cell r="G2986">
            <v>350493</v>
          </cell>
          <cell r="H2986" t="str">
            <v>Mayday</v>
          </cell>
          <cell r="I2986">
            <v>0.83333333333333337</v>
          </cell>
          <cell r="J2986">
            <v>0.33333333333333331</v>
          </cell>
          <cell r="K2986">
            <v>11</v>
          </cell>
          <cell r="L2986">
            <v>461.75</v>
          </cell>
          <cell r="O2986" t="str">
            <v>Y</v>
          </cell>
          <cell r="P2986" t="str">
            <v>N</v>
          </cell>
          <cell r="Q2986" t="str">
            <v>Short Term Sick</v>
          </cell>
          <cell r="S2986">
            <v>0.28999999999999998</v>
          </cell>
        </row>
        <row r="2987">
          <cell r="D2987">
            <v>1108004516</v>
          </cell>
          <cell r="E2987" t="str">
            <v>PEGGY CHIRIKURE</v>
          </cell>
          <cell r="F2987" t="str">
            <v>D (Ch)</v>
          </cell>
          <cell r="G2987">
            <v>17451</v>
          </cell>
          <cell r="H2987" t="str">
            <v>Choice</v>
          </cell>
          <cell r="I2987">
            <v>0.3125</v>
          </cell>
          <cell r="J2987">
            <v>0.625</v>
          </cell>
          <cell r="K2987">
            <v>7.1666666666666696</v>
          </cell>
          <cell r="L2987">
            <v>174.65</v>
          </cell>
          <cell r="O2987" t="str">
            <v>Y</v>
          </cell>
          <cell r="P2987" t="str">
            <v>N</v>
          </cell>
          <cell r="Q2987" t="str">
            <v>Extra Capacity</v>
          </cell>
          <cell r="S2987">
            <v>0.19</v>
          </cell>
        </row>
        <row r="2988">
          <cell r="D2988">
            <v>1108004523</v>
          </cell>
          <cell r="E2988" t="str">
            <v>PEGGY MAPOGO</v>
          </cell>
          <cell r="F2988" t="str">
            <v>D (Ch)</v>
          </cell>
          <cell r="H2988" t="str">
            <v>Choice</v>
          </cell>
          <cell r="I2988">
            <v>0.3125</v>
          </cell>
          <cell r="J2988">
            <v>0.625</v>
          </cell>
          <cell r="K2988">
            <v>7.1666666666666696</v>
          </cell>
          <cell r="L2988">
            <v>174.65</v>
          </cell>
          <cell r="O2988" t="str">
            <v>Y</v>
          </cell>
          <cell r="P2988" t="str">
            <v>N</v>
          </cell>
          <cell r="Q2988" t="str">
            <v>Extra Capacity</v>
          </cell>
          <cell r="S2988">
            <v>0.19</v>
          </cell>
        </row>
        <row r="2989">
          <cell r="D2989">
            <v>1208000084</v>
          </cell>
          <cell r="E2989" t="str">
            <v>RITCHIE RUBIA</v>
          </cell>
          <cell r="F2989" t="str">
            <v>D (Ch)</v>
          </cell>
          <cell r="G2989">
            <v>17449</v>
          </cell>
          <cell r="H2989" t="str">
            <v>Choice</v>
          </cell>
          <cell r="I2989">
            <v>0.83333333333333337</v>
          </cell>
          <cell r="J2989">
            <v>0.33333333333333331</v>
          </cell>
          <cell r="K2989">
            <v>11.3333333333333</v>
          </cell>
          <cell r="L2989">
            <v>359.05</v>
          </cell>
          <cell r="O2989" t="str">
            <v>Y</v>
          </cell>
          <cell r="P2989" t="str">
            <v>N</v>
          </cell>
          <cell r="Q2989" t="str">
            <v>Extra Capacity</v>
          </cell>
          <cell r="S2989">
            <v>0.3</v>
          </cell>
        </row>
        <row r="2990">
          <cell r="D2990">
            <v>1108006785</v>
          </cell>
          <cell r="E2990" t="str">
            <v>RODA RAMERIZ</v>
          </cell>
          <cell r="F2990" t="str">
            <v>D (Ch)</v>
          </cell>
          <cell r="G2990">
            <v>17453</v>
          </cell>
          <cell r="H2990" t="str">
            <v>Choice</v>
          </cell>
          <cell r="I2990">
            <v>0.83333333333333337</v>
          </cell>
          <cell r="J2990">
            <v>0.33333333333333331</v>
          </cell>
          <cell r="K2990">
            <v>11.3333333333333</v>
          </cell>
          <cell r="L2990">
            <v>359.05</v>
          </cell>
          <cell r="M2990">
            <v>316.05</v>
          </cell>
          <cell r="O2990" t="str">
            <v>Y</v>
          </cell>
          <cell r="P2990" t="str">
            <v>N</v>
          </cell>
          <cell r="Q2990" t="str">
            <v>Vacancy</v>
          </cell>
          <cell r="S2990">
            <v>0.3</v>
          </cell>
        </row>
        <row r="2991">
          <cell r="D2991">
            <v>1208000056</v>
          </cell>
          <cell r="E2991" t="str">
            <v>ROHEYATOU NDOW-NJIE</v>
          </cell>
          <cell r="F2991" t="str">
            <v>D (Ch)</v>
          </cell>
          <cell r="H2991" t="str">
            <v>Choice</v>
          </cell>
          <cell r="I2991">
            <v>0.60416666666666663</v>
          </cell>
          <cell r="J2991">
            <v>0.85416666666666663</v>
          </cell>
          <cell r="K2991">
            <v>5.6666666666666696</v>
          </cell>
          <cell r="L2991">
            <v>138.1</v>
          </cell>
          <cell r="O2991" t="str">
            <v>Y</v>
          </cell>
          <cell r="P2991" t="str">
            <v>N</v>
          </cell>
          <cell r="Q2991" t="str">
            <v>Extra Capacity</v>
          </cell>
          <cell r="S2991">
            <v>0.15</v>
          </cell>
        </row>
        <row r="2992">
          <cell r="D2992">
            <v>1208000123</v>
          </cell>
          <cell r="E2992" t="str">
            <v>ROHEYATOU NDOW-NJIE</v>
          </cell>
          <cell r="F2992" t="str">
            <v>D (Ch)</v>
          </cell>
          <cell r="H2992" t="str">
            <v>Choice</v>
          </cell>
          <cell r="I2992">
            <v>0.3125</v>
          </cell>
          <cell r="J2992">
            <v>0.60416666666666663</v>
          </cell>
          <cell r="K2992">
            <v>6.6666666666666696</v>
          </cell>
          <cell r="L2992">
            <v>162.47</v>
          </cell>
          <cell r="O2992" t="str">
            <v>Y</v>
          </cell>
          <cell r="P2992" t="str">
            <v>N</v>
          </cell>
          <cell r="Q2992" t="str">
            <v>Extra Capacity</v>
          </cell>
          <cell r="S2992">
            <v>0.18</v>
          </cell>
        </row>
        <row r="2993">
          <cell r="D2993">
            <v>1108004612</v>
          </cell>
          <cell r="E2993" t="str">
            <v>ROSLYNE SCOTT</v>
          </cell>
          <cell r="F2993" t="str">
            <v>D (Amb)</v>
          </cell>
          <cell r="G2993">
            <v>763654</v>
          </cell>
          <cell r="H2993" t="str">
            <v>Ambition</v>
          </cell>
          <cell r="I2993">
            <v>0.5625</v>
          </cell>
          <cell r="J2993">
            <v>0.85416666666666663</v>
          </cell>
          <cell r="K2993">
            <v>6.6666666666666696</v>
          </cell>
          <cell r="L2993">
            <v>260.67</v>
          </cell>
          <cell r="O2993" t="str">
            <v>Y</v>
          </cell>
          <cell r="P2993" t="str">
            <v>N</v>
          </cell>
          <cell r="Q2993" t="str">
            <v>Long Term Sick</v>
          </cell>
          <cell r="S2993">
            <v>0.18</v>
          </cell>
        </row>
        <row r="2994">
          <cell r="D2994">
            <v>1108003992</v>
          </cell>
          <cell r="E2994" t="str">
            <v>SAM KELEM</v>
          </cell>
          <cell r="F2994" t="str">
            <v>D (Ch)</v>
          </cell>
          <cell r="G2994">
            <v>17454</v>
          </cell>
          <cell r="H2994" t="str">
            <v>Choice</v>
          </cell>
          <cell r="I2994">
            <v>0.875</v>
          </cell>
          <cell r="J2994">
            <v>0.32291666666666669</v>
          </cell>
          <cell r="K2994">
            <v>10</v>
          </cell>
          <cell r="L2994">
            <v>316.81</v>
          </cell>
          <cell r="O2994" t="str">
            <v>Y</v>
          </cell>
          <cell r="P2994" t="str">
            <v>N</v>
          </cell>
          <cell r="Q2994" t="str">
            <v>Specials</v>
          </cell>
          <cell r="S2994">
            <v>0.27</v>
          </cell>
        </row>
        <row r="2995">
          <cell r="D2995">
            <v>1108006534</v>
          </cell>
          <cell r="E2995" t="str">
            <v>SARAH MAKOTORE</v>
          </cell>
          <cell r="F2995" t="str">
            <v>D (Ch)</v>
          </cell>
          <cell r="G2995">
            <v>17461</v>
          </cell>
          <cell r="H2995" t="str">
            <v>Choice</v>
          </cell>
          <cell r="I2995">
            <v>0.625</v>
          </cell>
          <cell r="J2995">
            <v>0.875</v>
          </cell>
          <cell r="K2995">
            <v>5.75</v>
          </cell>
          <cell r="L2995">
            <v>140.13</v>
          </cell>
          <cell r="O2995" t="str">
            <v>Y</v>
          </cell>
          <cell r="P2995" t="str">
            <v>N</v>
          </cell>
          <cell r="Q2995" t="str">
            <v>Specials</v>
          </cell>
          <cell r="S2995">
            <v>0.15</v>
          </cell>
        </row>
        <row r="2996">
          <cell r="D2996">
            <v>1108006699</v>
          </cell>
          <cell r="E2996" t="str">
            <v>SHAUN MCKEE</v>
          </cell>
          <cell r="F2996" t="str">
            <v>D (Amb)</v>
          </cell>
          <cell r="G2996">
            <v>766187</v>
          </cell>
          <cell r="H2996" t="str">
            <v>Ambition</v>
          </cell>
          <cell r="I2996">
            <v>0.3125</v>
          </cell>
          <cell r="J2996">
            <v>0.83333333333333337</v>
          </cell>
          <cell r="K2996">
            <v>11.8333333333333</v>
          </cell>
          <cell r="L2996">
            <v>462.68</v>
          </cell>
          <cell r="O2996" t="str">
            <v>Y</v>
          </cell>
          <cell r="P2996" t="str">
            <v>N</v>
          </cell>
          <cell r="Q2996" t="str">
            <v>Extra Capacity</v>
          </cell>
          <cell r="S2996">
            <v>0.32</v>
          </cell>
        </row>
        <row r="2997">
          <cell r="D2997">
            <v>1108006819</v>
          </cell>
          <cell r="E2997" t="str">
            <v>TAMBU JENA</v>
          </cell>
          <cell r="F2997" t="str">
            <v>D (Ch)</v>
          </cell>
          <cell r="G2997">
            <v>17451</v>
          </cell>
          <cell r="H2997" t="str">
            <v>Choice</v>
          </cell>
          <cell r="I2997">
            <v>0.3125</v>
          </cell>
          <cell r="J2997">
            <v>0.83333333333333337</v>
          </cell>
          <cell r="K2997">
            <v>11.8333333333333</v>
          </cell>
          <cell r="L2997">
            <v>288.38</v>
          </cell>
          <cell r="O2997" t="str">
            <v>Y</v>
          </cell>
          <cell r="P2997" t="str">
            <v>N</v>
          </cell>
          <cell r="Q2997" t="str">
            <v>Extra Capacity</v>
          </cell>
          <cell r="S2997">
            <v>0.32</v>
          </cell>
        </row>
        <row r="2998">
          <cell r="D2998">
            <v>1108006159</v>
          </cell>
          <cell r="E2998" t="str">
            <v>TEMBE NGIDI</v>
          </cell>
          <cell r="F2998" t="str">
            <v>D (MD)</v>
          </cell>
          <cell r="G2998">
            <v>348344</v>
          </cell>
          <cell r="H2998" t="str">
            <v>Mayday</v>
          </cell>
          <cell r="I2998">
            <v>0.8125</v>
          </cell>
          <cell r="J2998">
            <v>0.33333333333333331</v>
          </cell>
          <cell r="K2998">
            <v>11.8333333333333</v>
          </cell>
          <cell r="L2998">
            <v>496.73</v>
          </cell>
          <cell r="O2998" t="str">
            <v>Y</v>
          </cell>
          <cell r="P2998" t="str">
            <v>N</v>
          </cell>
          <cell r="Q2998" t="str">
            <v>Vacancy</v>
          </cell>
          <cell r="S2998">
            <v>0.32</v>
          </cell>
        </row>
        <row r="2999">
          <cell r="D2999">
            <v>1108006185</v>
          </cell>
          <cell r="E2999" t="str">
            <v>THEMBA NKOMO</v>
          </cell>
          <cell r="F2999" t="str">
            <v>A (Ch)</v>
          </cell>
          <cell r="G2999">
            <v>17458</v>
          </cell>
          <cell r="H2999" t="str">
            <v>Choice</v>
          </cell>
          <cell r="I2999">
            <v>0.625</v>
          </cell>
          <cell r="J2999">
            <v>0.875</v>
          </cell>
          <cell r="K2999">
            <v>5.75</v>
          </cell>
          <cell r="L2999">
            <v>63.77</v>
          </cell>
          <cell r="O2999" t="str">
            <v>Y</v>
          </cell>
          <cell r="P2999" t="str">
            <v>N</v>
          </cell>
          <cell r="Q2999" t="str">
            <v>Long Term Sick</v>
          </cell>
          <cell r="S2999">
            <v>0.15</v>
          </cell>
        </row>
        <row r="3000">
          <cell r="D3000">
            <v>1108005878</v>
          </cell>
          <cell r="E3000" t="str">
            <v>TOM OSBOURNE</v>
          </cell>
          <cell r="F3000" t="str">
            <v>D General (Orio</v>
          </cell>
          <cell r="G3000" t="str">
            <v>Invsd Smt checked</v>
          </cell>
          <cell r="H3000" t="str">
            <v>Orion</v>
          </cell>
          <cell r="I3000">
            <v>0.33333333333333331</v>
          </cell>
          <cell r="J3000">
            <v>0.75</v>
          </cell>
          <cell r="K3000">
            <v>9.5</v>
          </cell>
          <cell r="L3000">
            <v>172.14</v>
          </cell>
          <cell r="O3000" t="str">
            <v>Y</v>
          </cell>
          <cell r="P3000" t="str">
            <v>N</v>
          </cell>
          <cell r="Q3000" t="str">
            <v>Vacancy</v>
          </cell>
          <cell r="S3000">
            <v>0.25</v>
          </cell>
        </row>
        <row r="3001">
          <cell r="D3001">
            <v>1208000938</v>
          </cell>
          <cell r="E3001" t="str">
            <v>WINNIE MUTASA</v>
          </cell>
          <cell r="F3001" t="str">
            <v>D (Ch)</v>
          </cell>
          <cell r="G3001">
            <v>17464</v>
          </cell>
          <cell r="H3001" t="str">
            <v>Choice</v>
          </cell>
          <cell r="I3001">
            <v>0.875</v>
          </cell>
          <cell r="J3001">
            <v>0.32291666666666669</v>
          </cell>
          <cell r="K3001">
            <v>10</v>
          </cell>
          <cell r="L3001">
            <v>316.81</v>
          </cell>
          <cell r="O3001" t="str">
            <v>Y</v>
          </cell>
          <cell r="P3001" t="str">
            <v>N</v>
          </cell>
          <cell r="Q3001" t="str">
            <v>On-Call</v>
          </cell>
          <cell r="S3001">
            <v>0.27</v>
          </cell>
        </row>
        <row r="3002">
          <cell r="D3002">
            <v>1108006160</v>
          </cell>
          <cell r="E3002" t="str">
            <v>ADEOLA SOGBESAN</v>
          </cell>
          <cell r="F3002" t="str">
            <v>D (MD)</v>
          </cell>
          <cell r="G3002">
            <v>352134</v>
          </cell>
          <cell r="H3002" t="str">
            <v>Mayday</v>
          </cell>
          <cell r="I3002">
            <v>0.3125</v>
          </cell>
          <cell r="J3002">
            <v>0.83333333333333337</v>
          </cell>
          <cell r="K3002">
            <v>11.8333333333333</v>
          </cell>
          <cell r="L3002">
            <v>382.1</v>
          </cell>
          <cell r="O3002" t="str">
            <v>Y</v>
          </cell>
          <cell r="P3002" t="str">
            <v>N</v>
          </cell>
          <cell r="Q3002" t="str">
            <v>Short Term Sick</v>
          </cell>
          <cell r="S3002">
            <v>0.32</v>
          </cell>
        </row>
        <row r="3003">
          <cell r="D3003">
            <v>1208000184</v>
          </cell>
          <cell r="E3003" t="str">
            <v>ALLI SUBRAMANIAM</v>
          </cell>
          <cell r="F3003" t="str">
            <v>D (MD)</v>
          </cell>
          <cell r="G3003">
            <v>356068</v>
          </cell>
          <cell r="H3003" t="str">
            <v>Mayday</v>
          </cell>
          <cell r="I3003">
            <v>0.32291666666666669</v>
          </cell>
          <cell r="J3003">
            <v>0.54166666666666663</v>
          </cell>
          <cell r="K3003">
            <v>5.25</v>
          </cell>
          <cell r="L3003">
            <v>169.52</v>
          </cell>
          <cell r="O3003" t="str">
            <v>Y</v>
          </cell>
          <cell r="P3003" t="str">
            <v>N</v>
          </cell>
          <cell r="Q3003" t="str">
            <v>Vacancy</v>
          </cell>
          <cell r="S3003">
            <v>0.14000000000000001</v>
          </cell>
        </row>
        <row r="3004">
          <cell r="D3004">
            <v>1208000186</v>
          </cell>
          <cell r="E3004" t="str">
            <v>ALLI SUBRAMANIAM</v>
          </cell>
          <cell r="F3004" t="str">
            <v>D (MD)</v>
          </cell>
          <cell r="H3004" t="str">
            <v>Mayday</v>
          </cell>
          <cell r="I3004">
            <v>0.63541666666666663</v>
          </cell>
          <cell r="J3004">
            <v>0.85416666666666663</v>
          </cell>
          <cell r="K3004">
            <v>5.25</v>
          </cell>
          <cell r="L3004">
            <v>169.52</v>
          </cell>
          <cell r="O3004" t="str">
            <v>Y</v>
          </cell>
          <cell r="P3004" t="str">
            <v>N</v>
          </cell>
          <cell r="Q3004" t="str">
            <v>Vacancy</v>
          </cell>
          <cell r="S3004">
            <v>0.14000000000000001</v>
          </cell>
        </row>
        <row r="3005">
          <cell r="D3005">
            <v>1208000787</v>
          </cell>
          <cell r="E3005" t="str">
            <v>ANDREA VENEURELA</v>
          </cell>
          <cell r="F3005" t="str">
            <v>D (Ch)</v>
          </cell>
          <cell r="G3005">
            <v>17453</v>
          </cell>
          <cell r="H3005" t="str">
            <v>Choice</v>
          </cell>
          <cell r="I3005">
            <v>0.83333333333333337</v>
          </cell>
          <cell r="J3005">
            <v>0.33333333333333331</v>
          </cell>
          <cell r="K3005">
            <v>11.3333333333333</v>
          </cell>
          <cell r="L3005">
            <v>359.05</v>
          </cell>
          <cell r="M3005">
            <v>331.1</v>
          </cell>
          <cell r="O3005" t="str">
            <v>Y</v>
          </cell>
          <cell r="P3005" t="str">
            <v>N</v>
          </cell>
          <cell r="Q3005" t="str">
            <v>Short Term Sick</v>
          </cell>
          <cell r="S3005">
            <v>0.3</v>
          </cell>
        </row>
        <row r="3006">
          <cell r="D3006">
            <v>1108006166</v>
          </cell>
          <cell r="E3006" t="str">
            <v>BRIGHTNESS NDEBELE</v>
          </cell>
          <cell r="F3006" t="str">
            <v>D (MD)</v>
          </cell>
          <cell r="G3006">
            <v>349844</v>
          </cell>
          <cell r="H3006" t="str">
            <v>Mayday</v>
          </cell>
          <cell r="I3006">
            <v>0.3125</v>
          </cell>
          <cell r="J3006">
            <v>0.83333333333333337</v>
          </cell>
          <cell r="K3006">
            <v>11.8333333333333</v>
          </cell>
          <cell r="L3006">
            <v>382.1</v>
          </cell>
          <cell r="O3006" t="str">
            <v>Y</v>
          </cell>
          <cell r="P3006" t="str">
            <v>N</v>
          </cell>
          <cell r="Q3006" t="str">
            <v>Vacancy</v>
          </cell>
          <cell r="S3006">
            <v>0.32</v>
          </cell>
        </row>
        <row r="3007">
          <cell r="D3007">
            <v>1208000085</v>
          </cell>
          <cell r="E3007" t="str">
            <v>CARL HIBBERT</v>
          </cell>
          <cell r="F3007" t="str">
            <v>D (Ch)</v>
          </cell>
          <cell r="H3007" t="str">
            <v>Choice</v>
          </cell>
          <cell r="I3007">
            <v>0.83333333333333337</v>
          </cell>
          <cell r="J3007">
            <v>0.33333333333333331</v>
          </cell>
          <cell r="K3007">
            <v>11.3333333333333</v>
          </cell>
          <cell r="L3007">
            <v>359.05</v>
          </cell>
          <cell r="O3007" t="str">
            <v>Y</v>
          </cell>
          <cell r="P3007" t="str">
            <v>N</v>
          </cell>
          <cell r="Q3007" t="str">
            <v>Extra Capacity</v>
          </cell>
          <cell r="S3007">
            <v>0.3</v>
          </cell>
        </row>
        <row r="3008">
          <cell r="D3008">
            <v>1208000894</v>
          </cell>
          <cell r="E3008" t="str">
            <v>CHARLOTTE TAYLOR</v>
          </cell>
          <cell r="F3008" t="str">
            <v>D/5 (PS)</v>
          </cell>
          <cell r="H3008" t="str">
            <v>Pinnacle Staffing</v>
          </cell>
          <cell r="I3008">
            <v>0.88541666666666663</v>
          </cell>
          <cell r="J3008">
            <v>0.30208333333333331</v>
          </cell>
          <cell r="K3008">
            <v>9</v>
          </cell>
          <cell r="L3008">
            <v>198.78</v>
          </cell>
          <cell r="O3008" t="str">
            <v>Y</v>
          </cell>
          <cell r="P3008" t="str">
            <v>N</v>
          </cell>
          <cell r="Q3008" t="str">
            <v>Extra Capacity</v>
          </cell>
          <cell r="S3008">
            <v>0.24</v>
          </cell>
        </row>
        <row r="3009">
          <cell r="D3009">
            <v>1108004986</v>
          </cell>
          <cell r="E3009" t="str">
            <v>CHRIS STULAR</v>
          </cell>
          <cell r="F3009" t="str">
            <v>D General (Orio</v>
          </cell>
          <cell r="G3009" t="str">
            <v>Invsd Smt checked</v>
          </cell>
          <cell r="H3009" t="str">
            <v>Orion</v>
          </cell>
          <cell r="I3009">
            <v>0.33333333333333331</v>
          </cell>
          <cell r="J3009">
            <v>0.75</v>
          </cell>
          <cell r="K3009">
            <v>9.5</v>
          </cell>
          <cell r="L3009">
            <v>172.14</v>
          </cell>
          <cell r="O3009" t="str">
            <v>Y</v>
          </cell>
          <cell r="P3009" t="str">
            <v>N</v>
          </cell>
          <cell r="Q3009" t="str">
            <v>Backfill</v>
          </cell>
          <cell r="S3009">
            <v>0.25</v>
          </cell>
        </row>
        <row r="3010">
          <cell r="D3010">
            <v>1108002964</v>
          </cell>
          <cell r="E3010" t="str">
            <v>DAMILOLA AIKI</v>
          </cell>
          <cell r="F3010" t="str">
            <v>A (Ch)</v>
          </cell>
          <cell r="G3010">
            <v>17442</v>
          </cell>
          <cell r="H3010" t="str">
            <v>Choice</v>
          </cell>
          <cell r="I3010">
            <v>0.3125</v>
          </cell>
          <cell r="J3010">
            <v>0.5625</v>
          </cell>
          <cell r="K3010">
            <v>5.6666666666666696</v>
          </cell>
          <cell r="L3010">
            <v>62.84</v>
          </cell>
          <cell r="O3010" t="str">
            <v>Y</v>
          </cell>
          <cell r="P3010" t="str">
            <v>N</v>
          </cell>
          <cell r="Q3010" t="str">
            <v>Vacancy</v>
          </cell>
          <cell r="S3010">
            <v>0.15</v>
          </cell>
        </row>
        <row r="3011">
          <cell r="D3011">
            <v>1108005310</v>
          </cell>
          <cell r="E3011" t="str">
            <v>DAMILOLA AIKI</v>
          </cell>
          <cell r="F3011" t="str">
            <v>A (Ch)</v>
          </cell>
          <cell r="G3011">
            <v>17442</v>
          </cell>
          <cell r="H3011" t="str">
            <v>Choice</v>
          </cell>
          <cell r="I3011">
            <v>0.5625</v>
          </cell>
          <cell r="J3011">
            <v>0.85416666666666663</v>
          </cell>
          <cell r="K3011">
            <v>6.6666666666666696</v>
          </cell>
          <cell r="L3011">
            <v>73.930000000000007</v>
          </cell>
          <cell r="O3011" t="str">
            <v>Y</v>
          </cell>
          <cell r="P3011" t="str">
            <v>N</v>
          </cell>
          <cell r="Q3011" t="str">
            <v>Under Established</v>
          </cell>
          <cell r="S3011">
            <v>0.18</v>
          </cell>
        </row>
        <row r="3012">
          <cell r="D3012">
            <v>1208000066</v>
          </cell>
          <cell r="E3012" t="str">
            <v>DIGRACIA  NAPE</v>
          </cell>
          <cell r="F3012" t="str">
            <v>D (MD)</v>
          </cell>
          <cell r="G3012">
            <v>348467</v>
          </cell>
          <cell r="H3012" t="str">
            <v>Mayday</v>
          </cell>
          <cell r="I3012">
            <v>0.60416666666666663</v>
          </cell>
          <cell r="J3012">
            <v>0.85416666666666663</v>
          </cell>
          <cell r="K3012">
            <v>5.6666666666666696</v>
          </cell>
          <cell r="L3012">
            <v>182.98</v>
          </cell>
          <cell r="O3012" t="str">
            <v>Y</v>
          </cell>
          <cell r="P3012" t="str">
            <v>N</v>
          </cell>
          <cell r="Q3012" t="str">
            <v>Extra Capacity</v>
          </cell>
          <cell r="S3012">
            <v>0.15</v>
          </cell>
        </row>
        <row r="3013">
          <cell r="D3013">
            <v>1208000091</v>
          </cell>
          <cell r="E3013" t="str">
            <v>DIGRACIA  NAPE</v>
          </cell>
          <cell r="F3013" t="str">
            <v>D (MD)</v>
          </cell>
          <cell r="G3013">
            <v>348467</v>
          </cell>
          <cell r="H3013" t="str">
            <v>Mayday</v>
          </cell>
          <cell r="I3013">
            <v>0.3125</v>
          </cell>
          <cell r="J3013">
            <v>0.60416666666666663</v>
          </cell>
          <cell r="K3013">
            <v>6.6666666666666696</v>
          </cell>
          <cell r="L3013">
            <v>215.27</v>
          </cell>
          <cell r="O3013" t="str">
            <v>Y</v>
          </cell>
          <cell r="P3013" t="str">
            <v>N</v>
          </cell>
          <cell r="Q3013" t="str">
            <v>Extra Capacity</v>
          </cell>
          <cell r="S3013">
            <v>0.18</v>
          </cell>
        </row>
        <row r="3014">
          <cell r="D3014">
            <v>1208000450</v>
          </cell>
          <cell r="E3014" t="str">
            <v>EUNICE ADEBANJO</v>
          </cell>
          <cell r="F3014" t="str">
            <v>D (Ch)</v>
          </cell>
          <cell r="G3014">
            <v>17462</v>
          </cell>
          <cell r="H3014" t="str">
            <v>Choice</v>
          </cell>
          <cell r="I3014">
            <v>0.83333333333333337</v>
          </cell>
          <cell r="J3014">
            <v>0.33333333333333331</v>
          </cell>
          <cell r="K3014">
            <v>11.3333333333333</v>
          </cell>
          <cell r="L3014">
            <v>359.05</v>
          </cell>
          <cell r="O3014" t="str">
            <v>Y</v>
          </cell>
          <cell r="P3014" t="str">
            <v>N</v>
          </cell>
          <cell r="Q3014" t="str">
            <v>Extra Capacity</v>
          </cell>
          <cell r="S3014">
            <v>0.3</v>
          </cell>
        </row>
        <row r="3015">
          <cell r="D3015">
            <v>1108004517</v>
          </cell>
          <cell r="E3015" t="str">
            <v>EVELYN PANESA</v>
          </cell>
          <cell r="F3015" t="str">
            <v>D (Ch)</v>
          </cell>
          <cell r="H3015" t="str">
            <v>Choice</v>
          </cell>
          <cell r="I3015">
            <v>0.3125</v>
          </cell>
          <cell r="J3015">
            <v>0.625</v>
          </cell>
          <cell r="K3015">
            <v>7.1666666666666696</v>
          </cell>
          <cell r="L3015">
            <v>174.65</v>
          </cell>
          <cell r="O3015" t="str">
            <v>Y</v>
          </cell>
          <cell r="P3015" t="str">
            <v>N</v>
          </cell>
          <cell r="Q3015" t="str">
            <v>Extra Capacity</v>
          </cell>
          <cell r="S3015">
            <v>0.19</v>
          </cell>
        </row>
        <row r="3016">
          <cell r="D3016">
            <v>1208000936</v>
          </cell>
          <cell r="E3016" t="str">
            <v>EVELYN PANESA</v>
          </cell>
          <cell r="F3016" t="str">
            <v>D (Ch)</v>
          </cell>
          <cell r="G3016">
            <v>17463</v>
          </cell>
          <cell r="H3016" t="str">
            <v>Choice</v>
          </cell>
          <cell r="I3016">
            <v>0.625</v>
          </cell>
          <cell r="J3016">
            <v>0.85416666666666663</v>
          </cell>
          <cell r="K3016">
            <v>5.5</v>
          </cell>
          <cell r="L3016">
            <v>134.03</v>
          </cell>
          <cell r="O3016" t="str">
            <v>Y</v>
          </cell>
          <cell r="P3016" t="str">
            <v>N</v>
          </cell>
          <cell r="Q3016" t="str">
            <v>Nurse Moved</v>
          </cell>
          <cell r="S3016">
            <v>0.15</v>
          </cell>
        </row>
        <row r="3017">
          <cell r="D3017">
            <v>1108004041</v>
          </cell>
          <cell r="E3017" t="str">
            <v>FIONA DURKIN-GREER</v>
          </cell>
          <cell r="F3017" t="str">
            <v>D (MD)</v>
          </cell>
          <cell r="G3017">
            <v>348286</v>
          </cell>
          <cell r="H3017" t="str">
            <v>Mayday</v>
          </cell>
          <cell r="I3017">
            <v>0.5625</v>
          </cell>
          <cell r="J3017">
            <v>0.85416666666666663</v>
          </cell>
          <cell r="K3017">
            <v>6.6666666666666696</v>
          </cell>
          <cell r="L3017">
            <v>215.27</v>
          </cell>
          <cell r="O3017" t="str">
            <v>Y</v>
          </cell>
          <cell r="P3017" t="str">
            <v>N</v>
          </cell>
          <cell r="Q3017" t="str">
            <v>Vacancy</v>
          </cell>
          <cell r="S3017">
            <v>0.18</v>
          </cell>
        </row>
        <row r="3018">
          <cell r="D3018">
            <v>1208000451</v>
          </cell>
          <cell r="E3018" t="str">
            <v>GLENDA RONA</v>
          </cell>
          <cell r="F3018" t="str">
            <v>D (Ch)</v>
          </cell>
          <cell r="H3018" t="str">
            <v>Choice</v>
          </cell>
          <cell r="I3018">
            <v>0.83333333333333337</v>
          </cell>
          <cell r="J3018">
            <v>0.33333333333333331</v>
          </cell>
          <cell r="K3018">
            <v>11.3333333333333</v>
          </cell>
          <cell r="L3018">
            <v>359.05</v>
          </cell>
          <cell r="O3018" t="str">
            <v>Y</v>
          </cell>
          <cell r="P3018" t="str">
            <v>N</v>
          </cell>
          <cell r="Q3018" t="str">
            <v>Extra Capacity</v>
          </cell>
          <cell r="S3018">
            <v>0.3</v>
          </cell>
        </row>
        <row r="3019">
          <cell r="D3019">
            <v>1108006377</v>
          </cell>
          <cell r="E3019" t="str">
            <v>JAMES MCCLEMENTS</v>
          </cell>
          <cell r="F3019" t="str">
            <v>D (MD)</v>
          </cell>
          <cell r="G3019">
            <v>348290</v>
          </cell>
          <cell r="H3019" t="str">
            <v>Mayday</v>
          </cell>
          <cell r="I3019">
            <v>0.3125</v>
          </cell>
          <cell r="J3019">
            <v>0.83333333333333337</v>
          </cell>
          <cell r="K3019">
            <v>11.8333333333333</v>
          </cell>
          <cell r="L3019">
            <v>382.1</v>
          </cell>
          <cell r="O3019" t="str">
            <v>Y</v>
          </cell>
          <cell r="P3019" t="str">
            <v>N</v>
          </cell>
          <cell r="Q3019" t="str">
            <v>Extra Capacity</v>
          </cell>
          <cell r="S3019">
            <v>0.32</v>
          </cell>
        </row>
        <row r="3020">
          <cell r="D3020">
            <v>1108004538</v>
          </cell>
          <cell r="E3020" t="str">
            <v>JOANNE DUCKER</v>
          </cell>
          <cell r="F3020" t="str">
            <v>D / 5 General (</v>
          </cell>
          <cell r="G3020" t="str">
            <v>604-159502</v>
          </cell>
          <cell r="H3020" t="str">
            <v>Medacs</v>
          </cell>
          <cell r="I3020">
            <v>0.60416666666666663</v>
          </cell>
          <cell r="J3020">
            <v>0.85416666666666663</v>
          </cell>
          <cell r="K3020">
            <v>5.6666666666666696</v>
          </cell>
          <cell r="L3020">
            <v>95.65</v>
          </cell>
          <cell r="O3020" t="str">
            <v>Y</v>
          </cell>
          <cell r="P3020" t="str">
            <v>N</v>
          </cell>
          <cell r="Q3020" t="str">
            <v>Extra Capacity</v>
          </cell>
          <cell r="S3020">
            <v>0.15</v>
          </cell>
        </row>
        <row r="3021">
          <cell r="D3021">
            <v>1208000874</v>
          </cell>
          <cell r="E3021" t="str">
            <v>JOSEPHINE MOLLOY</v>
          </cell>
          <cell r="F3021" t="str">
            <v>D (Amb)</v>
          </cell>
          <cell r="G3021">
            <v>766405</v>
          </cell>
          <cell r="H3021" t="str">
            <v>Ambition</v>
          </cell>
          <cell r="I3021">
            <v>0.8125</v>
          </cell>
          <cell r="J3021">
            <v>0.33333333333333331</v>
          </cell>
          <cell r="K3021">
            <v>11.8333333333333</v>
          </cell>
          <cell r="L3021">
            <v>601.49</v>
          </cell>
          <cell r="O3021" t="str">
            <v>Y</v>
          </cell>
          <cell r="P3021" t="str">
            <v>N</v>
          </cell>
          <cell r="Q3021" t="str">
            <v>Extra Capacity</v>
          </cell>
          <cell r="S3021">
            <v>0.32</v>
          </cell>
        </row>
        <row r="3022">
          <cell r="D3022">
            <v>1208000945</v>
          </cell>
          <cell r="E3022" t="str">
            <v>KATH BURTON</v>
          </cell>
          <cell r="F3022" t="str">
            <v>D (MD)</v>
          </cell>
          <cell r="G3022">
            <v>349794</v>
          </cell>
          <cell r="H3022" t="str">
            <v>Mayday</v>
          </cell>
          <cell r="I3022">
            <v>0.3125</v>
          </cell>
          <cell r="J3022">
            <v>0.64583333333333337</v>
          </cell>
          <cell r="K3022">
            <v>7.5</v>
          </cell>
          <cell r="L3022">
            <v>242.17</v>
          </cell>
          <cell r="O3022" t="str">
            <v>Y</v>
          </cell>
          <cell r="P3022" t="str">
            <v>N</v>
          </cell>
          <cell r="Q3022" t="str">
            <v>Extra Capacity</v>
          </cell>
          <cell r="S3022">
            <v>0.2</v>
          </cell>
        </row>
        <row r="3023">
          <cell r="D3023">
            <v>1208001051</v>
          </cell>
          <cell r="E3023" t="str">
            <v>KATH WILDREDGE</v>
          </cell>
          <cell r="F3023" t="str">
            <v>D (MD)</v>
          </cell>
          <cell r="G3023">
            <v>348295</v>
          </cell>
          <cell r="H3023" t="str">
            <v>Mayday</v>
          </cell>
          <cell r="I3023">
            <v>0.83333333333333337</v>
          </cell>
          <cell r="J3023">
            <v>0.33333333333333331</v>
          </cell>
          <cell r="K3023">
            <v>11</v>
          </cell>
          <cell r="L3023">
            <v>461.75</v>
          </cell>
          <cell r="O3023" t="str">
            <v>Y</v>
          </cell>
          <cell r="P3023" t="str">
            <v>N</v>
          </cell>
          <cell r="Q3023" t="str">
            <v>Short Term Sick</v>
          </cell>
          <cell r="S3023">
            <v>0.28999999999999998</v>
          </cell>
        </row>
        <row r="3024">
          <cell r="D3024">
            <v>1208000461</v>
          </cell>
          <cell r="E3024" t="str">
            <v>MARTHA MAGWABA</v>
          </cell>
          <cell r="F3024" t="str">
            <v>A (Ch)</v>
          </cell>
          <cell r="G3024">
            <v>17462</v>
          </cell>
          <cell r="H3024" t="str">
            <v>Choice</v>
          </cell>
          <cell r="I3024">
            <v>0.83333333333333337</v>
          </cell>
          <cell r="J3024">
            <v>0.33333333333333331</v>
          </cell>
          <cell r="K3024">
            <v>11.3333333333333</v>
          </cell>
          <cell r="L3024">
            <v>167.58</v>
          </cell>
          <cell r="O3024" t="str">
            <v>Y</v>
          </cell>
          <cell r="P3024" t="str">
            <v>N</v>
          </cell>
          <cell r="Q3024" t="str">
            <v>Extra Capacity</v>
          </cell>
          <cell r="S3024">
            <v>0.3</v>
          </cell>
        </row>
        <row r="3025">
          <cell r="D3025">
            <v>1208000182</v>
          </cell>
          <cell r="E3025" t="str">
            <v>MERCY SIBANDA</v>
          </cell>
          <cell r="F3025" t="str">
            <v>A (Ch)</v>
          </cell>
          <cell r="H3025" t="str">
            <v>Choice</v>
          </cell>
          <cell r="I3025">
            <v>0.32291666666666669</v>
          </cell>
          <cell r="J3025">
            <v>0.54166666666666663</v>
          </cell>
          <cell r="K3025">
            <v>5.25</v>
          </cell>
          <cell r="L3025">
            <v>58.22</v>
          </cell>
          <cell r="O3025" t="str">
            <v>Y</v>
          </cell>
          <cell r="P3025" t="str">
            <v>N</v>
          </cell>
          <cell r="Q3025" t="str">
            <v>Vacancy</v>
          </cell>
          <cell r="S3025">
            <v>0.14000000000000001</v>
          </cell>
        </row>
        <row r="3026">
          <cell r="D3026">
            <v>1208000185</v>
          </cell>
          <cell r="E3026" t="str">
            <v>MERCY SIBANDA</v>
          </cell>
          <cell r="F3026" t="str">
            <v>A (Ch)</v>
          </cell>
          <cell r="H3026" t="str">
            <v>Choice</v>
          </cell>
          <cell r="I3026">
            <v>0.63541666666666663</v>
          </cell>
          <cell r="J3026">
            <v>0.85416666666666663</v>
          </cell>
          <cell r="K3026">
            <v>5.25</v>
          </cell>
          <cell r="L3026">
            <v>58.22</v>
          </cell>
          <cell r="O3026" t="str">
            <v>Y</v>
          </cell>
          <cell r="P3026" t="str">
            <v>N</v>
          </cell>
          <cell r="Q3026" t="str">
            <v>Vacancy</v>
          </cell>
          <cell r="S3026">
            <v>0.14000000000000001</v>
          </cell>
        </row>
        <row r="3027">
          <cell r="D3027">
            <v>1108006602</v>
          </cell>
          <cell r="E3027" t="str">
            <v>MIHAELA CHIRIBAU</v>
          </cell>
          <cell r="F3027" t="str">
            <v>D (MD)</v>
          </cell>
          <cell r="G3027">
            <v>350073</v>
          </cell>
          <cell r="H3027" t="str">
            <v>Mayday</v>
          </cell>
          <cell r="I3027">
            <v>0.32291666666666669</v>
          </cell>
          <cell r="J3027">
            <v>0.54166666666666663</v>
          </cell>
          <cell r="K3027">
            <v>5.25</v>
          </cell>
          <cell r="L3027">
            <v>169.52</v>
          </cell>
          <cell r="O3027" t="str">
            <v>Y</v>
          </cell>
          <cell r="P3027" t="str">
            <v>N</v>
          </cell>
          <cell r="Q3027" t="str">
            <v>Annual Leave</v>
          </cell>
          <cell r="S3027">
            <v>0.14000000000000001</v>
          </cell>
        </row>
        <row r="3028">
          <cell r="D3028">
            <v>1208000281</v>
          </cell>
          <cell r="E3028" t="str">
            <v>MIHAELA CHIRIBAU</v>
          </cell>
          <cell r="F3028" t="str">
            <v>D (MD)</v>
          </cell>
          <cell r="G3028">
            <v>350073</v>
          </cell>
          <cell r="H3028" t="str">
            <v>Mayday</v>
          </cell>
          <cell r="I3028">
            <v>0.625</v>
          </cell>
          <cell r="J3028">
            <v>0.84375</v>
          </cell>
          <cell r="K3028">
            <v>5.25</v>
          </cell>
          <cell r="L3028">
            <v>169.52</v>
          </cell>
          <cell r="O3028" t="str">
            <v>Y</v>
          </cell>
          <cell r="P3028" t="str">
            <v>N</v>
          </cell>
          <cell r="Q3028" t="str">
            <v>Extra Capacity</v>
          </cell>
          <cell r="S3028">
            <v>0.14000000000000001</v>
          </cell>
        </row>
        <row r="3029">
          <cell r="D3029">
            <v>1108004552</v>
          </cell>
          <cell r="E3029" t="str">
            <v>OMAR SENGHORE</v>
          </cell>
          <cell r="F3029" t="str">
            <v>D (MD)</v>
          </cell>
          <cell r="G3029">
            <v>348621</v>
          </cell>
          <cell r="H3029" t="str">
            <v>Mayday</v>
          </cell>
          <cell r="I3029">
            <v>0.83333333333333337</v>
          </cell>
          <cell r="J3029">
            <v>0.33333333333333331</v>
          </cell>
          <cell r="K3029">
            <v>11.3333333333333</v>
          </cell>
          <cell r="L3029">
            <v>475.74</v>
          </cell>
          <cell r="O3029" t="str">
            <v>Y</v>
          </cell>
          <cell r="P3029" t="str">
            <v>N</v>
          </cell>
          <cell r="Q3029" t="str">
            <v>Extra Capacity</v>
          </cell>
          <cell r="S3029">
            <v>0.3</v>
          </cell>
        </row>
        <row r="3030">
          <cell r="D3030">
            <v>1108004042</v>
          </cell>
          <cell r="E3030" t="str">
            <v>PARVATI GOORDIN</v>
          </cell>
          <cell r="F3030" t="str">
            <v>D (Amb)</v>
          </cell>
          <cell r="G3030">
            <v>763655</v>
          </cell>
          <cell r="H3030" t="str">
            <v>Ambition</v>
          </cell>
          <cell r="I3030">
            <v>0.5625</v>
          </cell>
          <cell r="J3030">
            <v>0.85416666666666663</v>
          </cell>
          <cell r="K3030">
            <v>6.6666666666666696</v>
          </cell>
          <cell r="L3030">
            <v>260.67</v>
          </cell>
          <cell r="O3030" t="str">
            <v>Y</v>
          </cell>
          <cell r="P3030" t="str">
            <v>N</v>
          </cell>
          <cell r="Q3030" t="str">
            <v>Vacancy</v>
          </cell>
          <cell r="S3030">
            <v>0.18</v>
          </cell>
        </row>
        <row r="3031">
          <cell r="D3031">
            <v>1108004524</v>
          </cell>
          <cell r="E3031" t="str">
            <v>PEGGY MAPOGO</v>
          </cell>
          <cell r="F3031" t="str">
            <v>D (Ch)</v>
          </cell>
          <cell r="G3031">
            <v>17466</v>
          </cell>
          <cell r="H3031" t="str">
            <v>Choice</v>
          </cell>
          <cell r="I3031">
            <v>0.3125</v>
          </cell>
          <cell r="J3031">
            <v>0.625</v>
          </cell>
          <cell r="K3031">
            <v>7.1666666666666696</v>
          </cell>
          <cell r="L3031">
            <v>174.65</v>
          </cell>
          <cell r="O3031" t="str">
            <v>Y</v>
          </cell>
          <cell r="P3031" t="str">
            <v>N</v>
          </cell>
          <cell r="Q3031" t="str">
            <v>Extra Capacity</v>
          </cell>
          <cell r="S3031">
            <v>0.19</v>
          </cell>
        </row>
        <row r="3032">
          <cell r="D3032">
            <v>1108004545</v>
          </cell>
          <cell r="E3032" t="str">
            <v>RITCHIE RUBIA</v>
          </cell>
          <cell r="F3032" t="str">
            <v>D (Ch)</v>
          </cell>
          <cell r="G3032">
            <v>17465</v>
          </cell>
          <cell r="H3032" t="str">
            <v>Choice</v>
          </cell>
          <cell r="I3032">
            <v>0.83333333333333337</v>
          </cell>
          <cell r="J3032">
            <v>0.33333333333333331</v>
          </cell>
          <cell r="K3032">
            <v>11.3333333333333</v>
          </cell>
          <cell r="L3032">
            <v>359.05</v>
          </cell>
          <cell r="O3032" t="str">
            <v>Y</v>
          </cell>
          <cell r="P3032" t="str">
            <v>N</v>
          </cell>
          <cell r="Q3032" t="str">
            <v>Extra Capacity</v>
          </cell>
          <cell r="S3032">
            <v>0.3</v>
          </cell>
        </row>
        <row r="3033">
          <cell r="D3033">
            <v>1108001871</v>
          </cell>
          <cell r="E3033" t="str">
            <v>RODA RAMERIZ</v>
          </cell>
          <cell r="F3033" t="str">
            <v>D (Ch)</v>
          </cell>
          <cell r="G3033">
            <v>17447</v>
          </cell>
          <cell r="H3033" t="str">
            <v>Choice</v>
          </cell>
          <cell r="I3033">
            <v>0.84375</v>
          </cell>
          <cell r="J3033">
            <v>0.3125</v>
          </cell>
          <cell r="K3033">
            <v>10.25</v>
          </cell>
          <cell r="L3033">
            <v>324.73</v>
          </cell>
          <cell r="O3033" t="str">
            <v>Y</v>
          </cell>
          <cell r="P3033" t="str">
            <v>N</v>
          </cell>
          <cell r="Q3033" t="str">
            <v>Vacancy</v>
          </cell>
          <cell r="S3033">
            <v>0.27</v>
          </cell>
        </row>
        <row r="3034">
          <cell r="D3034">
            <v>1108002299</v>
          </cell>
          <cell r="E3034" t="str">
            <v>ROHEYATOU NDOW-NJIE</v>
          </cell>
          <cell r="F3034" t="str">
            <v>D (Ch)</v>
          </cell>
          <cell r="H3034" t="str">
            <v>Choice</v>
          </cell>
          <cell r="I3034">
            <v>0.3125</v>
          </cell>
          <cell r="J3034">
            <v>0.54166666666666663</v>
          </cell>
          <cell r="K3034">
            <v>5.5</v>
          </cell>
          <cell r="L3034">
            <v>134.03</v>
          </cell>
          <cell r="O3034" t="str">
            <v>Y</v>
          </cell>
          <cell r="P3034" t="str">
            <v>N</v>
          </cell>
          <cell r="Q3034" t="str">
            <v>Vacancy</v>
          </cell>
          <cell r="S3034">
            <v>0.15</v>
          </cell>
        </row>
        <row r="3035">
          <cell r="D3035">
            <v>1208000459</v>
          </cell>
          <cell r="E3035" t="str">
            <v>SEMA CHAMANE</v>
          </cell>
          <cell r="F3035" t="str">
            <v>A (Ch)</v>
          </cell>
          <cell r="H3035" t="str">
            <v>Choice</v>
          </cell>
          <cell r="I3035">
            <v>0.83333333333333337</v>
          </cell>
          <cell r="J3035">
            <v>0.33333333333333331</v>
          </cell>
          <cell r="K3035">
            <v>11.3333333333333</v>
          </cell>
          <cell r="L3035">
            <v>167.58</v>
          </cell>
          <cell r="O3035" t="str">
            <v>Y</v>
          </cell>
          <cell r="P3035" t="str">
            <v>N</v>
          </cell>
          <cell r="Q3035" t="str">
            <v>Extra Capacity</v>
          </cell>
          <cell r="S3035">
            <v>0.3</v>
          </cell>
        </row>
        <row r="3036">
          <cell r="D3036">
            <v>1108006193</v>
          </cell>
          <cell r="E3036" t="str">
            <v>TEMBE NGIDI</v>
          </cell>
          <cell r="F3036" t="str">
            <v>D (MD)</v>
          </cell>
          <cell r="G3036">
            <v>348336</v>
          </cell>
          <cell r="H3036" t="str">
            <v>Mayday</v>
          </cell>
          <cell r="I3036">
            <v>0.8125</v>
          </cell>
          <cell r="J3036">
            <v>0.33333333333333331</v>
          </cell>
          <cell r="K3036">
            <v>11.8333333333333</v>
          </cell>
          <cell r="L3036">
            <v>496.73</v>
          </cell>
          <cell r="O3036" t="str">
            <v>Y</v>
          </cell>
          <cell r="P3036" t="str">
            <v>N</v>
          </cell>
          <cell r="Q3036" t="str">
            <v>Vacancy</v>
          </cell>
          <cell r="S3036">
            <v>0.32</v>
          </cell>
        </row>
        <row r="3037">
          <cell r="D3037">
            <v>1208000002</v>
          </cell>
          <cell r="E3037" t="str">
            <v>TOGA MARAHWA</v>
          </cell>
          <cell r="F3037" t="str">
            <v>D (MD)</v>
          </cell>
          <cell r="G3037">
            <v>348688</v>
          </cell>
          <cell r="H3037" t="str">
            <v>Mayday</v>
          </cell>
          <cell r="I3037">
            <v>0.29166666666666669</v>
          </cell>
          <cell r="J3037">
            <v>0.625</v>
          </cell>
          <cell r="K3037">
            <v>7.6666666666666696</v>
          </cell>
          <cell r="L3037">
            <v>247.56</v>
          </cell>
          <cell r="O3037" t="str">
            <v>Y</v>
          </cell>
          <cell r="P3037" t="str">
            <v>N</v>
          </cell>
          <cell r="Q3037" t="str">
            <v>Specials</v>
          </cell>
          <cell r="S3037">
            <v>0.2</v>
          </cell>
        </row>
        <row r="3038">
          <cell r="D3038">
            <v>1208000004</v>
          </cell>
          <cell r="E3038" t="str">
            <v>TOGA MARAHWA</v>
          </cell>
          <cell r="F3038" t="str">
            <v>D (MD)</v>
          </cell>
          <cell r="G3038">
            <v>348688</v>
          </cell>
          <cell r="H3038" t="str">
            <v>Mayday</v>
          </cell>
          <cell r="I3038">
            <v>0.625</v>
          </cell>
          <cell r="J3038">
            <v>0.88541666666666663</v>
          </cell>
          <cell r="K3038">
            <v>5.9166666666666696</v>
          </cell>
          <cell r="L3038">
            <v>191.05</v>
          </cell>
          <cell r="O3038" t="str">
            <v>Y</v>
          </cell>
          <cell r="P3038" t="str">
            <v>N</v>
          </cell>
          <cell r="Q3038" t="str">
            <v>Specials</v>
          </cell>
          <cell r="S3038">
            <v>0.16</v>
          </cell>
        </row>
        <row r="3039">
          <cell r="D3039">
            <v>1208000929</v>
          </cell>
          <cell r="E3039" t="str">
            <v>TRUST CHIWUNDURA</v>
          </cell>
          <cell r="F3039" t="str">
            <v>A (Ch)</v>
          </cell>
          <cell r="H3039" t="str">
            <v>Choice</v>
          </cell>
          <cell r="I3039">
            <v>0.83333333333333337</v>
          </cell>
          <cell r="J3039">
            <v>0.33333333333333331</v>
          </cell>
          <cell r="K3039">
            <v>11.3333333333333</v>
          </cell>
          <cell r="L3039">
            <v>167.58</v>
          </cell>
          <cell r="O3039" t="str">
            <v>Y</v>
          </cell>
          <cell r="P3039" t="str">
            <v>N</v>
          </cell>
          <cell r="Q3039" t="str">
            <v>Vacancy</v>
          </cell>
          <cell r="S3039">
            <v>0.3</v>
          </cell>
        </row>
        <row r="3040">
          <cell r="D3040">
            <v>1208000006</v>
          </cell>
          <cell r="E3040" t="str">
            <v>VIJAY PANDYA</v>
          </cell>
          <cell r="F3040" t="str">
            <v>D (MD)</v>
          </cell>
          <cell r="G3040">
            <v>348788</v>
          </cell>
          <cell r="H3040" t="str">
            <v>Mayday</v>
          </cell>
          <cell r="I3040">
            <v>0.88541666666666663</v>
          </cell>
          <cell r="J3040">
            <v>0.3125</v>
          </cell>
          <cell r="K3040">
            <v>9.25</v>
          </cell>
          <cell r="L3040">
            <v>388.29</v>
          </cell>
          <cell r="O3040" t="str">
            <v>Y</v>
          </cell>
          <cell r="P3040" t="str">
            <v>N</v>
          </cell>
          <cell r="Q3040" t="str">
            <v>Specials</v>
          </cell>
          <cell r="S3040">
            <v>0.25</v>
          </cell>
        </row>
        <row r="3041">
          <cell r="D3041">
            <v>1208000604</v>
          </cell>
          <cell r="E3041" t="str">
            <v>ALLI SUBRAMANIAM</v>
          </cell>
          <cell r="F3041" t="str">
            <v>D (MD)</v>
          </cell>
          <cell r="H3041" t="str">
            <v>Mayday</v>
          </cell>
          <cell r="I3041">
            <v>0.3125</v>
          </cell>
          <cell r="J3041">
            <v>0.625</v>
          </cell>
          <cell r="K3041">
            <v>7.1666666666666696</v>
          </cell>
          <cell r="L3041">
            <v>231.41</v>
          </cell>
          <cell r="O3041" t="str">
            <v>Y</v>
          </cell>
          <cell r="P3041" t="str">
            <v>N</v>
          </cell>
          <cell r="Q3041" t="str">
            <v>Extra Capacity</v>
          </cell>
          <cell r="S3041">
            <v>0.19</v>
          </cell>
        </row>
        <row r="3042">
          <cell r="D3042">
            <v>1208001033</v>
          </cell>
          <cell r="E3042" t="str">
            <v>ATINUKE OKE-OLATUNDE</v>
          </cell>
          <cell r="F3042" t="str">
            <v>D (MD)</v>
          </cell>
          <cell r="G3042">
            <v>348827</v>
          </cell>
          <cell r="H3042" t="str">
            <v>Mayday</v>
          </cell>
          <cell r="I3042">
            <v>0.84375</v>
          </cell>
          <cell r="J3042">
            <v>0.34375</v>
          </cell>
          <cell r="K3042">
            <v>11.3333333333333</v>
          </cell>
          <cell r="L3042">
            <v>475.74</v>
          </cell>
          <cell r="O3042" t="str">
            <v>Y</v>
          </cell>
          <cell r="P3042" t="str">
            <v>N</v>
          </cell>
          <cell r="Q3042" t="str">
            <v>Short Term Sick</v>
          </cell>
          <cell r="S3042">
            <v>0.3</v>
          </cell>
        </row>
        <row r="3043">
          <cell r="D3043">
            <v>1108006161</v>
          </cell>
          <cell r="E3043" t="str">
            <v>BERNADETTE SHINYA-NDUNUWANI</v>
          </cell>
          <cell r="F3043" t="str">
            <v>D (MD)</v>
          </cell>
          <cell r="G3043">
            <v>348331</v>
          </cell>
          <cell r="H3043" t="str">
            <v>Mayday</v>
          </cell>
          <cell r="I3043">
            <v>0.3125</v>
          </cell>
          <cell r="J3043">
            <v>0.83333333333333337</v>
          </cell>
          <cell r="K3043">
            <v>11.8333333333333</v>
          </cell>
          <cell r="L3043">
            <v>382.1</v>
          </cell>
          <cell r="O3043" t="str">
            <v>Y</v>
          </cell>
          <cell r="P3043" t="str">
            <v>N</v>
          </cell>
          <cell r="Q3043" t="str">
            <v>Short Term Sick</v>
          </cell>
          <cell r="S3043">
            <v>0.32</v>
          </cell>
        </row>
        <row r="3044">
          <cell r="D3044">
            <v>1108006167</v>
          </cell>
          <cell r="E3044" t="str">
            <v>BRIGHTNESS NDEBELE</v>
          </cell>
          <cell r="F3044" t="str">
            <v>D (MD)</v>
          </cell>
          <cell r="G3044">
            <v>349844</v>
          </cell>
          <cell r="H3044" t="str">
            <v>Mayday</v>
          </cell>
          <cell r="I3044">
            <v>0.3125</v>
          </cell>
          <cell r="J3044">
            <v>0.83333333333333337</v>
          </cell>
          <cell r="K3044">
            <v>11.8333333333333</v>
          </cell>
          <cell r="L3044">
            <v>382.1</v>
          </cell>
          <cell r="O3044" t="str">
            <v>Y</v>
          </cell>
          <cell r="P3044" t="str">
            <v>N</v>
          </cell>
          <cell r="Q3044" t="str">
            <v>Vacancy</v>
          </cell>
          <cell r="S3044">
            <v>0.32</v>
          </cell>
        </row>
        <row r="3045">
          <cell r="D3045">
            <v>1208000974</v>
          </cell>
          <cell r="E3045" t="str">
            <v>CATH CHIDAVAYENZI</v>
          </cell>
          <cell r="F3045" t="str">
            <v>D (Ch)</v>
          </cell>
          <cell r="G3045">
            <v>17465</v>
          </cell>
          <cell r="H3045" t="str">
            <v>Choice</v>
          </cell>
          <cell r="I3045">
            <v>0.84375</v>
          </cell>
          <cell r="J3045">
            <v>0.34375</v>
          </cell>
          <cell r="K3045">
            <v>11.3333333333333</v>
          </cell>
          <cell r="L3045">
            <v>359.05</v>
          </cell>
          <cell r="O3045" t="str">
            <v>Y</v>
          </cell>
          <cell r="P3045" t="str">
            <v>N</v>
          </cell>
          <cell r="Q3045" t="str">
            <v>Vacancy</v>
          </cell>
          <cell r="S3045">
            <v>0.3</v>
          </cell>
        </row>
        <row r="3046">
          <cell r="D3046">
            <v>1108004987</v>
          </cell>
          <cell r="E3046" t="str">
            <v>CHRIS STULAR</v>
          </cell>
          <cell r="F3046" t="str">
            <v>D General (Orio</v>
          </cell>
          <cell r="G3046" t="str">
            <v>Invsd Smt checked</v>
          </cell>
          <cell r="H3046" t="str">
            <v>Orion</v>
          </cell>
          <cell r="I3046">
            <v>0.33333333333333331</v>
          </cell>
          <cell r="J3046">
            <v>0.75</v>
          </cell>
          <cell r="K3046">
            <v>9.5</v>
          </cell>
          <cell r="L3046">
            <v>172.14</v>
          </cell>
          <cell r="O3046" t="str">
            <v>Y</v>
          </cell>
          <cell r="P3046" t="str">
            <v>N</v>
          </cell>
          <cell r="Q3046" t="str">
            <v>Backfill</v>
          </cell>
          <cell r="S3046">
            <v>0.25</v>
          </cell>
        </row>
        <row r="3047">
          <cell r="D3047">
            <v>1208000471</v>
          </cell>
          <cell r="E3047" t="str">
            <v>DAMILOLA AIKI</v>
          </cell>
          <cell r="F3047" t="str">
            <v>A (Ch)</v>
          </cell>
          <cell r="H3047" t="str">
            <v>Choice</v>
          </cell>
          <cell r="I3047">
            <v>0.3125</v>
          </cell>
          <cell r="J3047">
            <v>0.64583333333333337</v>
          </cell>
          <cell r="K3047">
            <v>7.6666666666666696</v>
          </cell>
          <cell r="L3047">
            <v>85.02</v>
          </cell>
          <cell r="O3047" t="str">
            <v>Y</v>
          </cell>
          <cell r="P3047" t="str">
            <v>N</v>
          </cell>
          <cell r="Q3047" t="str">
            <v>Extra Capacity</v>
          </cell>
          <cell r="S3047">
            <v>0.2</v>
          </cell>
        </row>
        <row r="3048">
          <cell r="D3048">
            <v>1208000475</v>
          </cell>
          <cell r="E3048" t="str">
            <v>DAMILOLA AIKI</v>
          </cell>
          <cell r="F3048" t="str">
            <v>A (Ch)</v>
          </cell>
          <cell r="H3048" t="str">
            <v>Choice</v>
          </cell>
          <cell r="I3048">
            <v>0.64583333333333337</v>
          </cell>
          <cell r="J3048">
            <v>0.85416666666666663</v>
          </cell>
          <cell r="K3048">
            <v>5</v>
          </cell>
          <cell r="L3048">
            <v>55.45</v>
          </cell>
          <cell r="O3048" t="str">
            <v>Y</v>
          </cell>
          <cell r="P3048" t="str">
            <v>N</v>
          </cell>
          <cell r="Q3048" t="str">
            <v>Extra Capacity</v>
          </cell>
          <cell r="S3048">
            <v>0.13</v>
          </cell>
        </row>
        <row r="3049">
          <cell r="D3049">
            <v>1208000607</v>
          </cell>
          <cell r="E3049" t="str">
            <v>EUNICE ADEBANJO</v>
          </cell>
          <cell r="F3049" t="str">
            <v>D (Ch)</v>
          </cell>
          <cell r="G3049">
            <v>17466</v>
          </cell>
          <cell r="H3049" t="str">
            <v>Choice</v>
          </cell>
          <cell r="I3049">
            <v>0.83333333333333337</v>
          </cell>
          <cell r="J3049">
            <v>0.33333333333333331</v>
          </cell>
          <cell r="K3049">
            <v>11.3333333333333</v>
          </cell>
          <cell r="L3049">
            <v>359.05</v>
          </cell>
          <cell r="O3049" t="str">
            <v>Y</v>
          </cell>
          <cell r="P3049" t="str">
            <v>N</v>
          </cell>
          <cell r="Q3049" t="str">
            <v>Extra Capacity</v>
          </cell>
          <cell r="S3049">
            <v>0.3</v>
          </cell>
        </row>
        <row r="3050">
          <cell r="D3050">
            <v>1008004694</v>
          </cell>
          <cell r="E3050" t="str">
            <v>EVELYN PANESA</v>
          </cell>
          <cell r="F3050" t="str">
            <v>D (Ch)</v>
          </cell>
          <cell r="G3050">
            <v>17444</v>
          </cell>
          <cell r="H3050" t="str">
            <v>Choice</v>
          </cell>
          <cell r="I3050">
            <v>0.29166666666666669</v>
          </cell>
          <cell r="J3050">
            <v>0.54166666666666663</v>
          </cell>
          <cell r="K3050">
            <v>5.6666666666666696</v>
          </cell>
          <cell r="L3050">
            <v>138.1</v>
          </cell>
          <cell r="O3050" t="str">
            <v>Y</v>
          </cell>
          <cell r="P3050" t="str">
            <v>N</v>
          </cell>
          <cell r="Q3050" t="str">
            <v>Vacancy</v>
          </cell>
          <cell r="S3050">
            <v>0.15</v>
          </cell>
        </row>
        <row r="3051">
          <cell r="D3051">
            <v>1108005145</v>
          </cell>
          <cell r="E3051" t="str">
            <v>FIONA DURKIN-GREER</v>
          </cell>
          <cell r="F3051" t="str">
            <v>D (MD)</v>
          </cell>
          <cell r="G3051">
            <v>348287</v>
          </cell>
          <cell r="H3051" t="str">
            <v>Mayday</v>
          </cell>
          <cell r="I3051">
            <v>0.3125</v>
          </cell>
          <cell r="J3051">
            <v>0.5625</v>
          </cell>
          <cell r="K3051">
            <v>5.6666666666666696</v>
          </cell>
          <cell r="L3051">
            <v>182.98</v>
          </cell>
          <cell r="O3051" t="str">
            <v>Y</v>
          </cell>
          <cell r="P3051" t="str">
            <v>N</v>
          </cell>
          <cell r="Q3051" t="str">
            <v>Nurse Moved</v>
          </cell>
          <cell r="S3051">
            <v>0.15</v>
          </cell>
        </row>
        <row r="3052">
          <cell r="D3052">
            <v>1208000470</v>
          </cell>
          <cell r="E3052" t="str">
            <v>GRACE MALUPE</v>
          </cell>
          <cell r="F3052" t="str">
            <v>A (Ch)</v>
          </cell>
          <cell r="G3052">
            <v>17451</v>
          </cell>
          <cell r="H3052" t="str">
            <v>Choice</v>
          </cell>
          <cell r="I3052">
            <v>0.3125</v>
          </cell>
          <cell r="J3052">
            <v>0.64583333333333337</v>
          </cell>
          <cell r="K3052">
            <v>7.6666666666666696</v>
          </cell>
          <cell r="L3052">
            <v>85.02</v>
          </cell>
          <cell r="O3052" t="str">
            <v>Y</v>
          </cell>
          <cell r="P3052" t="str">
            <v>N</v>
          </cell>
          <cell r="Q3052" t="str">
            <v>Extra Capacity</v>
          </cell>
          <cell r="S3052">
            <v>0.2</v>
          </cell>
        </row>
        <row r="3053">
          <cell r="D3053">
            <v>1208000474</v>
          </cell>
          <cell r="E3053" t="str">
            <v>GRACE MALUPE</v>
          </cell>
          <cell r="F3053" t="str">
            <v>A (Ch)</v>
          </cell>
          <cell r="G3053">
            <v>17451</v>
          </cell>
          <cell r="H3053" t="str">
            <v>Choice</v>
          </cell>
          <cell r="I3053">
            <v>0.64583333333333337</v>
          </cell>
          <cell r="J3053">
            <v>0.85416666666666663</v>
          </cell>
          <cell r="K3053">
            <v>5</v>
          </cell>
          <cell r="L3053">
            <v>55.45</v>
          </cell>
          <cell r="O3053" t="str">
            <v>Y</v>
          </cell>
          <cell r="P3053" t="str">
            <v>N</v>
          </cell>
          <cell r="Q3053" t="str">
            <v>Extra Capacity</v>
          </cell>
          <cell r="S3053">
            <v>0.13</v>
          </cell>
        </row>
        <row r="3054">
          <cell r="D3054">
            <v>1108006547</v>
          </cell>
          <cell r="E3054" t="str">
            <v>JAKE BROOKES</v>
          </cell>
          <cell r="F3054" t="str">
            <v>D General (Orio</v>
          </cell>
          <cell r="G3054" t="str">
            <v>Invsd Smt checked</v>
          </cell>
          <cell r="H3054" t="str">
            <v>Orion</v>
          </cell>
          <cell r="I3054">
            <v>0.33333333333333331</v>
          </cell>
          <cell r="J3054">
            <v>0.75</v>
          </cell>
          <cell r="K3054">
            <v>9.6666666666666696</v>
          </cell>
          <cell r="L3054">
            <v>175.16</v>
          </cell>
          <cell r="O3054" t="str">
            <v>Y</v>
          </cell>
          <cell r="P3054" t="str">
            <v>N</v>
          </cell>
          <cell r="Q3054" t="str">
            <v>Vacancy</v>
          </cell>
          <cell r="S3054">
            <v>0.26</v>
          </cell>
        </row>
        <row r="3055">
          <cell r="D3055">
            <v>1108006378</v>
          </cell>
          <cell r="E3055" t="str">
            <v>JAMES MCCLEMENTS</v>
          </cell>
          <cell r="F3055" t="str">
            <v>D (MD)</v>
          </cell>
          <cell r="G3055">
            <v>348290</v>
          </cell>
          <cell r="H3055" t="str">
            <v>Mayday</v>
          </cell>
          <cell r="I3055">
            <v>0.3125</v>
          </cell>
          <cell r="J3055">
            <v>0.83333333333333337</v>
          </cell>
          <cell r="K3055">
            <v>11.8333333333333</v>
          </cell>
          <cell r="L3055">
            <v>382.1</v>
          </cell>
          <cell r="O3055" t="str">
            <v>Y</v>
          </cell>
          <cell r="P3055" t="str">
            <v>N</v>
          </cell>
          <cell r="Q3055" t="str">
            <v>Extra Capacity</v>
          </cell>
          <cell r="S3055">
            <v>0.32</v>
          </cell>
        </row>
        <row r="3056">
          <cell r="D3056">
            <v>1208000973</v>
          </cell>
          <cell r="E3056" t="str">
            <v>JANE DUNSMURE</v>
          </cell>
          <cell r="F3056" t="str">
            <v>D/5 (PS)</v>
          </cell>
          <cell r="H3056" t="str">
            <v>Pinnacle Staffing</v>
          </cell>
          <cell r="I3056">
            <v>0.82291666666666663</v>
          </cell>
          <cell r="J3056">
            <v>0.34375</v>
          </cell>
          <cell r="K3056">
            <v>11.5</v>
          </cell>
          <cell r="L3056">
            <v>254</v>
          </cell>
          <cell r="O3056" t="str">
            <v>Y</v>
          </cell>
          <cell r="P3056" t="str">
            <v>N</v>
          </cell>
          <cell r="Q3056" t="str">
            <v>Short Term Sick</v>
          </cell>
          <cell r="S3056">
            <v>0.31</v>
          </cell>
        </row>
        <row r="3057">
          <cell r="D3057">
            <v>1108002975</v>
          </cell>
          <cell r="E3057" t="str">
            <v>JEAN NGONA</v>
          </cell>
          <cell r="F3057" t="str">
            <v>D (MD)</v>
          </cell>
          <cell r="G3057">
            <v>349789</v>
          </cell>
          <cell r="H3057" t="str">
            <v>Mayday</v>
          </cell>
          <cell r="I3057">
            <v>0.5625</v>
          </cell>
          <cell r="J3057">
            <v>0.85416666666666663</v>
          </cell>
          <cell r="K3057">
            <v>6.6666666666666696</v>
          </cell>
          <cell r="L3057">
            <v>215.27</v>
          </cell>
          <cell r="O3057" t="str">
            <v>Y</v>
          </cell>
          <cell r="P3057" t="str">
            <v>N</v>
          </cell>
          <cell r="Q3057" t="str">
            <v>Under Established</v>
          </cell>
          <cell r="S3057">
            <v>0.18</v>
          </cell>
        </row>
        <row r="3058">
          <cell r="D3058">
            <v>1108005311</v>
          </cell>
          <cell r="E3058" t="str">
            <v>JEAN NGONA</v>
          </cell>
          <cell r="F3058" t="str">
            <v>D (MD)</v>
          </cell>
          <cell r="G3058">
            <v>349789</v>
          </cell>
          <cell r="H3058" t="str">
            <v>Mayday</v>
          </cell>
          <cell r="I3058">
            <v>0.3125</v>
          </cell>
          <cell r="J3058">
            <v>0.5625</v>
          </cell>
          <cell r="K3058">
            <v>5.6666666666666696</v>
          </cell>
          <cell r="L3058">
            <v>182.98</v>
          </cell>
          <cell r="O3058" t="str">
            <v>Y</v>
          </cell>
          <cell r="P3058" t="str">
            <v>N</v>
          </cell>
          <cell r="Q3058" t="str">
            <v>Under Established</v>
          </cell>
          <cell r="S3058">
            <v>0.15</v>
          </cell>
        </row>
        <row r="3059">
          <cell r="D3059">
            <v>1208000463</v>
          </cell>
          <cell r="E3059" t="str">
            <v>JOANNE BUSS</v>
          </cell>
          <cell r="F3059" t="str">
            <v>D (MD)</v>
          </cell>
          <cell r="G3059">
            <v>348641</v>
          </cell>
          <cell r="H3059" t="str">
            <v>Mayday</v>
          </cell>
          <cell r="I3059">
            <v>0.3125</v>
          </cell>
          <cell r="J3059">
            <v>0.64583333333333337</v>
          </cell>
          <cell r="K3059">
            <v>7.6666666666666696</v>
          </cell>
          <cell r="L3059">
            <v>247.56</v>
          </cell>
          <cell r="O3059" t="str">
            <v>Y</v>
          </cell>
          <cell r="P3059" t="str">
            <v>N</v>
          </cell>
          <cell r="Q3059" t="str">
            <v>Extra Capacity</v>
          </cell>
          <cell r="S3059">
            <v>0.2</v>
          </cell>
        </row>
        <row r="3060">
          <cell r="D3060">
            <v>1208000876</v>
          </cell>
          <cell r="E3060" t="str">
            <v>JOSEPHINE MOLLOY</v>
          </cell>
          <cell r="F3060" t="str">
            <v>D (Amb)</v>
          </cell>
          <cell r="G3060">
            <v>766404</v>
          </cell>
          <cell r="H3060" t="str">
            <v>Ambition</v>
          </cell>
          <cell r="I3060">
            <v>0.8125</v>
          </cell>
          <cell r="J3060">
            <v>0.33333333333333331</v>
          </cell>
          <cell r="K3060">
            <v>11.8333333333333</v>
          </cell>
          <cell r="L3060">
            <v>601.49</v>
          </cell>
          <cell r="O3060" t="str">
            <v>Y</v>
          </cell>
          <cell r="P3060" t="str">
            <v>N</v>
          </cell>
          <cell r="Q3060" t="str">
            <v>Extra Capacity</v>
          </cell>
          <cell r="S3060">
            <v>0.32</v>
          </cell>
        </row>
        <row r="3061">
          <cell r="D3061">
            <v>1208000975</v>
          </cell>
          <cell r="E3061" t="str">
            <v>JOY MABITLE</v>
          </cell>
          <cell r="F3061" t="str">
            <v>D (MD)</v>
          </cell>
          <cell r="G3061">
            <v>367383</v>
          </cell>
          <cell r="H3061" t="str">
            <v>Mayday</v>
          </cell>
          <cell r="I3061">
            <v>0.84375</v>
          </cell>
          <cell r="J3061">
            <v>0.34375</v>
          </cell>
          <cell r="K3061">
            <v>11.3333333333333</v>
          </cell>
          <cell r="L3061">
            <v>475.74</v>
          </cell>
          <cell r="O3061" t="str">
            <v>Y</v>
          </cell>
          <cell r="P3061" t="str">
            <v>N</v>
          </cell>
          <cell r="Q3061" t="str">
            <v>Vacancy</v>
          </cell>
          <cell r="S3061">
            <v>0.3</v>
          </cell>
        </row>
        <row r="3062">
          <cell r="D3062">
            <v>1208000606</v>
          </cell>
          <cell r="E3062" t="str">
            <v>KAREN STRUDWICK</v>
          </cell>
          <cell r="F3062" t="str">
            <v>D (Ch)</v>
          </cell>
          <cell r="H3062" t="str">
            <v>Choice</v>
          </cell>
          <cell r="I3062">
            <v>0.83333333333333337</v>
          </cell>
          <cell r="J3062">
            <v>0.33333333333333331</v>
          </cell>
          <cell r="K3062">
            <v>11.3333333333333</v>
          </cell>
          <cell r="L3062">
            <v>359.05</v>
          </cell>
          <cell r="O3062" t="str">
            <v>Y</v>
          </cell>
          <cell r="P3062" t="str">
            <v>N</v>
          </cell>
          <cell r="Q3062" t="str">
            <v>Extra Capacity</v>
          </cell>
          <cell r="S3062">
            <v>0.3</v>
          </cell>
        </row>
        <row r="3063">
          <cell r="D3063">
            <v>1008006901</v>
          </cell>
          <cell r="E3063" t="str">
            <v>KATIE KEAVENEY</v>
          </cell>
          <cell r="F3063" t="str">
            <v>D (MD)</v>
          </cell>
          <cell r="G3063">
            <v>348678</v>
          </cell>
          <cell r="H3063" t="str">
            <v>Mayday</v>
          </cell>
          <cell r="I3063">
            <v>0.625</v>
          </cell>
          <cell r="J3063">
            <v>0.85416666666666663</v>
          </cell>
          <cell r="K3063">
            <v>5.5</v>
          </cell>
          <cell r="L3063">
            <v>177.59</v>
          </cell>
          <cell r="O3063" t="str">
            <v>Y</v>
          </cell>
          <cell r="P3063" t="str">
            <v>N</v>
          </cell>
          <cell r="Q3063" t="str">
            <v>Vacancy</v>
          </cell>
          <cell r="S3063">
            <v>0.15</v>
          </cell>
        </row>
        <row r="3064">
          <cell r="D3064">
            <v>1108003522</v>
          </cell>
          <cell r="E3064" t="str">
            <v>KATIE KEAVENEY</v>
          </cell>
          <cell r="F3064" t="str">
            <v>D (MD)</v>
          </cell>
          <cell r="G3064">
            <v>348678</v>
          </cell>
          <cell r="H3064" t="str">
            <v>Mayday</v>
          </cell>
          <cell r="I3064">
            <v>0.3125</v>
          </cell>
          <cell r="J3064">
            <v>0.5625</v>
          </cell>
          <cell r="K3064">
            <v>5.6666666666666696</v>
          </cell>
          <cell r="L3064">
            <v>182.98</v>
          </cell>
          <cell r="O3064" t="str">
            <v>Y</v>
          </cell>
          <cell r="P3064" t="str">
            <v>N</v>
          </cell>
          <cell r="Q3064" t="str">
            <v>Vacancy</v>
          </cell>
          <cell r="S3064">
            <v>0.15</v>
          </cell>
        </row>
        <row r="3065">
          <cell r="D3065">
            <v>1208000672</v>
          </cell>
          <cell r="E3065" t="str">
            <v>KEN GOORDIN</v>
          </cell>
          <cell r="F3065" t="str">
            <v>D (Ch)</v>
          </cell>
          <cell r="H3065" t="str">
            <v>Choice</v>
          </cell>
          <cell r="I3065">
            <v>0.875</v>
          </cell>
          <cell r="J3065">
            <v>0.33333333333333331</v>
          </cell>
          <cell r="K3065">
            <v>10</v>
          </cell>
          <cell r="L3065">
            <v>243.7</v>
          </cell>
          <cell r="O3065" t="str">
            <v>Y</v>
          </cell>
          <cell r="P3065" t="str">
            <v>N</v>
          </cell>
          <cell r="Q3065" t="str">
            <v>Specials</v>
          </cell>
          <cell r="S3065">
            <v>0.27</v>
          </cell>
        </row>
        <row r="3066">
          <cell r="D3066">
            <v>1208000468</v>
          </cell>
          <cell r="E3066" t="str">
            <v>LETECIA MENIANO</v>
          </cell>
          <cell r="F3066" t="str">
            <v>D (MD)</v>
          </cell>
          <cell r="G3066">
            <v>349838</v>
          </cell>
          <cell r="H3066" t="str">
            <v>Mayday</v>
          </cell>
          <cell r="I3066">
            <v>0.83333333333333337</v>
          </cell>
          <cell r="J3066">
            <v>0.33333333333333331</v>
          </cell>
          <cell r="K3066">
            <v>11.3333333333333</v>
          </cell>
          <cell r="L3066">
            <v>475.74</v>
          </cell>
          <cell r="O3066" t="str">
            <v>Y</v>
          </cell>
          <cell r="P3066" t="str">
            <v>N</v>
          </cell>
          <cell r="Q3066" t="str">
            <v>Extra Capacity</v>
          </cell>
          <cell r="S3066">
            <v>0.3</v>
          </cell>
        </row>
        <row r="3067">
          <cell r="D3067">
            <v>1208000960</v>
          </cell>
          <cell r="E3067" t="str">
            <v>MABEL MNISI</v>
          </cell>
          <cell r="F3067" t="str">
            <v>D (MD)</v>
          </cell>
          <cell r="G3067">
            <v>348297</v>
          </cell>
          <cell r="H3067" t="str">
            <v>Mayday</v>
          </cell>
          <cell r="I3067">
            <v>0.83333333333333337</v>
          </cell>
          <cell r="J3067">
            <v>0.33333333333333331</v>
          </cell>
          <cell r="K3067">
            <v>11.3333333333333</v>
          </cell>
          <cell r="L3067">
            <v>475.74</v>
          </cell>
          <cell r="O3067" t="str">
            <v>Y</v>
          </cell>
          <cell r="P3067" t="str">
            <v>N</v>
          </cell>
          <cell r="Q3067" t="str">
            <v>Nurse Moved</v>
          </cell>
          <cell r="S3067">
            <v>0.3</v>
          </cell>
        </row>
        <row r="3068">
          <cell r="D3068">
            <v>1208000469</v>
          </cell>
          <cell r="E3068" t="str">
            <v>MERCY SIBANDA</v>
          </cell>
          <cell r="F3068" t="str">
            <v>A (Ch)</v>
          </cell>
          <cell r="G3068">
            <v>17462</v>
          </cell>
          <cell r="H3068" t="str">
            <v>Choice</v>
          </cell>
          <cell r="I3068">
            <v>0.3125</v>
          </cell>
          <cell r="J3068">
            <v>0.64583333333333337</v>
          </cell>
          <cell r="K3068">
            <v>7.6666666666666696</v>
          </cell>
          <cell r="L3068">
            <v>85.02</v>
          </cell>
          <cell r="O3068" t="str">
            <v>Y</v>
          </cell>
          <cell r="P3068" t="str">
            <v>N</v>
          </cell>
          <cell r="Q3068" t="str">
            <v>Extra Capacity</v>
          </cell>
          <cell r="S3068">
            <v>0.2</v>
          </cell>
        </row>
        <row r="3069">
          <cell r="D3069">
            <v>1208000473</v>
          </cell>
          <cell r="E3069" t="str">
            <v>MERCY SIBANDA</v>
          </cell>
          <cell r="F3069" t="str">
            <v>A (Ch)</v>
          </cell>
          <cell r="G3069">
            <v>17462</v>
          </cell>
          <cell r="H3069" t="str">
            <v>Choice</v>
          </cell>
          <cell r="I3069">
            <v>0.64583333333333337</v>
          </cell>
          <cell r="J3069">
            <v>0.85416666666666663</v>
          </cell>
          <cell r="K3069">
            <v>5</v>
          </cell>
          <cell r="L3069">
            <v>55.45</v>
          </cell>
          <cell r="O3069" t="str">
            <v>Y</v>
          </cell>
          <cell r="P3069" t="str">
            <v>N</v>
          </cell>
          <cell r="Q3069" t="str">
            <v>Extra Capacity</v>
          </cell>
          <cell r="S3069">
            <v>0.13</v>
          </cell>
        </row>
        <row r="3070">
          <cell r="D3070">
            <v>1208000067</v>
          </cell>
          <cell r="E3070" t="str">
            <v>MIHAELA CHIRIBAU</v>
          </cell>
          <cell r="F3070" t="str">
            <v>D (MD)</v>
          </cell>
          <cell r="G3070">
            <v>349793</v>
          </cell>
          <cell r="H3070" t="str">
            <v>Mayday</v>
          </cell>
          <cell r="I3070">
            <v>0.60416666666666663</v>
          </cell>
          <cell r="J3070">
            <v>0.85416666666666663</v>
          </cell>
          <cell r="K3070">
            <v>5.6666666666666696</v>
          </cell>
          <cell r="L3070">
            <v>182.98</v>
          </cell>
          <cell r="O3070" t="str">
            <v>Y</v>
          </cell>
          <cell r="P3070" t="str">
            <v>N</v>
          </cell>
          <cell r="Q3070" t="str">
            <v>Extra Capacity</v>
          </cell>
          <cell r="S3070">
            <v>0.15</v>
          </cell>
        </row>
        <row r="3071">
          <cell r="D3071">
            <v>1208000092</v>
          </cell>
          <cell r="E3071" t="str">
            <v>MIHAELA CHIRIBAU</v>
          </cell>
          <cell r="F3071" t="str">
            <v>D (MD)</v>
          </cell>
          <cell r="G3071">
            <v>349793</v>
          </cell>
          <cell r="H3071" t="str">
            <v>Mayday</v>
          </cell>
          <cell r="I3071">
            <v>0.3125</v>
          </cell>
          <cell r="J3071">
            <v>0.60416666666666663</v>
          </cell>
          <cell r="K3071">
            <v>6.6666666666666696</v>
          </cell>
          <cell r="L3071">
            <v>215.27</v>
          </cell>
          <cell r="O3071" t="str">
            <v>Y</v>
          </cell>
          <cell r="P3071" t="str">
            <v>N</v>
          </cell>
          <cell r="Q3071" t="str">
            <v>Extra Capacity</v>
          </cell>
          <cell r="S3071">
            <v>0.18</v>
          </cell>
        </row>
        <row r="3072">
          <cell r="D3072">
            <v>1108004613</v>
          </cell>
          <cell r="E3072" t="str">
            <v>NKOSI BHEBHE</v>
          </cell>
          <cell r="F3072" t="str">
            <v>D (Amb)</v>
          </cell>
          <cell r="G3072">
            <v>766336</v>
          </cell>
          <cell r="H3072" t="str">
            <v>Ambition</v>
          </cell>
          <cell r="I3072">
            <v>0.5625</v>
          </cell>
          <cell r="J3072">
            <v>0.85416666666666663</v>
          </cell>
          <cell r="K3072">
            <v>6.6666666666666696</v>
          </cell>
          <cell r="L3072">
            <v>260.67</v>
          </cell>
          <cell r="O3072" t="str">
            <v>Y</v>
          </cell>
          <cell r="P3072" t="str">
            <v>N</v>
          </cell>
          <cell r="Q3072" t="str">
            <v>Long Term Sick</v>
          </cell>
          <cell r="S3072">
            <v>0.18</v>
          </cell>
        </row>
        <row r="3073">
          <cell r="D3073">
            <v>1008004003</v>
          </cell>
          <cell r="E3073" t="str">
            <v>OMAR SENGHORE</v>
          </cell>
          <cell r="F3073" t="str">
            <v>D (MD)</v>
          </cell>
          <cell r="G3073">
            <v>348327</v>
          </cell>
          <cell r="H3073" t="str">
            <v>Mayday</v>
          </cell>
          <cell r="I3073">
            <v>0.82291666666666663</v>
          </cell>
          <cell r="J3073">
            <v>0.34375</v>
          </cell>
          <cell r="K3073">
            <v>11.5</v>
          </cell>
          <cell r="L3073">
            <v>482.74</v>
          </cell>
          <cell r="O3073" t="str">
            <v>Y</v>
          </cell>
          <cell r="P3073" t="str">
            <v>N</v>
          </cell>
          <cell r="Q3073" t="str">
            <v>Vacancy</v>
          </cell>
          <cell r="S3073">
            <v>0.31</v>
          </cell>
        </row>
        <row r="3074">
          <cell r="D3074">
            <v>1008007344</v>
          </cell>
          <cell r="E3074" t="str">
            <v>PEGGY MAPOGO</v>
          </cell>
          <cell r="F3074" t="str">
            <v>D (Ch)</v>
          </cell>
          <cell r="G3074">
            <v>17453</v>
          </cell>
          <cell r="H3074" t="str">
            <v>Choice</v>
          </cell>
          <cell r="I3074">
            <v>0.5625</v>
          </cell>
          <cell r="J3074">
            <v>0.85416666666666663</v>
          </cell>
          <cell r="K3074">
            <v>6.6666666666666696</v>
          </cell>
          <cell r="L3074">
            <v>162.47</v>
          </cell>
          <cell r="M3074">
            <v>177.33243243243243</v>
          </cell>
          <cell r="O3074" t="str">
            <v>Y</v>
          </cell>
          <cell r="P3074" t="str">
            <v>N</v>
          </cell>
          <cell r="Q3074" t="str">
            <v>Vacancy</v>
          </cell>
          <cell r="S3074">
            <v>0.18</v>
          </cell>
        </row>
        <row r="3075">
          <cell r="D3075">
            <v>1108004045</v>
          </cell>
          <cell r="E3075" t="str">
            <v>PEGGY MAPOGO</v>
          </cell>
          <cell r="F3075" t="str">
            <v>D (Ch)</v>
          </cell>
          <cell r="G3075">
            <v>17453</v>
          </cell>
          <cell r="H3075" t="str">
            <v>Choice</v>
          </cell>
          <cell r="I3075">
            <v>0.3125</v>
          </cell>
          <cell r="J3075">
            <v>0.5625</v>
          </cell>
          <cell r="K3075">
            <v>5.6666666666666696</v>
          </cell>
          <cell r="L3075">
            <v>138.1</v>
          </cell>
          <cell r="M3075">
            <v>150.73256756756757</v>
          </cell>
          <cell r="O3075" t="str">
            <v>Y</v>
          </cell>
          <cell r="P3075" t="str">
            <v>N</v>
          </cell>
          <cell r="Q3075" t="str">
            <v>Vacancy</v>
          </cell>
          <cell r="S3075">
            <v>0.15</v>
          </cell>
        </row>
        <row r="3076">
          <cell r="D3076">
            <v>1208000603</v>
          </cell>
          <cell r="E3076" t="str">
            <v>PRICILLA SONO</v>
          </cell>
          <cell r="F3076" t="str">
            <v>D (MD)</v>
          </cell>
          <cell r="G3076">
            <v>351441</v>
          </cell>
          <cell r="H3076" t="str">
            <v>Mayday</v>
          </cell>
          <cell r="I3076">
            <v>0.3125</v>
          </cell>
          <cell r="J3076">
            <v>0.625</v>
          </cell>
          <cell r="K3076">
            <v>7.1666666666666696</v>
          </cell>
          <cell r="L3076">
            <v>231.41</v>
          </cell>
          <cell r="O3076" t="str">
            <v>Y</v>
          </cell>
          <cell r="P3076" t="str">
            <v>N</v>
          </cell>
          <cell r="Q3076" t="str">
            <v>Extra Capacity</v>
          </cell>
          <cell r="S3076">
            <v>0.19</v>
          </cell>
        </row>
        <row r="3077">
          <cell r="D3077">
            <v>1208000605</v>
          </cell>
          <cell r="E3077" t="str">
            <v>PRICILLA SONO</v>
          </cell>
          <cell r="F3077" t="str">
            <v>D (MD)</v>
          </cell>
          <cell r="G3077">
            <v>351441</v>
          </cell>
          <cell r="H3077" t="str">
            <v>Mayday</v>
          </cell>
          <cell r="I3077">
            <v>0.625</v>
          </cell>
          <cell r="J3077">
            <v>0.85416666666666663</v>
          </cell>
          <cell r="K3077">
            <v>5.5</v>
          </cell>
          <cell r="L3077">
            <v>177.59</v>
          </cell>
          <cell r="O3077" t="str">
            <v>Y</v>
          </cell>
          <cell r="P3077" t="str">
            <v>N</v>
          </cell>
          <cell r="Q3077" t="str">
            <v>Extra Capacity</v>
          </cell>
          <cell r="S3077">
            <v>0.15</v>
          </cell>
        </row>
        <row r="3078">
          <cell r="D3078">
            <v>1208000969</v>
          </cell>
          <cell r="E3078" t="str">
            <v>RITCHIE RUBIA</v>
          </cell>
          <cell r="F3078" t="str">
            <v>D (Ch)</v>
          </cell>
          <cell r="G3078">
            <v>17441</v>
          </cell>
          <cell r="H3078" t="str">
            <v>Choice</v>
          </cell>
          <cell r="I3078">
            <v>0.82291666666666663</v>
          </cell>
          <cell r="J3078">
            <v>0.34375</v>
          </cell>
          <cell r="K3078">
            <v>11.8333333333333</v>
          </cell>
          <cell r="L3078">
            <v>374.89</v>
          </cell>
          <cell r="M3078">
            <v>284.33999999999997</v>
          </cell>
          <cell r="O3078" t="str">
            <v>Y</v>
          </cell>
          <cell r="P3078" t="str">
            <v>N</v>
          </cell>
          <cell r="Q3078" t="str">
            <v>Extra Capacity</v>
          </cell>
          <cell r="S3078">
            <v>0.32</v>
          </cell>
        </row>
        <row r="3079">
          <cell r="D3079">
            <v>1008004135</v>
          </cell>
          <cell r="E3079" t="str">
            <v>ROHEYATOU NDOW-NJIE</v>
          </cell>
          <cell r="F3079" t="str">
            <v>D (Ch)</v>
          </cell>
          <cell r="H3079" t="str">
            <v>Choice</v>
          </cell>
          <cell r="I3079">
            <v>0.3125</v>
          </cell>
          <cell r="J3079">
            <v>0.54166666666666663</v>
          </cell>
          <cell r="K3079">
            <v>5.5</v>
          </cell>
          <cell r="L3079">
            <v>134.03</v>
          </cell>
          <cell r="O3079" t="str">
            <v>Y</v>
          </cell>
          <cell r="P3079" t="str">
            <v>N</v>
          </cell>
          <cell r="Q3079" t="str">
            <v>Vacancy</v>
          </cell>
          <cell r="S3079">
            <v>0.15</v>
          </cell>
        </row>
        <row r="3080">
          <cell r="D3080">
            <v>1008004168</v>
          </cell>
          <cell r="E3080" t="str">
            <v>ROHEYATOU NDOW-NJIE</v>
          </cell>
          <cell r="F3080" t="str">
            <v>D (Ch)</v>
          </cell>
          <cell r="H3080" t="str">
            <v>Choice</v>
          </cell>
          <cell r="I3080">
            <v>0.625</v>
          </cell>
          <cell r="J3080">
            <v>0.85416666666666663</v>
          </cell>
          <cell r="K3080">
            <v>5.5</v>
          </cell>
          <cell r="L3080">
            <v>134.03</v>
          </cell>
          <cell r="O3080" t="str">
            <v>Y</v>
          </cell>
          <cell r="P3080" t="str">
            <v>N</v>
          </cell>
          <cell r="Q3080" t="str">
            <v>Vacancy</v>
          </cell>
          <cell r="S3080">
            <v>0.15</v>
          </cell>
        </row>
        <row r="3081">
          <cell r="D3081">
            <v>1208000086</v>
          </cell>
          <cell r="E3081" t="str">
            <v>SAM KELEM</v>
          </cell>
          <cell r="F3081" t="str">
            <v>D (Ch)</v>
          </cell>
          <cell r="G3081">
            <v>17449</v>
          </cell>
          <cell r="H3081" t="str">
            <v>Choice</v>
          </cell>
          <cell r="I3081">
            <v>0.83333333333333337</v>
          </cell>
          <cell r="J3081">
            <v>0.33333333333333331</v>
          </cell>
          <cell r="K3081">
            <v>11.3333333333333</v>
          </cell>
          <cell r="L3081">
            <v>359.05</v>
          </cell>
          <cell r="O3081" t="str">
            <v>Y</v>
          </cell>
          <cell r="P3081" t="str">
            <v>N</v>
          </cell>
          <cell r="Q3081" t="str">
            <v>Extra Capacity</v>
          </cell>
          <cell r="S3081">
            <v>0.3</v>
          </cell>
        </row>
        <row r="3082">
          <cell r="D3082">
            <v>1208000976</v>
          </cell>
          <cell r="E3082" t="str">
            <v>SARAH WATTS</v>
          </cell>
          <cell r="F3082" t="str">
            <v>D (MD)</v>
          </cell>
          <cell r="H3082" t="str">
            <v>Mayday</v>
          </cell>
          <cell r="I3082">
            <v>0.82291666666666663</v>
          </cell>
          <cell r="J3082">
            <v>0.34375</v>
          </cell>
          <cell r="K3082">
            <v>11.5</v>
          </cell>
          <cell r="L3082">
            <v>482.74</v>
          </cell>
          <cell r="O3082" t="str">
            <v>Y</v>
          </cell>
          <cell r="P3082" t="str">
            <v>N</v>
          </cell>
          <cell r="Q3082" t="str">
            <v>Vacancy</v>
          </cell>
          <cell r="S3082">
            <v>0.31</v>
          </cell>
        </row>
        <row r="3083">
          <cell r="D3083">
            <v>1208000346</v>
          </cell>
          <cell r="E3083" t="str">
            <v>SHAUN MCKEE</v>
          </cell>
          <cell r="F3083" t="str">
            <v>D (Amb)</v>
          </cell>
          <cell r="G3083">
            <v>766188</v>
          </cell>
          <cell r="H3083" t="str">
            <v>Ambition</v>
          </cell>
          <cell r="I3083">
            <v>0.625</v>
          </cell>
          <cell r="J3083">
            <v>0.875</v>
          </cell>
          <cell r="K3083">
            <v>5.6666666666666696</v>
          </cell>
          <cell r="L3083">
            <v>221.57</v>
          </cell>
          <cell r="O3083" t="str">
            <v>Y</v>
          </cell>
          <cell r="P3083" t="str">
            <v>N</v>
          </cell>
          <cell r="Q3083" t="str">
            <v>Extra Capacity</v>
          </cell>
          <cell r="S3083">
            <v>0.15</v>
          </cell>
        </row>
        <row r="3084">
          <cell r="D3084">
            <v>1208000462</v>
          </cell>
          <cell r="E3084" t="str">
            <v>SIBONGILE DOKOTERA</v>
          </cell>
          <cell r="F3084" t="str">
            <v>D (MD)</v>
          </cell>
          <cell r="G3084">
            <v>350084</v>
          </cell>
          <cell r="H3084" t="str">
            <v>Mayday</v>
          </cell>
          <cell r="I3084">
            <v>0.3125</v>
          </cell>
          <cell r="J3084">
            <v>0.64583333333333337</v>
          </cell>
          <cell r="K3084">
            <v>7.6666666666666696</v>
          </cell>
          <cell r="L3084">
            <v>247.56</v>
          </cell>
          <cell r="O3084" t="str">
            <v>Y</v>
          </cell>
          <cell r="P3084" t="str">
            <v>N</v>
          </cell>
          <cell r="Q3084" t="str">
            <v>Extra Capacity</v>
          </cell>
          <cell r="S3084">
            <v>0.2</v>
          </cell>
        </row>
        <row r="3085">
          <cell r="D3085">
            <v>1208000465</v>
          </cell>
          <cell r="E3085" t="str">
            <v>SIBONGILE DOKOTERA</v>
          </cell>
          <cell r="F3085" t="str">
            <v>D (MD)</v>
          </cell>
          <cell r="G3085">
            <v>350084</v>
          </cell>
          <cell r="H3085" t="str">
            <v>Mayday</v>
          </cell>
          <cell r="I3085">
            <v>0.64583333333333337</v>
          </cell>
          <cell r="J3085">
            <v>0.85416666666666663</v>
          </cell>
          <cell r="K3085">
            <v>5</v>
          </cell>
          <cell r="L3085">
            <v>161.44999999999999</v>
          </cell>
          <cell r="O3085" t="str">
            <v>Y</v>
          </cell>
          <cell r="P3085" t="str">
            <v>N</v>
          </cell>
          <cell r="Q3085" t="str">
            <v>Extra Capacity</v>
          </cell>
          <cell r="S3085">
            <v>0.13</v>
          </cell>
        </row>
        <row r="3086">
          <cell r="D3086">
            <v>1208000967</v>
          </cell>
          <cell r="E3086" t="str">
            <v>SINCENGA GULU</v>
          </cell>
          <cell r="F3086" t="str">
            <v>D (MD)</v>
          </cell>
          <cell r="H3086" t="str">
            <v>Mayday</v>
          </cell>
          <cell r="I3086">
            <v>0.82291666666666663</v>
          </cell>
          <cell r="J3086">
            <v>0.34375</v>
          </cell>
          <cell r="K3086">
            <v>11.5</v>
          </cell>
          <cell r="L3086">
            <v>482.74</v>
          </cell>
          <cell r="O3086" t="str">
            <v>Y</v>
          </cell>
          <cell r="P3086" t="str">
            <v>N</v>
          </cell>
          <cell r="Q3086" t="str">
            <v>Short Term Sick</v>
          </cell>
          <cell r="S3086">
            <v>0.31</v>
          </cell>
        </row>
        <row r="3087">
          <cell r="D3087">
            <v>1208001193</v>
          </cell>
          <cell r="E3087" t="str">
            <v>STEPHEN FERNANDEZ</v>
          </cell>
          <cell r="F3087" t="str">
            <v>D (MD)</v>
          </cell>
          <cell r="G3087">
            <v>349491</v>
          </cell>
          <cell r="H3087" t="str">
            <v>Mayday</v>
          </cell>
          <cell r="I3087">
            <v>0.83333333333333337</v>
          </cell>
          <cell r="J3087">
            <v>0.33333333333333331</v>
          </cell>
          <cell r="K3087">
            <v>11</v>
          </cell>
          <cell r="L3087">
            <v>461.75</v>
          </cell>
          <cell r="O3087" t="str">
            <v>Y</v>
          </cell>
          <cell r="P3087" t="str">
            <v>N</v>
          </cell>
          <cell r="Q3087" t="str">
            <v>Vacancy</v>
          </cell>
          <cell r="S3087">
            <v>0.28999999999999998</v>
          </cell>
        </row>
        <row r="3088">
          <cell r="D3088">
            <v>1208000181</v>
          </cell>
          <cell r="E3088" t="str">
            <v>SUNITHA SINGH</v>
          </cell>
          <cell r="F3088" t="str">
            <v>D (MD)</v>
          </cell>
          <cell r="G3088">
            <v>350096</v>
          </cell>
          <cell r="H3088" t="str">
            <v>Mayday</v>
          </cell>
          <cell r="I3088">
            <v>0.29166666666666669</v>
          </cell>
          <cell r="J3088">
            <v>0.54166666666666663</v>
          </cell>
          <cell r="K3088">
            <v>5.75</v>
          </cell>
          <cell r="L3088">
            <v>185.67</v>
          </cell>
          <cell r="O3088" t="str">
            <v>Y</v>
          </cell>
          <cell r="P3088" t="str">
            <v>N</v>
          </cell>
          <cell r="Q3088" t="str">
            <v>Short Term Sick</v>
          </cell>
          <cell r="S3088">
            <v>0.15</v>
          </cell>
        </row>
        <row r="3089">
          <cell r="D3089">
            <v>1208000958</v>
          </cell>
          <cell r="E3089" t="str">
            <v>TAEL MHANGO</v>
          </cell>
          <cell r="F3089" t="str">
            <v>D (Ch)</v>
          </cell>
          <cell r="G3089">
            <v>17448</v>
          </cell>
          <cell r="H3089" t="str">
            <v>Choice</v>
          </cell>
          <cell r="I3089">
            <v>0.82291666666666663</v>
          </cell>
          <cell r="J3089">
            <v>0.34375</v>
          </cell>
          <cell r="K3089">
            <v>11.5</v>
          </cell>
          <cell r="L3089">
            <v>364.33</v>
          </cell>
          <cell r="O3089" t="str">
            <v>Y</v>
          </cell>
          <cell r="P3089" t="str">
            <v>N</v>
          </cell>
          <cell r="Q3089" t="str">
            <v>Study Leave</v>
          </cell>
          <cell r="S3089">
            <v>0.31</v>
          </cell>
        </row>
        <row r="3090">
          <cell r="D3090">
            <v>1108006174</v>
          </cell>
          <cell r="E3090" t="str">
            <v>TEMBE NGIDI</v>
          </cell>
          <cell r="F3090" t="str">
            <v>D (MD)</v>
          </cell>
          <cell r="G3090">
            <v>348339</v>
          </cell>
          <cell r="H3090" t="str">
            <v>Mayday</v>
          </cell>
          <cell r="I3090">
            <v>0.8125</v>
          </cell>
          <cell r="J3090">
            <v>0.33333333333333331</v>
          </cell>
          <cell r="K3090">
            <v>11.8333333333333</v>
          </cell>
          <cell r="L3090">
            <v>496.73</v>
          </cell>
          <cell r="O3090" t="str">
            <v>Y</v>
          </cell>
          <cell r="P3090" t="str">
            <v>N</v>
          </cell>
          <cell r="Q3090" t="str">
            <v>Short Term Sick</v>
          </cell>
          <cell r="S3090">
            <v>0.32</v>
          </cell>
        </row>
        <row r="3091">
          <cell r="D3091">
            <v>1108005882</v>
          </cell>
          <cell r="E3091" t="str">
            <v>TOM OSBOURNE</v>
          </cell>
          <cell r="F3091" t="str">
            <v>D General (Orio</v>
          </cell>
          <cell r="G3091" t="str">
            <v>Invsd Smt checked</v>
          </cell>
          <cell r="H3091" t="str">
            <v>Orion</v>
          </cell>
          <cell r="I3091">
            <v>0.33333333333333331</v>
          </cell>
          <cell r="J3091">
            <v>0.75</v>
          </cell>
          <cell r="K3091">
            <v>9.5</v>
          </cell>
          <cell r="L3091">
            <v>172.14</v>
          </cell>
          <cell r="O3091" t="str">
            <v>Y</v>
          </cell>
          <cell r="P3091" t="str">
            <v>N</v>
          </cell>
          <cell r="Q3091" t="str">
            <v>Vacancy</v>
          </cell>
          <cell r="S3091">
            <v>0.25</v>
          </cell>
        </row>
        <row r="3092">
          <cell r="D3092">
            <v>1208000477</v>
          </cell>
          <cell r="E3092" t="str">
            <v>TRUST CHIWUNDURA</v>
          </cell>
          <cell r="F3092" t="str">
            <v>A (Ch)</v>
          </cell>
          <cell r="G3092">
            <v>17440</v>
          </cell>
          <cell r="H3092" t="str">
            <v>Choice</v>
          </cell>
          <cell r="I3092">
            <v>0.83333333333333337</v>
          </cell>
          <cell r="J3092">
            <v>0.33333333333333331</v>
          </cell>
          <cell r="K3092">
            <v>11.3333333333333</v>
          </cell>
          <cell r="L3092">
            <v>167.58</v>
          </cell>
          <cell r="O3092" t="str">
            <v>Y</v>
          </cell>
          <cell r="P3092" t="str">
            <v>N</v>
          </cell>
          <cell r="Q3092" t="str">
            <v>Extra Capacity</v>
          </cell>
          <cell r="S3092">
            <v>0.3</v>
          </cell>
        </row>
        <row r="3093">
          <cell r="D3093">
            <v>1208001459</v>
          </cell>
          <cell r="E3093" t="str">
            <v>ADE ENITAN</v>
          </cell>
          <cell r="F3093" t="str">
            <v>D (Amb)</v>
          </cell>
          <cell r="G3093">
            <v>763706</v>
          </cell>
          <cell r="H3093" t="str">
            <v>Ambition</v>
          </cell>
          <cell r="I3093">
            <v>0.3125</v>
          </cell>
          <cell r="J3093">
            <v>0.5625</v>
          </cell>
          <cell r="K3093">
            <v>5.6666666666666696</v>
          </cell>
          <cell r="L3093">
            <v>221.57</v>
          </cell>
          <cell r="O3093" t="str">
            <v>Y</v>
          </cell>
          <cell r="P3093" t="str">
            <v>N</v>
          </cell>
          <cell r="Q3093" t="str">
            <v>Short Term Sick</v>
          </cell>
          <cell r="S3093">
            <v>0.15</v>
          </cell>
        </row>
        <row r="3094">
          <cell r="D3094">
            <v>1208001139</v>
          </cell>
          <cell r="E3094" t="str">
            <v>ATINUKE OKE-OLATUNDE</v>
          </cell>
          <cell r="F3094" t="str">
            <v>D (MD)</v>
          </cell>
          <cell r="G3094">
            <v>352273</v>
          </cell>
          <cell r="H3094" t="str">
            <v>Mayday</v>
          </cell>
          <cell r="I3094">
            <v>0.82291666666666663</v>
          </cell>
          <cell r="J3094">
            <v>0.34375</v>
          </cell>
          <cell r="K3094">
            <v>11.8333333333333</v>
          </cell>
          <cell r="L3094">
            <v>496.73</v>
          </cell>
          <cell r="O3094" t="str">
            <v>Y</v>
          </cell>
          <cell r="P3094" t="str">
            <v>N</v>
          </cell>
          <cell r="Q3094" t="str">
            <v>Extra Capacity</v>
          </cell>
          <cell r="S3094">
            <v>0.32</v>
          </cell>
        </row>
        <row r="3095">
          <cell r="D3095">
            <v>1108006162</v>
          </cell>
          <cell r="E3095" t="str">
            <v>BERNADETTE SHINYA-NDUNUWANI</v>
          </cell>
          <cell r="F3095" t="str">
            <v>D (MD)</v>
          </cell>
          <cell r="G3095">
            <v>348333</v>
          </cell>
          <cell r="H3095" t="str">
            <v>Mayday</v>
          </cell>
          <cell r="I3095">
            <v>0.3125</v>
          </cell>
          <cell r="J3095">
            <v>0.83333333333333337</v>
          </cell>
          <cell r="K3095">
            <v>11.8333333333333</v>
          </cell>
          <cell r="L3095">
            <v>382.1</v>
          </cell>
          <cell r="O3095" t="str">
            <v>Y</v>
          </cell>
          <cell r="P3095" t="str">
            <v>N</v>
          </cell>
          <cell r="Q3095" t="str">
            <v>Short Term Sick</v>
          </cell>
          <cell r="S3095">
            <v>0.32</v>
          </cell>
        </row>
        <row r="3096">
          <cell r="D3096">
            <v>1108006175</v>
          </cell>
          <cell r="E3096" t="str">
            <v>BRIGHTNESS NDEBELE</v>
          </cell>
          <cell r="F3096" t="str">
            <v>D (MD)</v>
          </cell>
          <cell r="G3096">
            <v>349840</v>
          </cell>
          <cell r="H3096" t="str">
            <v>Mayday</v>
          </cell>
          <cell r="I3096">
            <v>0.8125</v>
          </cell>
          <cell r="J3096">
            <v>0.33333333333333331</v>
          </cell>
          <cell r="K3096">
            <v>11.8333333333333</v>
          </cell>
          <cell r="L3096">
            <v>496.73</v>
          </cell>
          <cell r="O3096" t="str">
            <v>Y</v>
          </cell>
          <cell r="P3096" t="str">
            <v>N</v>
          </cell>
          <cell r="Q3096" t="str">
            <v>Short Term Sick</v>
          </cell>
          <cell r="S3096">
            <v>0.32</v>
          </cell>
        </row>
        <row r="3097">
          <cell r="D3097">
            <v>1208000087</v>
          </cell>
          <cell r="E3097" t="str">
            <v>CARL HIBBERT</v>
          </cell>
          <cell r="F3097" t="str">
            <v>D (Ch)</v>
          </cell>
          <cell r="H3097" t="str">
            <v>Choice</v>
          </cell>
          <cell r="I3097">
            <v>0.83333333333333337</v>
          </cell>
          <cell r="J3097">
            <v>0.33333333333333331</v>
          </cell>
          <cell r="K3097">
            <v>11.3333333333333</v>
          </cell>
          <cell r="L3097">
            <v>359.05</v>
          </cell>
          <cell r="O3097" t="str">
            <v>Y</v>
          </cell>
          <cell r="P3097" t="str">
            <v>N</v>
          </cell>
          <cell r="Q3097" t="str">
            <v>Extra Capacity</v>
          </cell>
          <cell r="S3097">
            <v>0.3</v>
          </cell>
        </row>
        <row r="3098">
          <cell r="D3098">
            <v>1208001200</v>
          </cell>
          <cell r="E3098" t="str">
            <v>CHARLOTTE TAYLOR</v>
          </cell>
          <cell r="F3098" t="str">
            <v>D/5 (PS)</v>
          </cell>
          <cell r="H3098" t="str">
            <v>Pinnacle Staffing</v>
          </cell>
          <cell r="I3098">
            <v>0.83333333333333337</v>
          </cell>
          <cell r="J3098">
            <v>0.33333333333333331</v>
          </cell>
          <cell r="K3098">
            <v>11.3333333333333</v>
          </cell>
          <cell r="L3098">
            <v>250.32</v>
          </cell>
          <cell r="O3098" t="str">
            <v>Y</v>
          </cell>
          <cell r="P3098" t="str">
            <v>N</v>
          </cell>
          <cell r="Q3098" t="str">
            <v>Extra Capacity</v>
          </cell>
          <cell r="S3098">
            <v>0.3</v>
          </cell>
        </row>
        <row r="3099">
          <cell r="D3099">
            <v>1108004988</v>
          </cell>
          <cell r="E3099" t="str">
            <v>CHRIS STULAR</v>
          </cell>
          <cell r="F3099" t="str">
            <v>D General (Orio</v>
          </cell>
          <cell r="G3099" t="str">
            <v>Invsd Smt checked</v>
          </cell>
          <cell r="H3099" t="str">
            <v>Orion</v>
          </cell>
          <cell r="I3099">
            <v>0.33333333333333331</v>
          </cell>
          <cell r="J3099">
            <v>0.75</v>
          </cell>
          <cell r="K3099">
            <v>9.5</v>
          </cell>
          <cell r="L3099">
            <v>172.14</v>
          </cell>
          <cell r="O3099" t="str">
            <v>Y</v>
          </cell>
          <cell r="P3099" t="str">
            <v>N</v>
          </cell>
          <cell r="Q3099" t="str">
            <v>Backfill</v>
          </cell>
          <cell r="S3099">
            <v>0.25</v>
          </cell>
        </row>
        <row r="3100">
          <cell r="D3100">
            <v>1108004835</v>
          </cell>
          <cell r="E3100" t="str">
            <v>DAMILOLA AIKI</v>
          </cell>
          <cell r="F3100" t="str">
            <v>A (Ch)</v>
          </cell>
          <cell r="G3100">
            <v>17442</v>
          </cell>
          <cell r="H3100" t="str">
            <v>Choice</v>
          </cell>
          <cell r="I3100">
            <v>0.3125</v>
          </cell>
          <cell r="J3100">
            <v>0.5625</v>
          </cell>
          <cell r="K3100">
            <v>5.6666666666666696</v>
          </cell>
          <cell r="L3100">
            <v>62.84</v>
          </cell>
          <cell r="O3100" t="str">
            <v>Y</v>
          </cell>
          <cell r="P3100" t="str">
            <v>N</v>
          </cell>
          <cell r="Q3100" t="str">
            <v>Short Term Sick</v>
          </cell>
          <cell r="S3100">
            <v>0.15</v>
          </cell>
        </row>
        <row r="3101">
          <cell r="D3101">
            <v>1208000483</v>
          </cell>
          <cell r="E3101" t="str">
            <v>DORICA MUNJERI</v>
          </cell>
          <cell r="F3101" t="str">
            <v>A (Ch)</v>
          </cell>
          <cell r="G3101">
            <v>17460</v>
          </cell>
          <cell r="H3101" t="str">
            <v>Choice</v>
          </cell>
          <cell r="I3101">
            <v>0.64583333333333337</v>
          </cell>
          <cell r="J3101">
            <v>0.85416666666666663</v>
          </cell>
          <cell r="K3101">
            <v>5</v>
          </cell>
          <cell r="L3101">
            <v>55.45</v>
          </cell>
          <cell r="O3101" t="str">
            <v>Y</v>
          </cell>
          <cell r="P3101" t="str">
            <v>N</v>
          </cell>
          <cell r="Q3101" t="str">
            <v>Extra Capacity</v>
          </cell>
          <cell r="S3101">
            <v>0.13</v>
          </cell>
        </row>
        <row r="3102">
          <cell r="D3102">
            <v>1208000484</v>
          </cell>
          <cell r="E3102" t="str">
            <v>DORICA MUNJERI</v>
          </cell>
          <cell r="F3102" t="str">
            <v>A (Ch)</v>
          </cell>
          <cell r="G3102">
            <v>17460</v>
          </cell>
          <cell r="H3102" t="str">
            <v>Choice</v>
          </cell>
          <cell r="I3102">
            <v>0.3125</v>
          </cell>
          <cell r="J3102">
            <v>0.64583333333333337</v>
          </cell>
          <cell r="K3102">
            <v>7.6666666666666696</v>
          </cell>
          <cell r="L3102">
            <v>85.02</v>
          </cell>
          <cell r="O3102" t="str">
            <v>Y</v>
          </cell>
          <cell r="P3102" t="str">
            <v>N</v>
          </cell>
          <cell r="Q3102" t="str">
            <v>Extra Capacity</v>
          </cell>
          <cell r="S3102">
            <v>0.2</v>
          </cell>
        </row>
        <row r="3103">
          <cell r="D3103">
            <v>1208001361</v>
          </cell>
          <cell r="E3103" t="str">
            <v>DOROTHY MUTHWA</v>
          </cell>
          <cell r="F3103" t="str">
            <v>A (Ch)</v>
          </cell>
          <cell r="G3103">
            <v>17467</v>
          </cell>
          <cell r="H3103" t="str">
            <v>Choice</v>
          </cell>
          <cell r="I3103">
            <v>0.82291666666666663</v>
          </cell>
          <cell r="J3103">
            <v>0.34375</v>
          </cell>
          <cell r="K3103">
            <v>11.1666666666667</v>
          </cell>
          <cell r="L3103">
            <v>165.12</v>
          </cell>
          <cell r="O3103" t="str">
            <v>Y</v>
          </cell>
          <cell r="P3103" t="str">
            <v>N</v>
          </cell>
          <cell r="Q3103" t="str">
            <v>On-Call</v>
          </cell>
          <cell r="S3103">
            <v>0.3</v>
          </cell>
        </row>
        <row r="3104">
          <cell r="D3104">
            <v>1208001205</v>
          </cell>
          <cell r="E3104" t="str">
            <v>EDMA ITALIA</v>
          </cell>
          <cell r="F3104" t="str">
            <v>D (Ch)</v>
          </cell>
          <cell r="G3104">
            <v>17524</v>
          </cell>
          <cell r="H3104" t="str">
            <v>Choice</v>
          </cell>
          <cell r="I3104">
            <v>0.83333333333333337</v>
          </cell>
          <cell r="J3104">
            <v>0.33333333333333331</v>
          </cell>
          <cell r="K3104">
            <v>11.3333333333333</v>
          </cell>
          <cell r="L3104">
            <v>359.05</v>
          </cell>
          <cell r="O3104" t="str">
            <v>Y</v>
          </cell>
          <cell r="P3104" t="str">
            <v>N</v>
          </cell>
          <cell r="Q3104" t="str">
            <v>Extra Capacity</v>
          </cell>
          <cell r="S3104">
            <v>0.3</v>
          </cell>
        </row>
        <row r="3105">
          <cell r="D3105">
            <v>1208000482</v>
          </cell>
          <cell r="E3105" t="str">
            <v>ELSIE CHIKUKWA</v>
          </cell>
          <cell r="F3105" t="str">
            <v>D (MD)</v>
          </cell>
          <cell r="G3105">
            <v>350078</v>
          </cell>
          <cell r="H3105" t="str">
            <v>Mayday</v>
          </cell>
          <cell r="I3105">
            <v>0.83333333333333337</v>
          </cell>
          <cell r="J3105">
            <v>0.33333333333333331</v>
          </cell>
          <cell r="K3105">
            <v>11.3333333333333</v>
          </cell>
          <cell r="L3105">
            <v>475.74</v>
          </cell>
          <cell r="O3105" t="str">
            <v>Y</v>
          </cell>
          <cell r="P3105" t="str">
            <v>N</v>
          </cell>
          <cell r="Q3105" t="str">
            <v>Extra Capacity</v>
          </cell>
          <cell r="S3105">
            <v>0.3</v>
          </cell>
        </row>
        <row r="3106">
          <cell r="D3106">
            <v>1208000878</v>
          </cell>
          <cell r="E3106" t="str">
            <v>GAIL HOWLEY</v>
          </cell>
          <cell r="F3106" t="str">
            <v>D (Amb)</v>
          </cell>
          <cell r="H3106" t="str">
            <v>Ambition</v>
          </cell>
          <cell r="I3106">
            <v>0.45833333333333331</v>
          </cell>
          <cell r="J3106">
            <v>0.97916666666666663</v>
          </cell>
          <cell r="K3106">
            <v>11.8333333333333</v>
          </cell>
          <cell r="L3106">
            <v>462.68</v>
          </cell>
          <cell r="O3106" t="str">
            <v>Y</v>
          </cell>
          <cell r="P3106" t="str">
            <v>N</v>
          </cell>
          <cell r="Q3106" t="str">
            <v>Extra Capacity</v>
          </cell>
          <cell r="S3106">
            <v>0.32</v>
          </cell>
        </row>
        <row r="3107">
          <cell r="D3107">
            <v>1208000611</v>
          </cell>
          <cell r="E3107" t="str">
            <v>GERTHY ALBANO</v>
          </cell>
          <cell r="F3107" t="str">
            <v>D (Ch)</v>
          </cell>
          <cell r="H3107" t="str">
            <v>Choice</v>
          </cell>
          <cell r="I3107">
            <v>0.83333333333333337</v>
          </cell>
          <cell r="J3107">
            <v>0.33333333333333331</v>
          </cell>
          <cell r="K3107">
            <v>11.3333333333333</v>
          </cell>
          <cell r="L3107">
            <v>359.05</v>
          </cell>
          <cell r="O3107" t="str">
            <v>Y</v>
          </cell>
          <cell r="P3107" t="str">
            <v>N</v>
          </cell>
          <cell r="Q3107" t="str">
            <v>Extra Capacity</v>
          </cell>
          <cell r="S3107">
            <v>0.3</v>
          </cell>
        </row>
        <row r="3108">
          <cell r="D3108">
            <v>1208000612</v>
          </cell>
          <cell r="E3108" t="str">
            <v>GLENDA RONA</v>
          </cell>
          <cell r="F3108" t="str">
            <v>D (Ch)</v>
          </cell>
          <cell r="G3108">
            <v>17466</v>
          </cell>
          <cell r="H3108" t="str">
            <v>Choice</v>
          </cell>
          <cell r="I3108">
            <v>0.83333333333333337</v>
          </cell>
          <cell r="J3108">
            <v>0.33333333333333331</v>
          </cell>
          <cell r="K3108">
            <v>11.3333333333333</v>
          </cell>
          <cell r="L3108">
            <v>359.05</v>
          </cell>
          <cell r="O3108" t="str">
            <v>Y</v>
          </cell>
          <cell r="P3108" t="str">
            <v>N</v>
          </cell>
          <cell r="Q3108" t="str">
            <v>Extra Capacity</v>
          </cell>
          <cell r="S3108">
            <v>0.3</v>
          </cell>
        </row>
        <row r="3109">
          <cell r="D3109">
            <v>1108006551</v>
          </cell>
          <cell r="E3109" t="str">
            <v>JAKE BROOKES</v>
          </cell>
          <cell r="F3109" t="str">
            <v>D General (Orio</v>
          </cell>
          <cell r="G3109" t="str">
            <v>Invsd Smt checked</v>
          </cell>
          <cell r="H3109" t="str">
            <v>Orion</v>
          </cell>
          <cell r="I3109">
            <v>0.33333333333333331</v>
          </cell>
          <cell r="J3109">
            <v>0.75</v>
          </cell>
          <cell r="K3109">
            <v>9.6666666666666696</v>
          </cell>
          <cell r="L3109">
            <v>175.16</v>
          </cell>
          <cell r="O3109" t="str">
            <v>Y</v>
          </cell>
          <cell r="P3109" t="str">
            <v>N</v>
          </cell>
          <cell r="Q3109" t="str">
            <v>Long Term Sick</v>
          </cell>
          <cell r="S3109">
            <v>0.26</v>
          </cell>
        </row>
        <row r="3110">
          <cell r="D3110">
            <v>1108006379</v>
          </cell>
          <cell r="E3110" t="str">
            <v>JAMES MCCLEMENTS</v>
          </cell>
          <cell r="F3110" t="str">
            <v>D (MD)</v>
          </cell>
          <cell r="G3110">
            <v>348290</v>
          </cell>
          <cell r="H3110" t="str">
            <v>Mayday</v>
          </cell>
          <cell r="I3110">
            <v>0.3125</v>
          </cell>
          <cell r="J3110">
            <v>0.83333333333333337</v>
          </cell>
          <cell r="K3110">
            <v>11.8333333333333</v>
          </cell>
          <cell r="L3110">
            <v>382.1</v>
          </cell>
          <cell r="O3110" t="str">
            <v>Y</v>
          </cell>
          <cell r="P3110" t="str">
            <v>N</v>
          </cell>
          <cell r="Q3110" t="str">
            <v>Extra Capacity</v>
          </cell>
          <cell r="S3110">
            <v>0.32</v>
          </cell>
        </row>
        <row r="3111">
          <cell r="D3111">
            <v>1208001036</v>
          </cell>
          <cell r="E3111" t="str">
            <v>JANE DUNSMURE</v>
          </cell>
          <cell r="F3111" t="str">
            <v>D/5 (PS)</v>
          </cell>
          <cell r="H3111" t="str">
            <v>Pinnacle Staffing</v>
          </cell>
          <cell r="I3111">
            <v>0.82291666666666663</v>
          </cell>
          <cell r="J3111">
            <v>0.34375</v>
          </cell>
          <cell r="K3111">
            <v>11.5</v>
          </cell>
          <cell r="L3111">
            <v>254</v>
          </cell>
          <cell r="O3111" t="str">
            <v>Y</v>
          </cell>
          <cell r="P3111" t="str">
            <v>N</v>
          </cell>
          <cell r="Q3111" t="str">
            <v>Short Term Sick</v>
          </cell>
          <cell r="S3111">
            <v>0.31</v>
          </cell>
        </row>
        <row r="3112">
          <cell r="D3112">
            <v>1208001050</v>
          </cell>
          <cell r="E3112" t="str">
            <v>JANICE GOODWIN</v>
          </cell>
          <cell r="F3112" t="str">
            <v>D (Amb)</v>
          </cell>
          <cell r="G3112">
            <v>772074</v>
          </cell>
          <cell r="H3112" t="str">
            <v>Ambition</v>
          </cell>
          <cell r="I3112">
            <v>0.3125</v>
          </cell>
          <cell r="J3112">
            <v>0.83333333333333337</v>
          </cell>
          <cell r="K3112">
            <v>11.5</v>
          </cell>
          <cell r="L3112">
            <v>449.65</v>
          </cell>
          <cell r="O3112" t="str">
            <v>Y</v>
          </cell>
          <cell r="P3112" t="str">
            <v>N</v>
          </cell>
          <cell r="Q3112" t="str">
            <v>Short Term Sick</v>
          </cell>
          <cell r="S3112">
            <v>0.31</v>
          </cell>
        </row>
        <row r="3113">
          <cell r="D3113">
            <v>1208001102</v>
          </cell>
          <cell r="E3113" t="str">
            <v>JESSICA BELLAMY</v>
          </cell>
          <cell r="F3113" t="str">
            <v>D (MD)</v>
          </cell>
          <cell r="G3113">
            <v>349833</v>
          </cell>
          <cell r="H3113" t="str">
            <v>Mayday</v>
          </cell>
          <cell r="I3113">
            <v>0.8125</v>
          </cell>
          <cell r="J3113">
            <v>0.33333333333333331</v>
          </cell>
          <cell r="K3113">
            <v>11.8333333333333</v>
          </cell>
          <cell r="L3113">
            <v>496.73</v>
          </cell>
          <cell r="O3113" t="str">
            <v>Y</v>
          </cell>
          <cell r="P3113" t="str">
            <v>N</v>
          </cell>
          <cell r="Q3113" t="str">
            <v>Short Term Sick</v>
          </cell>
          <cell r="S3113">
            <v>0.32</v>
          </cell>
        </row>
        <row r="3114">
          <cell r="D3114">
            <v>1108006168</v>
          </cell>
          <cell r="E3114" t="str">
            <v>JO BRADY</v>
          </cell>
          <cell r="F3114" t="str">
            <v>D (MD)</v>
          </cell>
          <cell r="G3114">
            <v>348361</v>
          </cell>
          <cell r="H3114" t="str">
            <v>Mayday</v>
          </cell>
          <cell r="I3114">
            <v>0.3125</v>
          </cell>
          <cell r="J3114">
            <v>0.83333333333333337</v>
          </cell>
          <cell r="K3114">
            <v>11.8333333333333</v>
          </cell>
          <cell r="L3114">
            <v>382.1</v>
          </cell>
          <cell r="O3114" t="str">
            <v>Y</v>
          </cell>
          <cell r="P3114" t="str">
            <v>N</v>
          </cell>
          <cell r="Q3114" t="str">
            <v>Vacancy</v>
          </cell>
          <cell r="S3114">
            <v>0.32</v>
          </cell>
        </row>
        <row r="3115">
          <cell r="D3115">
            <v>1108003977</v>
          </cell>
          <cell r="E3115" t="str">
            <v>JOAN LEWIS</v>
          </cell>
          <cell r="F3115" t="str">
            <v>D (MD)</v>
          </cell>
          <cell r="G3115">
            <v>348654</v>
          </cell>
          <cell r="H3115" t="str">
            <v>Mayday</v>
          </cell>
          <cell r="I3115">
            <v>0.3125</v>
          </cell>
          <cell r="J3115">
            <v>0.5625</v>
          </cell>
          <cell r="K3115">
            <v>5.6666666666666696</v>
          </cell>
          <cell r="L3115">
            <v>182.98</v>
          </cell>
          <cell r="O3115" t="str">
            <v>Y</v>
          </cell>
          <cell r="P3115" t="str">
            <v>N</v>
          </cell>
          <cell r="Q3115" t="str">
            <v>Vacancy</v>
          </cell>
          <cell r="S3115">
            <v>0.15</v>
          </cell>
        </row>
        <row r="3116">
          <cell r="D3116">
            <v>1208000285</v>
          </cell>
          <cell r="E3116" t="str">
            <v>JOAN LEWIS</v>
          </cell>
          <cell r="F3116" t="str">
            <v>D (MD)</v>
          </cell>
          <cell r="G3116">
            <v>348655</v>
          </cell>
          <cell r="H3116" t="str">
            <v>Mayday</v>
          </cell>
          <cell r="I3116">
            <v>0.625</v>
          </cell>
          <cell r="J3116">
            <v>0.83333333333333337</v>
          </cell>
          <cell r="K3116">
            <v>5</v>
          </cell>
          <cell r="L3116">
            <v>161.44999999999999</v>
          </cell>
          <cell r="O3116" t="str">
            <v>Y</v>
          </cell>
          <cell r="P3116" t="str">
            <v>N</v>
          </cell>
          <cell r="Q3116" t="str">
            <v>Extra Capacity</v>
          </cell>
          <cell r="S3116">
            <v>0.13</v>
          </cell>
        </row>
        <row r="3117">
          <cell r="D3117">
            <v>1108004050</v>
          </cell>
          <cell r="E3117" t="str">
            <v>JOHANNA HATUIKULIPI</v>
          </cell>
          <cell r="F3117" t="str">
            <v>D (MD)</v>
          </cell>
          <cell r="G3117">
            <v>348468</v>
          </cell>
          <cell r="H3117" t="str">
            <v>Mayday</v>
          </cell>
          <cell r="I3117">
            <v>0.5625</v>
          </cell>
          <cell r="J3117">
            <v>0.85416666666666663</v>
          </cell>
          <cell r="K3117">
            <v>6.6666666666666696</v>
          </cell>
          <cell r="L3117">
            <v>215.27</v>
          </cell>
          <cell r="O3117" t="str">
            <v>Y</v>
          </cell>
          <cell r="P3117" t="str">
            <v>N</v>
          </cell>
          <cell r="Q3117" t="str">
            <v>Vacancy</v>
          </cell>
          <cell r="S3117">
            <v>0.18</v>
          </cell>
        </row>
        <row r="3118">
          <cell r="D3118">
            <v>1108004614</v>
          </cell>
          <cell r="E3118" t="str">
            <v>JOHANNA HATUIKULIPI</v>
          </cell>
          <cell r="F3118" t="str">
            <v>D (MD)</v>
          </cell>
          <cell r="G3118">
            <v>348468</v>
          </cell>
          <cell r="H3118" t="str">
            <v>Mayday</v>
          </cell>
          <cell r="I3118">
            <v>0.3125</v>
          </cell>
          <cell r="J3118">
            <v>0.5625</v>
          </cell>
          <cell r="K3118">
            <v>5.6666666666666696</v>
          </cell>
          <cell r="L3118">
            <v>182.98</v>
          </cell>
          <cell r="O3118" t="str">
            <v>Y</v>
          </cell>
          <cell r="P3118" t="str">
            <v>N</v>
          </cell>
          <cell r="Q3118" t="str">
            <v>Long Term Sick</v>
          </cell>
          <cell r="S3118">
            <v>0.15</v>
          </cell>
        </row>
        <row r="3119">
          <cell r="D3119">
            <v>1208000879</v>
          </cell>
          <cell r="E3119" t="str">
            <v>JOSEPHINE MOLLOY</v>
          </cell>
          <cell r="F3119" t="str">
            <v>D (Amb)</v>
          </cell>
          <cell r="G3119">
            <v>766410</v>
          </cell>
          <cell r="H3119" t="str">
            <v>Ambition</v>
          </cell>
          <cell r="I3119">
            <v>0.8125</v>
          </cell>
          <cell r="J3119">
            <v>0.33333333333333331</v>
          </cell>
          <cell r="K3119">
            <v>11.8333333333333</v>
          </cell>
          <cell r="L3119">
            <v>601.49</v>
          </cell>
          <cell r="O3119" t="str">
            <v>Y</v>
          </cell>
          <cell r="P3119" t="str">
            <v>N</v>
          </cell>
          <cell r="Q3119" t="str">
            <v>Extra Capacity</v>
          </cell>
          <cell r="S3119">
            <v>0.32</v>
          </cell>
        </row>
        <row r="3120">
          <cell r="D3120">
            <v>1208001123</v>
          </cell>
          <cell r="E3120" t="str">
            <v>KATH WILDREDGE</v>
          </cell>
          <cell r="F3120" t="str">
            <v>D (MD)</v>
          </cell>
          <cell r="G3120">
            <v>348296</v>
          </cell>
          <cell r="H3120" t="str">
            <v>Mayday</v>
          </cell>
          <cell r="I3120">
            <v>0.83333333333333337</v>
          </cell>
          <cell r="J3120">
            <v>0.33333333333333331</v>
          </cell>
          <cell r="K3120">
            <v>11</v>
          </cell>
          <cell r="L3120">
            <v>461.75</v>
          </cell>
          <cell r="O3120" t="str">
            <v>Y</v>
          </cell>
          <cell r="P3120" t="str">
            <v>N</v>
          </cell>
          <cell r="Q3120" t="str">
            <v>Short Term Sick</v>
          </cell>
          <cell r="S3120">
            <v>0.28999999999999998</v>
          </cell>
        </row>
        <row r="3121">
          <cell r="D3121">
            <v>1108004797</v>
          </cell>
          <cell r="E3121" t="str">
            <v>KATIE KEAVENEY</v>
          </cell>
          <cell r="F3121" t="str">
            <v>D (MD)</v>
          </cell>
          <cell r="G3121">
            <v>348680</v>
          </cell>
          <cell r="H3121" t="str">
            <v>Mayday</v>
          </cell>
          <cell r="I3121">
            <v>0.3125</v>
          </cell>
          <cell r="J3121">
            <v>0.54166666666666663</v>
          </cell>
          <cell r="K3121">
            <v>5.5</v>
          </cell>
          <cell r="L3121">
            <v>177.59</v>
          </cell>
          <cell r="O3121" t="str">
            <v>Y</v>
          </cell>
          <cell r="P3121" t="str">
            <v>N</v>
          </cell>
          <cell r="Q3121" t="str">
            <v>Vacancy</v>
          </cell>
          <cell r="S3121">
            <v>0.15</v>
          </cell>
        </row>
        <row r="3122">
          <cell r="D3122">
            <v>1108004798</v>
          </cell>
          <cell r="E3122" t="str">
            <v>KATIE KEAVENEY</v>
          </cell>
          <cell r="F3122" t="str">
            <v>D (MD)</v>
          </cell>
          <cell r="G3122">
            <v>348680</v>
          </cell>
          <cell r="H3122" t="str">
            <v>Mayday</v>
          </cell>
          <cell r="I3122">
            <v>0.625</v>
          </cell>
          <cell r="J3122">
            <v>0.85416666666666663</v>
          </cell>
          <cell r="K3122">
            <v>5.5</v>
          </cell>
          <cell r="L3122">
            <v>177.59</v>
          </cell>
          <cell r="O3122" t="str">
            <v>Y</v>
          </cell>
          <cell r="P3122" t="str">
            <v>N</v>
          </cell>
          <cell r="Q3122" t="str">
            <v>Vacancy</v>
          </cell>
          <cell r="S3122">
            <v>0.15</v>
          </cell>
        </row>
        <row r="3123">
          <cell r="D3123">
            <v>1208000673</v>
          </cell>
          <cell r="E3123" t="str">
            <v>KEN GOORDIN</v>
          </cell>
          <cell r="F3123" t="str">
            <v>D (Ch)</v>
          </cell>
          <cell r="G3123">
            <v>17454</v>
          </cell>
          <cell r="H3123" t="str">
            <v>Choice</v>
          </cell>
          <cell r="I3123">
            <v>0.875</v>
          </cell>
          <cell r="J3123">
            <v>0.33333333333333331</v>
          </cell>
          <cell r="K3123">
            <v>10.6666666666667</v>
          </cell>
          <cell r="L3123">
            <v>337.93</v>
          </cell>
          <cell r="O3123" t="str">
            <v>Y</v>
          </cell>
          <cell r="P3123" t="str">
            <v>N</v>
          </cell>
          <cell r="Q3123" t="str">
            <v>Specials</v>
          </cell>
          <cell r="S3123">
            <v>0.28000000000000003</v>
          </cell>
        </row>
        <row r="3124">
          <cell r="D3124">
            <v>1208001218</v>
          </cell>
          <cell r="E3124" t="str">
            <v>LENA FREEDRICH</v>
          </cell>
          <cell r="F3124" t="str">
            <v>D (Amb)</v>
          </cell>
          <cell r="G3124">
            <v>763639</v>
          </cell>
          <cell r="H3124" t="str">
            <v>Ambition</v>
          </cell>
          <cell r="I3124">
            <v>0.88541666666666663</v>
          </cell>
          <cell r="J3124">
            <v>0.3125</v>
          </cell>
          <cell r="K3124">
            <v>8.75</v>
          </cell>
          <cell r="L3124">
            <v>444.76</v>
          </cell>
          <cell r="O3124" t="str">
            <v>Y</v>
          </cell>
          <cell r="P3124" t="str">
            <v>N</v>
          </cell>
          <cell r="Q3124" t="str">
            <v>Short Term Sick</v>
          </cell>
          <cell r="S3124">
            <v>0.23</v>
          </cell>
        </row>
        <row r="3125">
          <cell r="D3125">
            <v>1208001201</v>
          </cell>
          <cell r="E3125" t="str">
            <v>LETECIA MENIANO</v>
          </cell>
          <cell r="F3125" t="str">
            <v>D (MD)</v>
          </cell>
          <cell r="G3125">
            <v>350089</v>
          </cell>
          <cell r="H3125" t="str">
            <v>Mayday</v>
          </cell>
          <cell r="I3125">
            <v>0.83333333333333337</v>
          </cell>
          <cell r="J3125">
            <v>0.33333333333333331</v>
          </cell>
          <cell r="K3125">
            <v>11.3333333333333</v>
          </cell>
          <cell r="L3125">
            <v>475.74</v>
          </cell>
          <cell r="O3125" t="str">
            <v>Y</v>
          </cell>
          <cell r="P3125" t="str">
            <v>N</v>
          </cell>
          <cell r="Q3125" t="str">
            <v>Extra Capacity</v>
          </cell>
          <cell r="S3125">
            <v>0.3</v>
          </cell>
        </row>
        <row r="3126">
          <cell r="D3126">
            <v>1208000609</v>
          </cell>
          <cell r="E3126" t="str">
            <v>LOUISE CULLEN</v>
          </cell>
          <cell r="F3126" t="str">
            <v>D (Amb)</v>
          </cell>
          <cell r="G3126">
            <v>763645</v>
          </cell>
          <cell r="H3126" t="str">
            <v>Ambition</v>
          </cell>
          <cell r="I3126">
            <v>0.3125</v>
          </cell>
          <cell r="J3126">
            <v>0.625</v>
          </cell>
          <cell r="K3126">
            <v>7.1666666666666696</v>
          </cell>
          <cell r="L3126">
            <v>280.22000000000003</v>
          </cell>
          <cell r="O3126" t="str">
            <v>Y</v>
          </cell>
          <cell r="P3126" t="str">
            <v>N</v>
          </cell>
          <cell r="Q3126" t="str">
            <v>Extra Capacity</v>
          </cell>
          <cell r="S3126">
            <v>0.19</v>
          </cell>
        </row>
        <row r="3127">
          <cell r="D3127">
            <v>1208001122</v>
          </cell>
          <cell r="E3127" t="str">
            <v>LYNETTA MUSUNGA</v>
          </cell>
          <cell r="F3127" t="str">
            <v>D (MD)</v>
          </cell>
          <cell r="G3127">
            <v>348466</v>
          </cell>
          <cell r="H3127" t="str">
            <v>Mayday</v>
          </cell>
          <cell r="I3127">
            <v>0.3125</v>
          </cell>
          <cell r="J3127">
            <v>0.85416666666666663</v>
          </cell>
          <cell r="K3127">
            <v>12.3333333333333</v>
          </cell>
          <cell r="L3127">
            <v>398.24</v>
          </cell>
          <cell r="O3127" t="str">
            <v>Y</v>
          </cell>
          <cell r="P3127" t="str">
            <v>N</v>
          </cell>
          <cell r="Q3127" t="str">
            <v>Extra Capacity</v>
          </cell>
          <cell r="S3127">
            <v>0.33</v>
          </cell>
        </row>
        <row r="3128">
          <cell r="D3128">
            <v>1208000481</v>
          </cell>
          <cell r="E3128" t="str">
            <v>MABEL MNISI</v>
          </cell>
          <cell r="F3128" t="str">
            <v>D (MD)</v>
          </cell>
          <cell r="H3128" t="str">
            <v>Mayday</v>
          </cell>
          <cell r="I3128">
            <v>0.83333333333333337</v>
          </cell>
          <cell r="J3128">
            <v>0.33333333333333331</v>
          </cell>
          <cell r="K3128">
            <v>11.3333333333333</v>
          </cell>
          <cell r="L3128">
            <v>475.74</v>
          </cell>
          <cell r="O3128" t="str">
            <v>Y</v>
          </cell>
          <cell r="P3128" t="str">
            <v>N</v>
          </cell>
          <cell r="Q3128" t="str">
            <v>Extra Capacity</v>
          </cell>
          <cell r="S3128">
            <v>0.3</v>
          </cell>
        </row>
        <row r="3129">
          <cell r="D3129">
            <v>1208000921</v>
          </cell>
          <cell r="E3129" t="str">
            <v>MARIA METIU</v>
          </cell>
          <cell r="F3129" t="str">
            <v>D (Amb)</v>
          </cell>
          <cell r="G3129">
            <v>763644</v>
          </cell>
          <cell r="H3129" t="str">
            <v>Ambition</v>
          </cell>
          <cell r="I3129">
            <v>0.45833333333333331</v>
          </cell>
          <cell r="J3129">
            <v>0.79166666666666663</v>
          </cell>
          <cell r="K3129">
            <v>7.6666666666666696</v>
          </cell>
          <cell r="L3129">
            <v>299.77</v>
          </cell>
          <cell r="O3129" t="str">
            <v>Y</v>
          </cell>
          <cell r="P3129" t="str">
            <v>N</v>
          </cell>
          <cell r="Q3129" t="str">
            <v>Vacancy</v>
          </cell>
          <cell r="S3129">
            <v>0.2</v>
          </cell>
        </row>
        <row r="3130">
          <cell r="D3130">
            <v>1208000488</v>
          </cell>
          <cell r="E3130" t="str">
            <v>MARTHA MAGWABA</v>
          </cell>
          <cell r="F3130" t="str">
            <v>A (Ch)</v>
          </cell>
          <cell r="H3130" t="str">
            <v>Choice</v>
          </cell>
          <cell r="I3130">
            <v>0.83333333333333337</v>
          </cell>
          <cell r="J3130">
            <v>0.33333333333333331</v>
          </cell>
          <cell r="K3130">
            <v>11.3333333333333</v>
          </cell>
          <cell r="L3130">
            <v>167.58</v>
          </cell>
          <cell r="O3130" t="str">
            <v>Y</v>
          </cell>
          <cell r="P3130" t="str">
            <v>N</v>
          </cell>
          <cell r="Q3130" t="str">
            <v>Extra Capacity</v>
          </cell>
          <cell r="S3130">
            <v>0.3</v>
          </cell>
        </row>
        <row r="3131">
          <cell r="D3131">
            <v>1208000610</v>
          </cell>
          <cell r="E3131" t="str">
            <v>MERCY AFELE</v>
          </cell>
          <cell r="F3131" t="str">
            <v>D (MD)</v>
          </cell>
          <cell r="G3131">
            <v>348676</v>
          </cell>
          <cell r="H3131" t="str">
            <v>Mayday</v>
          </cell>
          <cell r="I3131">
            <v>0.60416666666666663</v>
          </cell>
          <cell r="J3131">
            <v>0.85416666666666663</v>
          </cell>
          <cell r="K3131">
            <v>5.6666666666666696</v>
          </cell>
          <cell r="L3131">
            <v>182.98</v>
          </cell>
          <cell r="O3131" t="str">
            <v>Y</v>
          </cell>
          <cell r="P3131" t="str">
            <v>N</v>
          </cell>
          <cell r="Q3131" t="str">
            <v>Extra Capacity</v>
          </cell>
          <cell r="S3131">
            <v>0.15</v>
          </cell>
        </row>
        <row r="3132">
          <cell r="D3132">
            <v>1208000068</v>
          </cell>
          <cell r="E3132" t="str">
            <v>MIHAELA CHIRIBAU</v>
          </cell>
          <cell r="F3132" t="str">
            <v>D (MD)</v>
          </cell>
          <cell r="G3132">
            <v>349793</v>
          </cell>
          <cell r="H3132" t="str">
            <v>Mayday</v>
          </cell>
          <cell r="I3132">
            <v>0.60416666666666663</v>
          </cell>
          <cell r="J3132">
            <v>0.85416666666666663</v>
          </cell>
          <cell r="K3132">
            <v>5.6666666666666696</v>
          </cell>
          <cell r="L3132">
            <v>182.98</v>
          </cell>
          <cell r="O3132" t="str">
            <v>Y</v>
          </cell>
          <cell r="P3132" t="str">
            <v>N</v>
          </cell>
          <cell r="Q3132" t="str">
            <v>Extra Capacity</v>
          </cell>
          <cell r="S3132">
            <v>0.15</v>
          </cell>
        </row>
        <row r="3133">
          <cell r="D3133">
            <v>1208000093</v>
          </cell>
          <cell r="E3133" t="str">
            <v>MIHAELA CHIRIBAU</v>
          </cell>
          <cell r="F3133" t="str">
            <v>D (MD)</v>
          </cell>
          <cell r="G3133">
            <v>349793</v>
          </cell>
          <cell r="H3133" t="str">
            <v>Mayday</v>
          </cell>
          <cell r="I3133">
            <v>0.3125</v>
          </cell>
          <cell r="J3133">
            <v>0.60416666666666663</v>
          </cell>
          <cell r="K3133">
            <v>6.6666666666666696</v>
          </cell>
          <cell r="L3133">
            <v>215.27</v>
          </cell>
          <cell r="O3133" t="str">
            <v>Y</v>
          </cell>
          <cell r="P3133" t="str">
            <v>N</v>
          </cell>
          <cell r="Q3133" t="str">
            <v>Extra Capacity</v>
          </cell>
          <cell r="S3133">
            <v>0.18</v>
          </cell>
        </row>
        <row r="3134">
          <cell r="D3134">
            <v>1108006478</v>
          </cell>
          <cell r="E3134" t="str">
            <v>MZUKISI SPEELMAN</v>
          </cell>
          <cell r="F3134" t="str">
            <v>A (Ch)</v>
          </cell>
          <cell r="G3134">
            <v>17442</v>
          </cell>
          <cell r="H3134" t="str">
            <v>Choice</v>
          </cell>
          <cell r="I3134">
            <v>0.3125</v>
          </cell>
          <cell r="J3134">
            <v>0.5625</v>
          </cell>
          <cell r="K3134">
            <v>5.6666666666666696</v>
          </cell>
          <cell r="L3134">
            <v>62.84</v>
          </cell>
          <cell r="O3134" t="str">
            <v>Y</v>
          </cell>
          <cell r="P3134" t="str">
            <v>N</v>
          </cell>
          <cell r="Q3134" t="str">
            <v>Under Established</v>
          </cell>
          <cell r="S3134">
            <v>0.15</v>
          </cell>
        </row>
        <row r="3135">
          <cell r="D3135">
            <v>1108004139</v>
          </cell>
          <cell r="E3135" t="str">
            <v>NEIL WYLD</v>
          </cell>
          <cell r="F3135" t="str">
            <v>D (Amb)</v>
          </cell>
          <cell r="H3135" t="str">
            <v>Ambition</v>
          </cell>
          <cell r="I3135">
            <v>0.57291666666666663</v>
          </cell>
          <cell r="J3135">
            <v>0.89583333333333337</v>
          </cell>
          <cell r="K3135">
            <v>7.4166666666666696</v>
          </cell>
          <cell r="L3135">
            <v>289.99</v>
          </cell>
          <cell r="O3135" t="str">
            <v>Y</v>
          </cell>
          <cell r="P3135" t="str">
            <v>N</v>
          </cell>
          <cell r="Q3135" t="str">
            <v>Training</v>
          </cell>
          <cell r="S3135">
            <v>0.2</v>
          </cell>
        </row>
        <row r="3136">
          <cell r="D3136">
            <v>1108006181</v>
          </cell>
          <cell r="E3136" t="str">
            <v>OMAR SENGHORE</v>
          </cell>
          <cell r="F3136" t="str">
            <v>D (MD)</v>
          </cell>
          <cell r="G3136">
            <v>348328</v>
          </cell>
          <cell r="H3136" t="str">
            <v>Mayday</v>
          </cell>
          <cell r="I3136">
            <v>0.8125</v>
          </cell>
          <cell r="J3136">
            <v>0.33333333333333331</v>
          </cell>
          <cell r="K3136">
            <v>11.8333333333333</v>
          </cell>
          <cell r="L3136">
            <v>496.73</v>
          </cell>
          <cell r="O3136" t="str">
            <v>Y</v>
          </cell>
          <cell r="P3136" t="str">
            <v>N</v>
          </cell>
          <cell r="Q3136" t="str">
            <v>Vacancy</v>
          </cell>
          <cell r="S3136">
            <v>0.32</v>
          </cell>
        </row>
        <row r="3137">
          <cell r="D3137">
            <v>1008004142</v>
          </cell>
          <cell r="E3137" t="str">
            <v>PEGGY CHIRIKURE</v>
          </cell>
          <cell r="F3137" t="str">
            <v>D (Ch)</v>
          </cell>
          <cell r="H3137" t="str">
            <v>Choice</v>
          </cell>
          <cell r="I3137">
            <v>0.3125</v>
          </cell>
          <cell r="J3137">
            <v>0.54166666666666663</v>
          </cell>
          <cell r="K3137">
            <v>5.5</v>
          </cell>
          <cell r="L3137">
            <v>134.03</v>
          </cell>
          <cell r="O3137" t="str">
            <v>Y</v>
          </cell>
          <cell r="P3137" t="str">
            <v>N</v>
          </cell>
          <cell r="Q3137" t="str">
            <v>Vacancy</v>
          </cell>
          <cell r="S3137">
            <v>0.15</v>
          </cell>
        </row>
        <row r="3138">
          <cell r="D3138">
            <v>1008004145</v>
          </cell>
          <cell r="E3138" t="str">
            <v>PEGGY CHIRIKURE</v>
          </cell>
          <cell r="F3138" t="str">
            <v>D (Ch)</v>
          </cell>
          <cell r="H3138" t="str">
            <v>Choice</v>
          </cell>
          <cell r="I3138">
            <v>0.625</v>
          </cell>
          <cell r="J3138">
            <v>0.85416666666666663</v>
          </cell>
          <cell r="K3138">
            <v>5.5</v>
          </cell>
          <cell r="L3138">
            <v>134.03</v>
          </cell>
          <cell r="O3138" t="str">
            <v>Y</v>
          </cell>
          <cell r="P3138" t="str">
            <v>N</v>
          </cell>
          <cell r="Q3138" t="str">
            <v>Vacancy</v>
          </cell>
          <cell r="S3138">
            <v>0.15</v>
          </cell>
        </row>
        <row r="3139">
          <cell r="D3139">
            <v>1108005150</v>
          </cell>
          <cell r="E3139" t="str">
            <v>PEGGY MAPOGO</v>
          </cell>
          <cell r="F3139" t="str">
            <v>D (Ch)</v>
          </cell>
          <cell r="G3139">
            <v>17453</v>
          </cell>
          <cell r="H3139" t="str">
            <v>Choice</v>
          </cell>
          <cell r="I3139">
            <v>0.3125</v>
          </cell>
          <cell r="J3139">
            <v>0.5625</v>
          </cell>
          <cell r="K3139">
            <v>5.6666666666666696</v>
          </cell>
          <cell r="L3139">
            <v>138.1</v>
          </cell>
          <cell r="M3139">
            <v>150.73256756756757</v>
          </cell>
          <cell r="O3139" t="str">
            <v>Y</v>
          </cell>
          <cell r="P3139" t="str">
            <v>N</v>
          </cell>
          <cell r="Q3139" t="str">
            <v>Nurse Moved</v>
          </cell>
          <cell r="S3139">
            <v>0.15</v>
          </cell>
        </row>
        <row r="3140">
          <cell r="D3140">
            <v>1108005152</v>
          </cell>
          <cell r="E3140" t="str">
            <v>PEGGY MAPOGO</v>
          </cell>
          <cell r="F3140" t="str">
            <v>D (Ch)</v>
          </cell>
          <cell r="G3140">
            <v>17453</v>
          </cell>
          <cell r="H3140" t="str">
            <v>Choice</v>
          </cell>
          <cell r="I3140">
            <v>0.5625</v>
          </cell>
          <cell r="J3140">
            <v>0.85416666666666663</v>
          </cell>
          <cell r="K3140">
            <v>6.6666666666666696</v>
          </cell>
          <cell r="L3140">
            <v>162.47</v>
          </cell>
          <cell r="M3140">
            <v>177.33243243243243</v>
          </cell>
          <cell r="O3140" t="str">
            <v>Y</v>
          </cell>
          <cell r="P3140" t="str">
            <v>N</v>
          </cell>
          <cell r="Q3140" t="str">
            <v>Nurse Moved</v>
          </cell>
          <cell r="S3140">
            <v>0.18</v>
          </cell>
        </row>
        <row r="3141">
          <cell r="D3141">
            <v>1208001192</v>
          </cell>
          <cell r="E3141" t="str">
            <v>RITCHIE RUBIA</v>
          </cell>
          <cell r="F3141" t="str">
            <v>D (Ch)</v>
          </cell>
          <cell r="H3141" t="str">
            <v>Choice</v>
          </cell>
          <cell r="I3141">
            <v>0.83333333333333337</v>
          </cell>
          <cell r="J3141">
            <v>0.33333333333333331</v>
          </cell>
          <cell r="K3141">
            <v>11.3333333333333</v>
          </cell>
          <cell r="L3141">
            <v>359.05</v>
          </cell>
          <cell r="O3141" t="str">
            <v>Y</v>
          </cell>
          <cell r="P3141" t="str">
            <v>N</v>
          </cell>
          <cell r="Q3141" t="str">
            <v>Vacancy</v>
          </cell>
          <cell r="S3141">
            <v>0.3</v>
          </cell>
        </row>
        <row r="3142">
          <cell r="D3142">
            <v>1108004048</v>
          </cell>
          <cell r="E3142" t="str">
            <v>ROHEYATOU NDOW-NJIE</v>
          </cell>
          <cell r="F3142" t="str">
            <v>D (Ch)</v>
          </cell>
          <cell r="H3142" t="str">
            <v>Choice</v>
          </cell>
          <cell r="I3142">
            <v>0.3125</v>
          </cell>
          <cell r="J3142">
            <v>0.5625</v>
          </cell>
          <cell r="K3142">
            <v>5.6666666666666696</v>
          </cell>
          <cell r="L3142">
            <v>138.1</v>
          </cell>
          <cell r="O3142" t="str">
            <v>Y</v>
          </cell>
          <cell r="P3142" t="str">
            <v>N</v>
          </cell>
          <cell r="Q3142" t="str">
            <v>Vacancy</v>
          </cell>
          <cell r="S3142">
            <v>0.15</v>
          </cell>
        </row>
        <row r="3143">
          <cell r="D3143">
            <v>1208000480</v>
          </cell>
          <cell r="E3143" t="str">
            <v>ROSLYNE SCOTT</v>
          </cell>
          <cell r="F3143" t="str">
            <v>D (Amb)</v>
          </cell>
          <cell r="G3143">
            <v>763614</v>
          </cell>
          <cell r="H3143" t="str">
            <v>Ambition</v>
          </cell>
          <cell r="I3143">
            <v>0.3125</v>
          </cell>
          <cell r="J3143">
            <v>0.64583333333333337</v>
          </cell>
          <cell r="K3143">
            <v>7.6666666666666696</v>
          </cell>
          <cell r="L3143">
            <v>299.77</v>
          </cell>
          <cell r="M3143">
            <v>296.55</v>
          </cell>
          <cell r="O3143" t="str">
            <v>Y</v>
          </cell>
          <cell r="P3143" t="str">
            <v>N</v>
          </cell>
          <cell r="Q3143" t="str">
            <v>Extra Capacity</v>
          </cell>
          <cell r="S3143">
            <v>0.2</v>
          </cell>
        </row>
        <row r="3144">
          <cell r="D3144">
            <v>1208000919</v>
          </cell>
          <cell r="E3144" t="str">
            <v>RUTA KAIRYTE</v>
          </cell>
          <cell r="F3144" t="str">
            <v>D (Amb)</v>
          </cell>
          <cell r="H3144" t="str">
            <v>Ambition</v>
          </cell>
          <cell r="I3144">
            <v>0.30208333333333331</v>
          </cell>
          <cell r="J3144">
            <v>0.625</v>
          </cell>
          <cell r="K3144">
            <v>7.4166666666666696</v>
          </cell>
          <cell r="L3144">
            <v>289.99</v>
          </cell>
          <cell r="O3144" t="str">
            <v>Y</v>
          </cell>
          <cell r="P3144" t="str">
            <v>N</v>
          </cell>
          <cell r="Q3144" t="str">
            <v>Long Term Sick</v>
          </cell>
          <cell r="S3144">
            <v>0.2</v>
          </cell>
        </row>
        <row r="3145">
          <cell r="D3145">
            <v>1208000079</v>
          </cell>
          <cell r="E3145" t="str">
            <v>SAM KELEM</v>
          </cell>
          <cell r="F3145" t="str">
            <v>D (Ch)</v>
          </cell>
          <cell r="G3145">
            <v>17449</v>
          </cell>
          <cell r="H3145" t="str">
            <v>Choice</v>
          </cell>
          <cell r="I3145">
            <v>0.83333333333333337</v>
          </cell>
          <cell r="J3145">
            <v>0.33333333333333331</v>
          </cell>
          <cell r="K3145">
            <v>11.3333333333333</v>
          </cell>
          <cell r="L3145">
            <v>359.05</v>
          </cell>
          <cell r="O3145" t="str">
            <v>Y</v>
          </cell>
          <cell r="P3145" t="str">
            <v>N</v>
          </cell>
          <cell r="Q3145" t="str">
            <v>Extra Capacity</v>
          </cell>
          <cell r="S3145">
            <v>0.3</v>
          </cell>
        </row>
        <row r="3146">
          <cell r="D3146">
            <v>1208000478</v>
          </cell>
          <cell r="E3146" t="str">
            <v>SIBONGILE DOKOTERA</v>
          </cell>
          <cell r="F3146" t="str">
            <v>D (MD)</v>
          </cell>
          <cell r="G3146">
            <v>350086</v>
          </cell>
          <cell r="H3146" t="str">
            <v>Mayday</v>
          </cell>
          <cell r="I3146">
            <v>0.64583333333333337</v>
          </cell>
          <cell r="J3146">
            <v>0.85416666666666663</v>
          </cell>
          <cell r="K3146">
            <v>5</v>
          </cell>
          <cell r="L3146">
            <v>161.44999999999999</v>
          </cell>
          <cell r="O3146" t="str">
            <v>Y</v>
          </cell>
          <cell r="P3146" t="str">
            <v>N</v>
          </cell>
          <cell r="Q3146" t="str">
            <v>Extra Capacity</v>
          </cell>
          <cell r="S3146">
            <v>0.13</v>
          </cell>
        </row>
        <row r="3147">
          <cell r="D3147">
            <v>1208000479</v>
          </cell>
          <cell r="E3147" t="str">
            <v>SIBONGILE DOKOTERA</v>
          </cell>
          <cell r="F3147" t="str">
            <v>D (MD)</v>
          </cell>
          <cell r="G3147">
            <v>350086</v>
          </cell>
          <cell r="H3147" t="str">
            <v>Mayday</v>
          </cell>
          <cell r="I3147">
            <v>0.3125</v>
          </cell>
          <cell r="J3147">
            <v>0.64583333333333337</v>
          </cell>
          <cell r="K3147">
            <v>7.6666666666666696</v>
          </cell>
          <cell r="L3147">
            <v>247.56</v>
          </cell>
          <cell r="O3147" t="str">
            <v>Y</v>
          </cell>
          <cell r="P3147" t="str">
            <v>N</v>
          </cell>
          <cell r="Q3147" t="str">
            <v>Extra Capacity</v>
          </cell>
          <cell r="S3147">
            <v>0.2</v>
          </cell>
        </row>
        <row r="3148">
          <cell r="D3148">
            <v>1208001077</v>
          </cell>
          <cell r="E3148" t="str">
            <v>SINCENGA GULU</v>
          </cell>
          <cell r="F3148" t="str">
            <v>D (MD)</v>
          </cell>
          <cell r="G3148">
            <v>351408</v>
          </cell>
          <cell r="H3148" t="str">
            <v>Mayday</v>
          </cell>
          <cell r="I3148">
            <v>0.88541666666666663</v>
          </cell>
          <cell r="J3148">
            <v>0.3125</v>
          </cell>
          <cell r="K3148">
            <v>9.25</v>
          </cell>
          <cell r="L3148">
            <v>388.29</v>
          </cell>
          <cell r="O3148" t="str">
            <v>Y</v>
          </cell>
          <cell r="P3148" t="str">
            <v>N</v>
          </cell>
          <cell r="Q3148" t="str">
            <v>Short Term Sick</v>
          </cell>
          <cell r="S3148">
            <v>0.25</v>
          </cell>
        </row>
        <row r="3149">
          <cell r="D3149">
            <v>1208000250</v>
          </cell>
          <cell r="E3149" t="str">
            <v>STEPHEN FERNANDEZ</v>
          </cell>
          <cell r="F3149" t="str">
            <v>D (MD)</v>
          </cell>
          <cell r="G3149">
            <v>349490</v>
          </cell>
          <cell r="H3149" t="str">
            <v>Mayday</v>
          </cell>
          <cell r="I3149">
            <v>0.83333333333333337</v>
          </cell>
          <cell r="J3149">
            <v>0.33333333333333331</v>
          </cell>
          <cell r="K3149">
            <v>11</v>
          </cell>
          <cell r="L3149">
            <v>461.75</v>
          </cell>
          <cell r="O3149" t="str">
            <v>Y</v>
          </cell>
          <cell r="P3149" t="str">
            <v>N</v>
          </cell>
          <cell r="Q3149" t="str">
            <v>Acuity</v>
          </cell>
          <cell r="S3149">
            <v>0.28999999999999998</v>
          </cell>
        </row>
        <row r="3150">
          <cell r="D3150">
            <v>1208001103</v>
          </cell>
          <cell r="E3150" t="str">
            <v>TEMBE NGIDI</v>
          </cell>
          <cell r="F3150" t="str">
            <v>D (MD)</v>
          </cell>
          <cell r="G3150">
            <v>348341</v>
          </cell>
          <cell r="H3150" t="str">
            <v>Mayday</v>
          </cell>
          <cell r="I3150">
            <v>0.8125</v>
          </cell>
          <cell r="J3150">
            <v>0.33333333333333331</v>
          </cell>
          <cell r="K3150">
            <v>11.8333333333333</v>
          </cell>
          <cell r="L3150">
            <v>496.73</v>
          </cell>
          <cell r="O3150" t="str">
            <v>Y</v>
          </cell>
          <cell r="P3150" t="str">
            <v>N</v>
          </cell>
          <cell r="Q3150" t="str">
            <v>Short Term Sick</v>
          </cell>
          <cell r="S3150">
            <v>0.32</v>
          </cell>
        </row>
        <row r="3151">
          <cell r="D3151">
            <v>1108005883</v>
          </cell>
          <cell r="E3151" t="str">
            <v>TOM OSBOURNE</v>
          </cell>
          <cell r="F3151" t="str">
            <v>D General (Orio</v>
          </cell>
          <cell r="G3151" t="str">
            <v>Invsd Smt checked</v>
          </cell>
          <cell r="H3151" t="str">
            <v>Orion</v>
          </cell>
          <cell r="I3151">
            <v>0.33333333333333331</v>
          </cell>
          <cell r="J3151">
            <v>0.75</v>
          </cell>
          <cell r="K3151">
            <v>9.5</v>
          </cell>
          <cell r="L3151">
            <v>172.14</v>
          </cell>
          <cell r="O3151" t="str">
            <v>Y</v>
          </cell>
          <cell r="P3151" t="str">
            <v>N</v>
          </cell>
          <cell r="Q3151" t="str">
            <v>Vacancy</v>
          </cell>
          <cell r="S3151">
            <v>0.25</v>
          </cell>
        </row>
        <row r="3152">
          <cell r="D3152">
            <v>1208000203</v>
          </cell>
          <cell r="E3152" t="str">
            <v>TREVOR SCALES</v>
          </cell>
          <cell r="F3152" t="str">
            <v>D (Amb)</v>
          </cell>
          <cell r="G3152">
            <v>763640</v>
          </cell>
          <cell r="H3152" t="str">
            <v>Ambition</v>
          </cell>
          <cell r="I3152">
            <v>0.625</v>
          </cell>
          <cell r="J3152">
            <v>0.88541666666666663</v>
          </cell>
          <cell r="K3152">
            <v>5.9166666666666696</v>
          </cell>
          <cell r="L3152">
            <v>231.34</v>
          </cell>
          <cell r="O3152" t="str">
            <v>Y</v>
          </cell>
          <cell r="P3152" t="str">
            <v>N</v>
          </cell>
          <cell r="Q3152" t="str">
            <v>Specials</v>
          </cell>
          <cell r="S3152">
            <v>0.16</v>
          </cell>
        </row>
        <row r="3153">
          <cell r="D3153">
            <v>1208001207</v>
          </cell>
          <cell r="E3153" t="str">
            <v>TRUST CHIWUNDURA</v>
          </cell>
          <cell r="F3153" t="str">
            <v>A (Ch)</v>
          </cell>
          <cell r="G3153">
            <v>17462</v>
          </cell>
          <cell r="H3153" t="str">
            <v>Choice</v>
          </cell>
          <cell r="I3153">
            <v>0.83333333333333337</v>
          </cell>
          <cell r="J3153">
            <v>0.33333333333333331</v>
          </cell>
          <cell r="K3153">
            <v>11.3333333333333</v>
          </cell>
          <cell r="L3153">
            <v>167.58</v>
          </cell>
          <cell r="O3153" t="str">
            <v>Y</v>
          </cell>
          <cell r="P3153" t="str">
            <v>N</v>
          </cell>
          <cell r="Q3153" t="str">
            <v>Short Term Sick</v>
          </cell>
          <cell r="S3153">
            <v>0.3</v>
          </cell>
        </row>
        <row r="3154">
          <cell r="D3154">
            <v>1208000608</v>
          </cell>
          <cell r="E3154" t="str">
            <v>VICTORIA ANIKINA</v>
          </cell>
          <cell r="F3154" t="str">
            <v>D (Amb)</v>
          </cell>
          <cell r="G3154">
            <v>763554</v>
          </cell>
          <cell r="H3154" t="str">
            <v>Ambition</v>
          </cell>
          <cell r="I3154">
            <v>0.3125</v>
          </cell>
          <cell r="J3154">
            <v>0.625</v>
          </cell>
          <cell r="K3154">
            <v>7.1666666666666696</v>
          </cell>
          <cell r="L3154">
            <v>280.22000000000003</v>
          </cell>
          <cell r="O3154" t="str">
            <v>Y</v>
          </cell>
          <cell r="P3154" t="str">
            <v>N</v>
          </cell>
          <cell r="Q3154" t="str">
            <v>Extra Capacity</v>
          </cell>
          <cell r="S3154">
            <v>0.19</v>
          </cell>
        </row>
        <row r="3155">
          <cell r="D3155">
            <v>1108006169</v>
          </cell>
          <cell r="E3155" t="str">
            <v>ALAN CURTIS</v>
          </cell>
          <cell r="F3155" t="str">
            <v>D (MD)</v>
          </cell>
          <cell r="G3155">
            <v>348358</v>
          </cell>
          <cell r="H3155" t="str">
            <v>Mayday</v>
          </cell>
          <cell r="I3155">
            <v>0.3125</v>
          </cell>
          <cell r="J3155">
            <v>0.83333333333333337</v>
          </cell>
          <cell r="K3155">
            <v>11.8333333333333</v>
          </cell>
          <cell r="L3155">
            <v>382.1</v>
          </cell>
          <cell r="O3155" t="str">
            <v>Y</v>
          </cell>
          <cell r="P3155" t="str">
            <v>N</v>
          </cell>
          <cell r="Q3155" t="str">
            <v>Vacancy</v>
          </cell>
          <cell r="S3155">
            <v>0.32</v>
          </cell>
        </row>
        <row r="3156">
          <cell r="D3156">
            <v>1208000613</v>
          </cell>
          <cell r="E3156" t="str">
            <v>ALLI SUBRAMANIAM</v>
          </cell>
          <cell r="F3156" t="str">
            <v>D (MD)</v>
          </cell>
          <cell r="G3156">
            <v>356069</v>
          </cell>
          <cell r="H3156" t="str">
            <v>Mayday</v>
          </cell>
          <cell r="I3156">
            <v>0.3125</v>
          </cell>
          <cell r="J3156">
            <v>0.625</v>
          </cell>
          <cell r="K3156">
            <v>7.1666666666666696</v>
          </cell>
          <cell r="L3156">
            <v>231.41</v>
          </cell>
          <cell r="O3156" t="str">
            <v>Y</v>
          </cell>
          <cell r="P3156" t="str">
            <v>N</v>
          </cell>
          <cell r="Q3156" t="str">
            <v>Extra Capacity</v>
          </cell>
          <cell r="S3156">
            <v>0.19</v>
          </cell>
        </row>
        <row r="3157">
          <cell r="D3157">
            <v>1208000615</v>
          </cell>
          <cell r="E3157" t="str">
            <v>ALLI SUBRAMANIAM</v>
          </cell>
          <cell r="F3157" t="str">
            <v>D (MD)</v>
          </cell>
          <cell r="G3157">
            <v>356069</v>
          </cell>
          <cell r="H3157" t="str">
            <v>Mayday</v>
          </cell>
          <cell r="I3157">
            <v>0.625</v>
          </cell>
          <cell r="J3157">
            <v>0.85416666666666663</v>
          </cell>
          <cell r="K3157">
            <v>5.5</v>
          </cell>
          <cell r="L3157">
            <v>177.59</v>
          </cell>
          <cell r="O3157" t="str">
            <v>Y</v>
          </cell>
          <cell r="P3157" t="str">
            <v>N</v>
          </cell>
          <cell r="Q3157" t="str">
            <v>Extra Capacity</v>
          </cell>
          <cell r="S3157">
            <v>0.15</v>
          </cell>
        </row>
        <row r="3158">
          <cell r="D3158">
            <v>1108004802</v>
          </cell>
          <cell r="E3158" t="str">
            <v>ALMA DEPENA</v>
          </cell>
          <cell r="F3158" t="str">
            <v>D (Ch)</v>
          </cell>
          <cell r="H3158" t="str">
            <v>Choice</v>
          </cell>
          <cell r="I3158">
            <v>0.83333333333333337</v>
          </cell>
          <cell r="J3158">
            <v>0.33333333333333331</v>
          </cell>
          <cell r="K3158">
            <v>11.3333333333333</v>
          </cell>
          <cell r="L3158">
            <v>359.05</v>
          </cell>
          <cell r="O3158" t="str">
            <v>Y</v>
          </cell>
          <cell r="P3158" t="str">
            <v>N</v>
          </cell>
          <cell r="Q3158" t="str">
            <v>Vacancy</v>
          </cell>
          <cell r="S3158">
            <v>0.3</v>
          </cell>
        </row>
        <row r="3159">
          <cell r="D3159">
            <v>1208000489</v>
          </cell>
          <cell r="E3159" t="str">
            <v>BERNADETTE SHINYA-NDUNUWANI</v>
          </cell>
          <cell r="F3159" t="str">
            <v>D (MD)</v>
          </cell>
          <cell r="G3159">
            <v>348624</v>
          </cell>
          <cell r="H3159" t="str">
            <v>Mayday</v>
          </cell>
          <cell r="I3159">
            <v>0.3125</v>
          </cell>
          <cell r="J3159">
            <v>0.64583333333333337</v>
          </cell>
          <cell r="K3159">
            <v>7.6666666666666696</v>
          </cell>
          <cell r="L3159">
            <v>247.56</v>
          </cell>
          <cell r="O3159" t="str">
            <v>Y</v>
          </cell>
          <cell r="P3159" t="str">
            <v>N</v>
          </cell>
          <cell r="Q3159" t="str">
            <v>Extra Capacity</v>
          </cell>
          <cell r="S3159">
            <v>0.2</v>
          </cell>
        </row>
        <row r="3160">
          <cell r="D3160">
            <v>1208000491</v>
          </cell>
          <cell r="E3160" t="str">
            <v>BERNADETTE SHINYA-NDUNUWANI</v>
          </cell>
          <cell r="F3160" t="str">
            <v>D (MD)</v>
          </cell>
          <cell r="G3160">
            <v>348624</v>
          </cell>
          <cell r="H3160" t="str">
            <v>Mayday</v>
          </cell>
          <cell r="I3160">
            <v>0.64583333333333337</v>
          </cell>
          <cell r="J3160">
            <v>0.85416666666666663</v>
          </cell>
          <cell r="K3160">
            <v>5</v>
          </cell>
          <cell r="L3160">
            <v>161.44999999999999</v>
          </cell>
          <cell r="O3160" t="str">
            <v>Y</v>
          </cell>
          <cell r="P3160" t="str">
            <v>N</v>
          </cell>
          <cell r="Q3160" t="str">
            <v>Extra Capacity</v>
          </cell>
          <cell r="S3160">
            <v>0.13</v>
          </cell>
        </row>
        <row r="3161">
          <cell r="D3161">
            <v>1108006176</v>
          </cell>
          <cell r="E3161" t="str">
            <v>BRIGHTNESS NDEBELE</v>
          </cell>
          <cell r="F3161" t="str">
            <v>D (MD)</v>
          </cell>
          <cell r="G3161">
            <v>349842</v>
          </cell>
          <cell r="H3161" t="str">
            <v>Mayday</v>
          </cell>
          <cell r="I3161">
            <v>0.8125</v>
          </cell>
          <cell r="J3161">
            <v>0.33333333333333331</v>
          </cell>
          <cell r="K3161">
            <v>11.8333333333333</v>
          </cell>
          <cell r="L3161">
            <v>496.73</v>
          </cell>
          <cell r="O3161" t="str">
            <v>Y</v>
          </cell>
          <cell r="P3161" t="str">
            <v>N</v>
          </cell>
          <cell r="Q3161" t="str">
            <v>Short Term Sick</v>
          </cell>
          <cell r="S3161">
            <v>0.32</v>
          </cell>
        </row>
        <row r="3162">
          <cell r="D3162">
            <v>1208000080</v>
          </cell>
          <cell r="E3162" t="str">
            <v>CATH CHIDAVAYENZI</v>
          </cell>
          <cell r="F3162" t="str">
            <v>D (Ch)</v>
          </cell>
          <cell r="G3162">
            <v>17449</v>
          </cell>
          <cell r="H3162" t="str">
            <v>Choice</v>
          </cell>
          <cell r="I3162">
            <v>0.83333333333333337</v>
          </cell>
          <cell r="J3162">
            <v>0.33333333333333331</v>
          </cell>
          <cell r="K3162">
            <v>11.3333333333333</v>
          </cell>
          <cell r="L3162">
            <v>359.05</v>
          </cell>
          <cell r="O3162" t="str">
            <v>Y</v>
          </cell>
          <cell r="P3162" t="str">
            <v>N</v>
          </cell>
          <cell r="Q3162" t="str">
            <v>Extra Capacity</v>
          </cell>
          <cell r="S3162">
            <v>0.3</v>
          </cell>
        </row>
        <row r="3163">
          <cell r="D3163">
            <v>1208000883</v>
          </cell>
          <cell r="E3163" t="str">
            <v>CLAIRE WOODHAM</v>
          </cell>
          <cell r="F3163" t="str">
            <v>D (Amb)</v>
          </cell>
          <cell r="G3163">
            <v>763613</v>
          </cell>
          <cell r="H3163" t="str">
            <v>Ambition</v>
          </cell>
          <cell r="I3163">
            <v>0.82291666666666663</v>
          </cell>
          <cell r="J3163">
            <v>0.34375</v>
          </cell>
          <cell r="K3163">
            <v>11.5</v>
          </cell>
          <cell r="L3163">
            <v>584.54999999999995</v>
          </cell>
          <cell r="O3163" t="str">
            <v>Y</v>
          </cell>
          <cell r="P3163" t="str">
            <v>N</v>
          </cell>
          <cell r="Q3163" t="str">
            <v>Extra Capacity</v>
          </cell>
          <cell r="S3163">
            <v>0.31</v>
          </cell>
        </row>
        <row r="3164">
          <cell r="D3164">
            <v>1008007348</v>
          </cell>
          <cell r="E3164" t="str">
            <v>DAMILOLA AIKI</v>
          </cell>
          <cell r="F3164" t="str">
            <v>A (Ch)</v>
          </cell>
          <cell r="G3164">
            <v>17453</v>
          </cell>
          <cell r="H3164" t="str">
            <v>Choice</v>
          </cell>
          <cell r="I3164">
            <v>0.3125</v>
          </cell>
          <cell r="J3164">
            <v>0.5625</v>
          </cell>
          <cell r="K3164">
            <v>5.6666666666666696</v>
          </cell>
          <cell r="L3164">
            <v>62.84</v>
          </cell>
          <cell r="M3164">
            <v>69.736756756756762</v>
          </cell>
          <cell r="O3164" t="str">
            <v>Y</v>
          </cell>
          <cell r="P3164" t="str">
            <v>N</v>
          </cell>
          <cell r="Q3164" t="str">
            <v>Vacancy</v>
          </cell>
          <cell r="S3164">
            <v>0.15</v>
          </cell>
        </row>
        <row r="3165">
          <cell r="D3165">
            <v>1008007349</v>
          </cell>
          <cell r="E3165" t="str">
            <v>DAMILOLA AIKI</v>
          </cell>
          <cell r="F3165" t="str">
            <v>A (Ch)</v>
          </cell>
          <cell r="G3165">
            <v>17453</v>
          </cell>
          <cell r="H3165" t="str">
            <v>Choice</v>
          </cell>
          <cell r="I3165">
            <v>0.5625</v>
          </cell>
          <cell r="J3165">
            <v>0.85416666666666663</v>
          </cell>
          <cell r="K3165">
            <v>6.6666666666666696</v>
          </cell>
          <cell r="L3165">
            <v>73.930000000000007</v>
          </cell>
          <cell r="M3165">
            <v>82.043243243243239</v>
          </cell>
          <cell r="O3165" t="str">
            <v>Y</v>
          </cell>
          <cell r="P3165" t="str">
            <v>N</v>
          </cell>
          <cell r="Q3165" t="str">
            <v>Vacancy</v>
          </cell>
          <cell r="S3165">
            <v>0.18</v>
          </cell>
        </row>
        <row r="3166">
          <cell r="D3166">
            <v>1208000210</v>
          </cell>
          <cell r="E3166" t="str">
            <v>DENNIS DVENGE</v>
          </cell>
          <cell r="F3166" t="str">
            <v>D (Ch)</v>
          </cell>
          <cell r="G3166">
            <v>17461</v>
          </cell>
          <cell r="H3166" t="str">
            <v>Choice</v>
          </cell>
          <cell r="I3166">
            <v>0.88541666666666663</v>
          </cell>
          <cell r="J3166">
            <v>0.3125</v>
          </cell>
          <cell r="K3166">
            <v>9.25</v>
          </cell>
          <cell r="L3166">
            <v>293.05</v>
          </cell>
          <cell r="O3166" t="str">
            <v>Y</v>
          </cell>
          <cell r="P3166" t="str">
            <v>N</v>
          </cell>
          <cell r="Q3166" t="str">
            <v>Vacancy</v>
          </cell>
          <cell r="S3166">
            <v>0.25</v>
          </cell>
        </row>
        <row r="3167">
          <cell r="D3167">
            <v>1208000617</v>
          </cell>
          <cell r="E3167" t="str">
            <v>DENNIS HEBRON</v>
          </cell>
          <cell r="F3167" t="str">
            <v>D (Ch)</v>
          </cell>
          <cell r="G3167">
            <v>17439</v>
          </cell>
          <cell r="H3167" t="str">
            <v>Choice</v>
          </cell>
          <cell r="I3167">
            <v>0.83333333333333337</v>
          </cell>
          <cell r="J3167">
            <v>0.33333333333333331</v>
          </cell>
          <cell r="K3167">
            <v>11.3333333333333</v>
          </cell>
          <cell r="L3167">
            <v>359.05</v>
          </cell>
          <cell r="O3167" t="str">
            <v>Y</v>
          </cell>
          <cell r="P3167" t="str">
            <v>N</v>
          </cell>
          <cell r="Q3167" t="str">
            <v>Extra Capacity</v>
          </cell>
          <cell r="S3167">
            <v>0.3</v>
          </cell>
        </row>
        <row r="3168">
          <cell r="D3168">
            <v>1208001289</v>
          </cell>
          <cell r="E3168" t="str">
            <v>DESIREE DOMINGO</v>
          </cell>
          <cell r="F3168" t="str">
            <v>D (Amb)</v>
          </cell>
          <cell r="G3168">
            <v>763641</v>
          </cell>
          <cell r="H3168" t="str">
            <v>Ambition</v>
          </cell>
          <cell r="I3168">
            <v>0.29166666666666669</v>
          </cell>
          <cell r="J3168">
            <v>0.625</v>
          </cell>
          <cell r="K3168">
            <v>7.6666666666666696</v>
          </cell>
          <cell r="L3168">
            <v>299.77</v>
          </cell>
          <cell r="O3168" t="str">
            <v>Y</v>
          </cell>
          <cell r="P3168" t="str">
            <v>N</v>
          </cell>
          <cell r="Q3168" t="str">
            <v>Vacancy</v>
          </cell>
          <cell r="S3168">
            <v>0.2</v>
          </cell>
        </row>
        <row r="3169">
          <cell r="D3169">
            <v>1208001355</v>
          </cell>
          <cell r="E3169" t="str">
            <v>ELSIE CHIKUKWA</v>
          </cell>
          <cell r="F3169" t="str">
            <v>D (MD)</v>
          </cell>
          <cell r="G3169">
            <v>350079</v>
          </cell>
          <cell r="H3169" t="str">
            <v>Mayday</v>
          </cell>
          <cell r="I3169">
            <v>0.875</v>
          </cell>
          <cell r="J3169">
            <v>0.3125</v>
          </cell>
          <cell r="K3169">
            <v>10.1666666666667</v>
          </cell>
          <cell r="L3169">
            <v>426.77</v>
          </cell>
          <cell r="O3169" t="str">
            <v>Y</v>
          </cell>
          <cell r="P3169" t="str">
            <v>N</v>
          </cell>
          <cell r="Q3169" t="str">
            <v>Short Term Sick</v>
          </cell>
          <cell r="S3169">
            <v>0.27</v>
          </cell>
        </row>
        <row r="3170">
          <cell r="D3170">
            <v>1208001298</v>
          </cell>
          <cell r="E3170" t="str">
            <v>EUNICE ADEBANJO</v>
          </cell>
          <cell r="F3170" t="str">
            <v>D (Ch)</v>
          </cell>
          <cell r="G3170">
            <v>17455</v>
          </cell>
          <cell r="H3170" t="str">
            <v>Choice</v>
          </cell>
          <cell r="I3170">
            <v>0.83333333333333337</v>
          </cell>
          <cell r="J3170">
            <v>0.33333333333333331</v>
          </cell>
          <cell r="K3170">
            <v>11.3333333333333</v>
          </cell>
          <cell r="L3170">
            <v>359.05</v>
          </cell>
          <cell r="O3170" t="str">
            <v>Y</v>
          </cell>
          <cell r="P3170" t="str">
            <v>N</v>
          </cell>
          <cell r="Q3170" t="str">
            <v>Extra Capacity</v>
          </cell>
          <cell r="S3170">
            <v>0.3</v>
          </cell>
        </row>
        <row r="3171">
          <cell r="D3171">
            <v>1208001295</v>
          </cell>
          <cell r="E3171" t="str">
            <v>FLORENCE DLAMINI</v>
          </cell>
          <cell r="F3171" t="str">
            <v>D (Amb)</v>
          </cell>
          <cell r="G3171">
            <v>766181</v>
          </cell>
          <cell r="H3171" t="str">
            <v>Ambition</v>
          </cell>
          <cell r="I3171">
            <v>0.83333333333333337</v>
          </cell>
          <cell r="J3171">
            <v>0.33333333333333331</v>
          </cell>
          <cell r="K3171">
            <v>11.3333333333333</v>
          </cell>
          <cell r="L3171">
            <v>576.07000000000005</v>
          </cell>
          <cell r="O3171" t="str">
            <v>Y</v>
          </cell>
          <cell r="P3171" t="str">
            <v>N</v>
          </cell>
          <cell r="Q3171" t="str">
            <v>Extra Capacity</v>
          </cell>
          <cell r="S3171">
            <v>0.3</v>
          </cell>
        </row>
        <row r="3172">
          <cell r="D3172">
            <v>1008004011</v>
          </cell>
          <cell r="E3172" t="str">
            <v>GAIL HOWLEY</v>
          </cell>
          <cell r="F3172" t="str">
            <v>D (Amb)</v>
          </cell>
          <cell r="G3172">
            <v>763610</v>
          </cell>
          <cell r="H3172" t="str">
            <v>Ambition</v>
          </cell>
          <cell r="I3172">
            <v>0.32291666666666669</v>
          </cell>
          <cell r="J3172">
            <v>0.84375</v>
          </cell>
          <cell r="K3172">
            <v>11.8333333333333</v>
          </cell>
          <cell r="L3172">
            <v>462.68</v>
          </cell>
          <cell r="O3172" t="str">
            <v>Y</v>
          </cell>
          <cell r="P3172" t="str">
            <v>N</v>
          </cell>
          <cell r="Q3172" t="str">
            <v>Extra Capacity</v>
          </cell>
          <cell r="S3172">
            <v>0.32</v>
          </cell>
        </row>
        <row r="3173">
          <cell r="D3173">
            <v>1208001149</v>
          </cell>
          <cell r="E3173" t="str">
            <v>IOAN GALATANU</v>
          </cell>
          <cell r="F3173" t="str">
            <v>D (Amb)</v>
          </cell>
          <cell r="G3173">
            <v>763638</v>
          </cell>
          <cell r="H3173" t="str">
            <v>Ambition</v>
          </cell>
          <cell r="I3173">
            <v>0.3125</v>
          </cell>
          <cell r="J3173">
            <v>0.60416666666666663</v>
          </cell>
          <cell r="K3173">
            <v>6.6666666666666696</v>
          </cell>
          <cell r="L3173">
            <v>260.67</v>
          </cell>
          <cell r="O3173" t="str">
            <v>Y</v>
          </cell>
          <cell r="P3173" t="str">
            <v>N</v>
          </cell>
          <cell r="Q3173" t="str">
            <v>Short Term Sick</v>
          </cell>
          <cell r="S3173">
            <v>0.18</v>
          </cell>
        </row>
        <row r="3174">
          <cell r="D3174">
            <v>1108006554</v>
          </cell>
          <cell r="E3174" t="str">
            <v>JAKE BROOKES</v>
          </cell>
          <cell r="F3174" t="str">
            <v>D General (Orio</v>
          </cell>
          <cell r="G3174" t="str">
            <v>Invsd Smt checked</v>
          </cell>
          <cell r="H3174" t="str">
            <v>Orion</v>
          </cell>
          <cell r="I3174">
            <v>0.33333333333333331</v>
          </cell>
          <cell r="J3174">
            <v>0.75</v>
          </cell>
          <cell r="K3174">
            <v>9.6666666666666696</v>
          </cell>
          <cell r="L3174">
            <v>175.16</v>
          </cell>
          <cell r="O3174" t="str">
            <v>Y</v>
          </cell>
          <cell r="P3174" t="str">
            <v>N</v>
          </cell>
          <cell r="Q3174" t="str">
            <v>Long Term Sick</v>
          </cell>
          <cell r="S3174">
            <v>0.26</v>
          </cell>
        </row>
        <row r="3175">
          <cell r="D3175">
            <v>1108006380</v>
          </cell>
          <cell r="E3175" t="str">
            <v>JAMES MCCLEMENTS</v>
          </cell>
          <cell r="F3175" t="str">
            <v>D (MD)</v>
          </cell>
          <cell r="G3175">
            <v>348290</v>
          </cell>
          <cell r="H3175" t="str">
            <v>Mayday</v>
          </cell>
          <cell r="I3175">
            <v>0.3125</v>
          </cell>
          <cell r="J3175">
            <v>0.83333333333333337</v>
          </cell>
          <cell r="K3175">
            <v>11.8333333333333</v>
          </cell>
          <cell r="L3175">
            <v>382.1</v>
          </cell>
          <cell r="O3175" t="str">
            <v>Y</v>
          </cell>
          <cell r="P3175" t="str">
            <v>N</v>
          </cell>
          <cell r="Q3175" t="str">
            <v>Extra Capacity</v>
          </cell>
          <cell r="S3175">
            <v>0.32</v>
          </cell>
        </row>
        <row r="3176">
          <cell r="D3176">
            <v>1208001328</v>
          </cell>
          <cell r="E3176" t="str">
            <v>JASMINE ESGUERRA</v>
          </cell>
          <cell r="F3176" t="str">
            <v>D (Ch)</v>
          </cell>
          <cell r="G3176">
            <v>17439</v>
          </cell>
          <cell r="H3176" t="str">
            <v>Choice</v>
          </cell>
          <cell r="I3176">
            <v>0.88541666666666663</v>
          </cell>
          <cell r="J3176">
            <v>0.25</v>
          </cell>
          <cell r="K3176">
            <v>7.75</v>
          </cell>
          <cell r="L3176">
            <v>245.53</v>
          </cell>
          <cell r="O3176" t="str">
            <v>Y</v>
          </cell>
          <cell r="P3176" t="str">
            <v>N</v>
          </cell>
          <cell r="Q3176" t="str">
            <v>Short Term Sick</v>
          </cell>
          <cell r="S3176">
            <v>0.21</v>
          </cell>
        </row>
        <row r="3177">
          <cell r="D3177">
            <v>1108002987</v>
          </cell>
          <cell r="E3177" t="str">
            <v>JEAN NGONA</v>
          </cell>
          <cell r="F3177" t="str">
            <v>D (MD)</v>
          </cell>
          <cell r="G3177">
            <v>349788</v>
          </cell>
          <cell r="H3177" t="str">
            <v>Mayday</v>
          </cell>
          <cell r="I3177">
            <v>0.3125</v>
          </cell>
          <cell r="J3177">
            <v>0.5625</v>
          </cell>
          <cell r="K3177">
            <v>5.6666666666666696</v>
          </cell>
          <cell r="L3177">
            <v>182.98</v>
          </cell>
          <cell r="O3177" t="str">
            <v>Y</v>
          </cell>
          <cell r="P3177" t="str">
            <v>N</v>
          </cell>
          <cell r="Q3177" t="str">
            <v>Vacancy</v>
          </cell>
          <cell r="S3177">
            <v>0.15</v>
          </cell>
        </row>
        <row r="3178">
          <cell r="D3178">
            <v>1108002991</v>
          </cell>
          <cell r="E3178" t="str">
            <v>JEAN NGONA</v>
          </cell>
          <cell r="F3178" t="str">
            <v>D (MD)</v>
          </cell>
          <cell r="G3178">
            <v>349788</v>
          </cell>
          <cell r="H3178" t="str">
            <v>Mayday</v>
          </cell>
          <cell r="I3178">
            <v>0.5625</v>
          </cell>
          <cell r="J3178">
            <v>0.85416666666666663</v>
          </cell>
          <cell r="K3178">
            <v>6.6666666666666696</v>
          </cell>
          <cell r="L3178">
            <v>215.27</v>
          </cell>
          <cell r="O3178" t="str">
            <v>Y</v>
          </cell>
          <cell r="P3178" t="str">
            <v>N</v>
          </cell>
          <cell r="Q3178" t="str">
            <v>Under Established</v>
          </cell>
          <cell r="S3178">
            <v>0.18</v>
          </cell>
        </row>
        <row r="3179">
          <cell r="D3179">
            <v>1108006163</v>
          </cell>
          <cell r="E3179" t="str">
            <v>JO BRADY</v>
          </cell>
          <cell r="F3179" t="str">
            <v>D (MD)</v>
          </cell>
          <cell r="G3179">
            <v>348361</v>
          </cell>
          <cell r="H3179" t="str">
            <v>Mayday</v>
          </cell>
          <cell r="I3179">
            <v>0.3125</v>
          </cell>
          <cell r="J3179">
            <v>0.83333333333333337</v>
          </cell>
          <cell r="K3179">
            <v>11.8333333333333</v>
          </cell>
          <cell r="L3179">
            <v>382.1</v>
          </cell>
          <cell r="O3179" t="str">
            <v>Y</v>
          </cell>
          <cell r="P3179" t="str">
            <v>N</v>
          </cell>
          <cell r="Q3179" t="str">
            <v>Short Term Sick</v>
          </cell>
          <cell r="S3179">
            <v>0.32</v>
          </cell>
        </row>
        <row r="3180">
          <cell r="D3180">
            <v>1208000341</v>
          </cell>
          <cell r="E3180" t="str">
            <v>JOAN LEWIS</v>
          </cell>
          <cell r="F3180" t="str">
            <v>D (MD)</v>
          </cell>
          <cell r="G3180">
            <v>348652</v>
          </cell>
          <cell r="H3180" t="str">
            <v>Mayday</v>
          </cell>
          <cell r="I3180">
            <v>0.3125</v>
          </cell>
          <cell r="J3180">
            <v>0.64583333333333337</v>
          </cell>
          <cell r="K3180">
            <v>7.6666666666666696</v>
          </cell>
          <cell r="L3180">
            <v>247.56</v>
          </cell>
          <cell r="O3180" t="str">
            <v>Y</v>
          </cell>
          <cell r="P3180" t="str">
            <v>N</v>
          </cell>
          <cell r="Q3180" t="str">
            <v>Vacancy</v>
          </cell>
          <cell r="S3180">
            <v>0.2</v>
          </cell>
        </row>
        <row r="3181">
          <cell r="D3181">
            <v>1108003902</v>
          </cell>
          <cell r="E3181" t="str">
            <v>JOANNE DUCKER</v>
          </cell>
          <cell r="F3181" t="str">
            <v>D / 5 General (</v>
          </cell>
          <cell r="G3181" t="str">
            <v>604-159819</v>
          </cell>
          <cell r="H3181" t="str">
            <v>Blue Arrow</v>
          </cell>
          <cell r="I3181">
            <v>0.625</v>
          </cell>
          <cell r="J3181">
            <v>0.89583333333333337</v>
          </cell>
          <cell r="K3181">
            <v>6.1666666666666696</v>
          </cell>
          <cell r="L3181">
            <v>104.09</v>
          </cell>
          <cell r="O3181" t="str">
            <v>Y</v>
          </cell>
          <cell r="P3181" t="str">
            <v>N</v>
          </cell>
          <cell r="Q3181" t="str">
            <v>Vacancy</v>
          </cell>
          <cell r="S3181">
            <v>0.16</v>
          </cell>
        </row>
        <row r="3182">
          <cell r="D3182">
            <v>1208001147</v>
          </cell>
          <cell r="E3182" t="str">
            <v>JOSEPH BASS</v>
          </cell>
          <cell r="F3182" t="str">
            <v>D (MD)</v>
          </cell>
          <cell r="G3182">
            <v>351509</v>
          </cell>
          <cell r="H3182" t="str">
            <v>Mayday</v>
          </cell>
          <cell r="I3182">
            <v>0.83333333333333337</v>
          </cell>
          <cell r="J3182">
            <v>0.33333333333333331</v>
          </cell>
          <cell r="K3182">
            <v>11.3333333333333</v>
          </cell>
          <cell r="L3182">
            <v>475.74</v>
          </cell>
          <cell r="O3182" t="str">
            <v>Y</v>
          </cell>
          <cell r="P3182" t="str">
            <v>N</v>
          </cell>
          <cell r="Q3182" t="str">
            <v>Short Term Sick</v>
          </cell>
          <cell r="S3182">
            <v>0.3</v>
          </cell>
        </row>
        <row r="3183">
          <cell r="D3183">
            <v>1208002311</v>
          </cell>
          <cell r="E3183" t="str">
            <v>JOSEPHINE MOLLOY</v>
          </cell>
          <cell r="F3183" t="str">
            <v>D (Amb)</v>
          </cell>
          <cell r="G3183">
            <v>766412</v>
          </cell>
          <cell r="H3183" t="str">
            <v>Ambition</v>
          </cell>
          <cell r="I3183">
            <v>0.8125</v>
          </cell>
          <cell r="J3183">
            <v>0.33333333333333331</v>
          </cell>
          <cell r="K3183">
            <v>11.8333333333333</v>
          </cell>
          <cell r="L3183">
            <v>601.49</v>
          </cell>
          <cell r="O3183" t="str">
            <v>Y</v>
          </cell>
          <cell r="P3183" t="str">
            <v>N</v>
          </cell>
          <cell r="Q3183" t="str">
            <v>Extra Capacity</v>
          </cell>
          <cell r="S3183">
            <v>0.32</v>
          </cell>
        </row>
        <row r="3184">
          <cell r="D3184">
            <v>1208001105</v>
          </cell>
          <cell r="E3184" t="str">
            <v>KATH WILDREDGE</v>
          </cell>
          <cell r="F3184" t="str">
            <v>D (MD)</v>
          </cell>
          <cell r="G3184">
            <v>349487</v>
          </cell>
          <cell r="H3184" t="str">
            <v>Mayday</v>
          </cell>
          <cell r="I3184">
            <v>0.83333333333333337</v>
          </cell>
          <cell r="J3184">
            <v>0.33333333333333331</v>
          </cell>
          <cell r="K3184">
            <v>11</v>
          </cell>
          <cell r="L3184">
            <v>461.75</v>
          </cell>
          <cell r="O3184" t="str">
            <v>Y</v>
          </cell>
          <cell r="P3184" t="str">
            <v>N</v>
          </cell>
          <cell r="Q3184" t="str">
            <v>Acuity</v>
          </cell>
          <cell r="S3184">
            <v>0.28999999999999998</v>
          </cell>
        </row>
        <row r="3185">
          <cell r="D3185">
            <v>1208001296</v>
          </cell>
          <cell r="E3185" t="str">
            <v>LETECIA MENIANO</v>
          </cell>
          <cell r="F3185" t="str">
            <v>D (MD)</v>
          </cell>
          <cell r="G3185">
            <v>349839</v>
          </cell>
          <cell r="H3185" t="str">
            <v>Mayday</v>
          </cell>
          <cell r="I3185">
            <v>0.83333333333333337</v>
          </cell>
          <cell r="J3185">
            <v>0.33333333333333331</v>
          </cell>
          <cell r="K3185">
            <v>11.3333333333333</v>
          </cell>
          <cell r="L3185">
            <v>475.74</v>
          </cell>
          <cell r="O3185" t="str">
            <v>Y</v>
          </cell>
          <cell r="P3185" t="str">
            <v>N</v>
          </cell>
          <cell r="Q3185" t="str">
            <v>Extra Capacity</v>
          </cell>
          <cell r="S3185">
            <v>0.3</v>
          </cell>
        </row>
        <row r="3186">
          <cell r="D3186">
            <v>1208001380</v>
          </cell>
          <cell r="E3186" t="str">
            <v>MARGARET MUKUWIRI</v>
          </cell>
          <cell r="F3186" t="str">
            <v>D (MD)</v>
          </cell>
          <cell r="H3186" t="str">
            <v>Mayday</v>
          </cell>
          <cell r="I3186">
            <v>0.83333333333333337</v>
          </cell>
          <cell r="J3186">
            <v>0.33333333333333331</v>
          </cell>
          <cell r="K3186">
            <v>11</v>
          </cell>
          <cell r="L3186">
            <v>461.75</v>
          </cell>
          <cell r="O3186" t="str">
            <v>Y</v>
          </cell>
          <cell r="P3186" t="str">
            <v>N</v>
          </cell>
          <cell r="Q3186" t="str">
            <v>Extra Capacity</v>
          </cell>
          <cell r="S3186">
            <v>0.28999999999999998</v>
          </cell>
        </row>
        <row r="3187">
          <cell r="D3187">
            <v>1108004800</v>
          </cell>
          <cell r="E3187" t="str">
            <v>MERCY AFELE</v>
          </cell>
          <cell r="F3187" t="str">
            <v>D (MD)</v>
          </cell>
          <cell r="G3187">
            <v>348669</v>
          </cell>
          <cell r="H3187" t="str">
            <v>Mayday</v>
          </cell>
          <cell r="I3187">
            <v>0.3125</v>
          </cell>
          <cell r="J3187">
            <v>0.54166666666666663</v>
          </cell>
          <cell r="K3187">
            <v>5.5</v>
          </cell>
          <cell r="L3187">
            <v>177.59</v>
          </cell>
          <cell r="O3187" t="str">
            <v>Y</v>
          </cell>
          <cell r="P3187" t="str">
            <v>N</v>
          </cell>
          <cell r="Q3187" t="str">
            <v>Vacancy</v>
          </cell>
          <cell r="S3187">
            <v>0.15</v>
          </cell>
        </row>
        <row r="3188">
          <cell r="D3188">
            <v>1108004801</v>
          </cell>
          <cell r="E3188" t="str">
            <v>MERCY AFELE</v>
          </cell>
          <cell r="F3188" t="str">
            <v>D (MD)</v>
          </cell>
          <cell r="G3188">
            <v>348669</v>
          </cell>
          <cell r="H3188" t="str">
            <v>Mayday</v>
          </cell>
          <cell r="I3188">
            <v>0.625</v>
          </cell>
          <cell r="J3188">
            <v>0.85416666666666663</v>
          </cell>
          <cell r="K3188">
            <v>5.5</v>
          </cell>
          <cell r="L3188">
            <v>177.59</v>
          </cell>
          <cell r="O3188" t="str">
            <v>Y</v>
          </cell>
          <cell r="P3188" t="str">
            <v>N</v>
          </cell>
          <cell r="Q3188" t="str">
            <v>Vacancy</v>
          </cell>
          <cell r="S3188">
            <v>0.15</v>
          </cell>
        </row>
        <row r="3189">
          <cell r="D3189">
            <v>1108004836</v>
          </cell>
          <cell r="E3189" t="str">
            <v>MZUKISI SPEELMAN</v>
          </cell>
          <cell r="F3189" t="str">
            <v>A (Ch)</v>
          </cell>
          <cell r="G3189">
            <v>17442</v>
          </cell>
          <cell r="H3189" t="str">
            <v>Choice</v>
          </cell>
          <cell r="I3189">
            <v>0.3125</v>
          </cell>
          <cell r="J3189">
            <v>0.5625</v>
          </cell>
          <cell r="K3189">
            <v>5.6666666666666696</v>
          </cell>
          <cell r="L3189">
            <v>62.84</v>
          </cell>
          <cell r="O3189" t="str">
            <v>Y</v>
          </cell>
          <cell r="P3189" t="str">
            <v>N</v>
          </cell>
          <cell r="Q3189" t="str">
            <v>Short Term Sick</v>
          </cell>
          <cell r="S3189">
            <v>0.15</v>
          </cell>
        </row>
        <row r="3190">
          <cell r="D3190">
            <v>1208001198</v>
          </cell>
          <cell r="E3190" t="str">
            <v>MZUKISI SPEELMAN</v>
          </cell>
          <cell r="F3190" t="str">
            <v>A (Ch)</v>
          </cell>
          <cell r="G3190">
            <v>17442</v>
          </cell>
          <cell r="H3190" t="str">
            <v>Choice</v>
          </cell>
          <cell r="I3190">
            <v>0.5625</v>
          </cell>
          <cell r="J3190">
            <v>0.85416666666666663</v>
          </cell>
          <cell r="K3190">
            <v>6.6666666666666696</v>
          </cell>
          <cell r="L3190">
            <v>73.930000000000007</v>
          </cell>
          <cell r="O3190" t="str">
            <v>Y</v>
          </cell>
          <cell r="P3190" t="str">
            <v>N</v>
          </cell>
          <cell r="Q3190" t="str">
            <v>Under Established</v>
          </cell>
          <cell r="S3190">
            <v>0.18</v>
          </cell>
        </row>
        <row r="3191">
          <cell r="D3191">
            <v>1208001288</v>
          </cell>
          <cell r="E3191" t="str">
            <v>NKOSI BHEBHE</v>
          </cell>
          <cell r="F3191" t="str">
            <v>D (Amb)</v>
          </cell>
          <cell r="G3191">
            <v>766198</v>
          </cell>
          <cell r="H3191" t="str">
            <v>Ambition</v>
          </cell>
          <cell r="I3191">
            <v>0.29166666666666669</v>
          </cell>
          <cell r="J3191">
            <v>0.625</v>
          </cell>
          <cell r="K3191">
            <v>7.6666666666666696</v>
          </cell>
          <cell r="L3191">
            <v>299.77</v>
          </cell>
          <cell r="O3191" t="str">
            <v>Y</v>
          </cell>
          <cell r="P3191" t="str">
            <v>N</v>
          </cell>
          <cell r="Q3191" t="str">
            <v>Vacancy</v>
          </cell>
          <cell r="S3191">
            <v>0.2</v>
          </cell>
        </row>
        <row r="3192">
          <cell r="D3192">
            <v>1208001291</v>
          </cell>
          <cell r="E3192" t="str">
            <v>NKOSI BHEBHE</v>
          </cell>
          <cell r="F3192" t="str">
            <v>D (Amb)</v>
          </cell>
          <cell r="G3192">
            <v>766198</v>
          </cell>
          <cell r="H3192" t="str">
            <v>Ambition</v>
          </cell>
          <cell r="I3192">
            <v>0.625</v>
          </cell>
          <cell r="J3192">
            <v>0.88541666666666663</v>
          </cell>
          <cell r="K3192">
            <v>5.9166666666666696</v>
          </cell>
          <cell r="L3192">
            <v>231.34</v>
          </cell>
          <cell r="O3192" t="str">
            <v>Y</v>
          </cell>
          <cell r="P3192" t="str">
            <v>N</v>
          </cell>
          <cell r="Q3192" t="str">
            <v>Vacancy</v>
          </cell>
          <cell r="S3192">
            <v>0.16</v>
          </cell>
        </row>
        <row r="3193">
          <cell r="D3193">
            <v>1208000094</v>
          </cell>
          <cell r="E3193" t="str">
            <v>PARMANUND PERYAGH</v>
          </cell>
          <cell r="F3193" t="str">
            <v>D (Amb)</v>
          </cell>
          <cell r="G3193">
            <v>763653</v>
          </cell>
          <cell r="H3193" t="str">
            <v>Ambition</v>
          </cell>
          <cell r="I3193">
            <v>0.3125</v>
          </cell>
          <cell r="J3193">
            <v>0.60416666666666663</v>
          </cell>
          <cell r="K3193">
            <v>12.3333333333333</v>
          </cell>
          <cell r="L3193">
            <v>482.23</v>
          </cell>
          <cell r="O3193" t="str">
            <v>Y</v>
          </cell>
          <cell r="P3193" t="str">
            <v>N</v>
          </cell>
          <cell r="Q3193" t="str">
            <v>Extra Capacity</v>
          </cell>
          <cell r="S3193">
            <v>0.33</v>
          </cell>
        </row>
        <row r="3194">
          <cell r="D3194">
            <v>1208001488</v>
          </cell>
          <cell r="E3194" t="str">
            <v>RODA RAMERIZ</v>
          </cell>
          <cell r="F3194" t="str">
            <v>D (Ch)</v>
          </cell>
          <cell r="G3194">
            <v>17453</v>
          </cell>
          <cell r="H3194" t="str">
            <v>Choice</v>
          </cell>
          <cell r="I3194">
            <v>0.83333333333333337</v>
          </cell>
          <cell r="J3194">
            <v>0.33333333333333331</v>
          </cell>
          <cell r="K3194">
            <v>11.3333333333333</v>
          </cell>
          <cell r="L3194">
            <v>359.05</v>
          </cell>
          <cell r="M3194">
            <v>337.87</v>
          </cell>
          <cell r="O3194" t="str">
            <v>Y</v>
          </cell>
          <cell r="P3194" t="str">
            <v>N</v>
          </cell>
          <cell r="Q3194" t="str">
            <v>Short Term Sick</v>
          </cell>
          <cell r="S3194">
            <v>0.3</v>
          </cell>
        </row>
        <row r="3195">
          <cell r="D3195">
            <v>1008004149</v>
          </cell>
          <cell r="E3195" t="str">
            <v>ROHEYATOU NDOW-NJIE</v>
          </cell>
          <cell r="F3195" t="str">
            <v>D (Ch)</v>
          </cell>
          <cell r="H3195" t="str">
            <v>Choice</v>
          </cell>
          <cell r="I3195">
            <v>0.3125</v>
          </cell>
          <cell r="J3195">
            <v>0.54166666666666663</v>
          </cell>
          <cell r="K3195">
            <v>5.5</v>
          </cell>
          <cell r="L3195">
            <v>134.03</v>
          </cell>
          <cell r="O3195" t="str">
            <v>Y</v>
          </cell>
          <cell r="P3195" t="str">
            <v>N</v>
          </cell>
          <cell r="Q3195" t="str">
            <v>Vacancy</v>
          </cell>
          <cell r="S3195">
            <v>0.15</v>
          </cell>
        </row>
        <row r="3196">
          <cell r="D3196">
            <v>1008004152</v>
          </cell>
          <cell r="E3196" t="str">
            <v>ROHEYATOU NDOW-NJIE</v>
          </cell>
          <cell r="F3196" t="str">
            <v>D (Ch)</v>
          </cell>
          <cell r="H3196" t="str">
            <v>Choice</v>
          </cell>
          <cell r="I3196">
            <v>0.625</v>
          </cell>
          <cell r="J3196">
            <v>0.85416666666666663</v>
          </cell>
          <cell r="K3196">
            <v>5.5</v>
          </cell>
          <cell r="L3196">
            <v>134.03</v>
          </cell>
          <cell r="O3196" t="str">
            <v>Y</v>
          </cell>
          <cell r="P3196" t="str">
            <v>N</v>
          </cell>
          <cell r="Q3196" t="str">
            <v>Vacancy</v>
          </cell>
          <cell r="S3196">
            <v>0.15</v>
          </cell>
        </row>
        <row r="3197">
          <cell r="D3197">
            <v>1208000493</v>
          </cell>
          <cell r="E3197" t="str">
            <v>RUTA KAIRYTE</v>
          </cell>
          <cell r="F3197" t="str">
            <v>D (Amb)</v>
          </cell>
          <cell r="G3197">
            <v>763643</v>
          </cell>
          <cell r="H3197" t="str">
            <v>Ambition</v>
          </cell>
          <cell r="I3197">
            <v>0.52083333333333337</v>
          </cell>
          <cell r="J3197">
            <v>0.85416666666666663</v>
          </cell>
          <cell r="K3197">
            <v>7.6666666666666696</v>
          </cell>
          <cell r="L3197">
            <v>299.77</v>
          </cell>
          <cell r="O3197" t="str">
            <v>Y</v>
          </cell>
          <cell r="P3197" t="str">
            <v>N</v>
          </cell>
          <cell r="Q3197" t="str">
            <v>Extra Capacity</v>
          </cell>
          <cell r="S3197">
            <v>0.2</v>
          </cell>
        </row>
        <row r="3198">
          <cell r="D3198">
            <v>1208000088</v>
          </cell>
          <cell r="E3198" t="str">
            <v>SAM KELEM</v>
          </cell>
          <cell r="F3198" t="str">
            <v>D (Ch)</v>
          </cell>
          <cell r="G3198">
            <v>17449</v>
          </cell>
          <cell r="H3198" t="str">
            <v>Choice</v>
          </cell>
          <cell r="I3198">
            <v>0.83333333333333337</v>
          </cell>
          <cell r="J3198">
            <v>0.33333333333333331</v>
          </cell>
          <cell r="K3198">
            <v>11.3333333333333</v>
          </cell>
          <cell r="L3198">
            <v>359.05</v>
          </cell>
          <cell r="O3198" t="str">
            <v>Y</v>
          </cell>
          <cell r="P3198" t="str">
            <v>N</v>
          </cell>
          <cell r="Q3198" t="str">
            <v>Extra Capacity</v>
          </cell>
          <cell r="S3198">
            <v>0.3</v>
          </cell>
        </row>
        <row r="3199">
          <cell r="D3199">
            <v>1208000490</v>
          </cell>
          <cell r="E3199" t="str">
            <v>SIBONGILE DOKOTERA</v>
          </cell>
          <cell r="F3199" t="str">
            <v>D (MD)</v>
          </cell>
          <cell r="H3199" t="str">
            <v>Mayday</v>
          </cell>
          <cell r="I3199">
            <v>0.3125</v>
          </cell>
          <cell r="J3199">
            <v>0.64583333333333337</v>
          </cell>
          <cell r="K3199">
            <v>7.6666666666666696</v>
          </cell>
          <cell r="L3199">
            <v>247.56</v>
          </cell>
          <cell r="O3199" t="str">
            <v>Y</v>
          </cell>
          <cell r="P3199" t="str">
            <v>N</v>
          </cell>
          <cell r="Q3199" t="str">
            <v>Extra Capacity</v>
          </cell>
          <cell r="S3199">
            <v>0.2</v>
          </cell>
        </row>
        <row r="3200">
          <cell r="D3200">
            <v>1208000492</v>
          </cell>
          <cell r="E3200" t="str">
            <v>SIBONGILE DOKOTERA</v>
          </cell>
          <cell r="F3200" t="str">
            <v>D (MD)</v>
          </cell>
          <cell r="H3200" t="str">
            <v>Mayday</v>
          </cell>
          <cell r="I3200">
            <v>0.64583333333333337</v>
          </cell>
          <cell r="J3200">
            <v>0.85416666666666663</v>
          </cell>
          <cell r="K3200">
            <v>5</v>
          </cell>
          <cell r="L3200">
            <v>161.44999999999999</v>
          </cell>
          <cell r="O3200" t="str">
            <v>Y</v>
          </cell>
          <cell r="P3200" t="str">
            <v>N</v>
          </cell>
          <cell r="Q3200" t="str">
            <v>Extra Capacity</v>
          </cell>
          <cell r="S3200">
            <v>0.13</v>
          </cell>
        </row>
        <row r="3201">
          <cell r="D3201">
            <v>1208001379</v>
          </cell>
          <cell r="E3201" t="str">
            <v>STEPHEN FERNANDEZ</v>
          </cell>
          <cell r="F3201" t="str">
            <v>D (MD)</v>
          </cell>
          <cell r="G3201">
            <v>348294</v>
          </cell>
          <cell r="H3201" t="str">
            <v>Mayday</v>
          </cell>
          <cell r="I3201">
            <v>0.83333333333333337</v>
          </cell>
          <cell r="J3201">
            <v>0.33333333333333331</v>
          </cell>
          <cell r="K3201">
            <v>11</v>
          </cell>
          <cell r="L3201">
            <v>461.75</v>
          </cell>
          <cell r="O3201" t="str">
            <v>Y</v>
          </cell>
          <cell r="P3201" t="str">
            <v>N</v>
          </cell>
          <cell r="Q3201" t="str">
            <v>Short Term Sick</v>
          </cell>
          <cell r="S3201">
            <v>0.28999999999999998</v>
          </cell>
        </row>
        <row r="3202">
          <cell r="D3202">
            <v>1108006182</v>
          </cell>
          <cell r="E3202" t="str">
            <v>TEMBE NGIDI</v>
          </cell>
          <cell r="F3202" t="str">
            <v>D (MD)</v>
          </cell>
          <cell r="H3202" t="str">
            <v>Mayday</v>
          </cell>
          <cell r="I3202">
            <v>0.8125</v>
          </cell>
          <cell r="J3202">
            <v>0.33333333333333331</v>
          </cell>
          <cell r="K3202">
            <v>11.8333333333333</v>
          </cell>
          <cell r="L3202">
            <v>496.73</v>
          </cell>
          <cell r="O3202" t="str">
            <v>Y</v>
          </cell>
          <cell r="P3202" t="str">
            <v>N</v>
          </cell>
          <cell r="Q3202" t="str">
            <v>Vacancy</v>
          </cell>
          <cell r="S3202">
            <v>0.32</v>
          </cell>
        </row>
        <row r="3203">
          <cell r="D3203">
            <v>1108005884</v>
          </cell>
          <cell r="E3203" t="str">
            <v>TOM OSBOURNE</v>
          </cell>
          <cell r="F3203" t="str">
            <v>D General (Orio</v>
          </cell>
          <cell r="G3203" t="str">
            <v>Invsd Smt checked</v>
          </cell>
          <cell r="H3203" t="str">
            <v>Orion</v>
          </cell>
          <cell r="I3203">
            <v>0.33333333333333331</v>
          </cell>
          <cell r="J3203">
            <v>0.75</v>
          </cell>
          <cell r="K3203">
            <v>9.5</v>
          </cell>
          <cell r="L3203">
            <v>172.14</v>
          </cell>
          <cell r="O3203" t="str">
            <v>Y</v>
          </cell>
          <cell r="P3203" t="str">
            <v>N</v>
          </cell>
          <cell r="Q3203" t="str">
            <v>Vacancy</v>
          </cell>
          <cell r="S3203">
            <v>0.25</v>
          </cell>
        </row>
        <row r="3204">
          <cell r="D3204">
            <v>1108006759</v>
          </cell>
          <cell r="E3204" t="str">
            <v>VICTORIA MAESTRANI</v>
          </cell>
          <cell r="F3204" t="str">
            <v>D (MD)</v>
          </cell>
          <cell r="G3204">
            <v>348629</v>
          </cell>
          <cell r="H3204" t="str">
            <v>Mayday</v>
          </cell>
          <cell r="I3204">
            <v>0.3125</v>
          </cell>
          <cell r="J3204">
            <v>0.60416666666666663</v>
          </cell>
          <cell r="K3204">
            <v>5.6666666666666696</v>
          </cell>
          <cell r="L3204">
            <v>182.98</v>
          </cell>
          <cell r="O3204" t="str">
            <v>Y</v>
          </cell>
          <cell r="P3204" t="str">
            <v>N</v>
          </cell>
          <cell r="Q3204" t="str">
            <v>Short Term Sick</v>
          </cell>
          <cell r="S3204">
            <v>0.15</v>
          </cell>
        </row>
        <row r="3205">
          <cell r="D3205">
            <v>1208001070</v>
          </cell>
          <cell r="E3205" t="str">
            <v>VIMLA RAMDHOON</v>
          </cell>
          <cell r="F3205" t="str">
            <v>2 Gen (All)</v>
          </cell>
          <cell r="G3205" t="str">
            <v>G1515228</v>
          </cell>
          <cell r="H3205" t="str">
            <v xml:space="preserve">Allied </v>
          </cell>
          <cell r="I3205">
            <v>0.82291666666666663</v>
          </cell>
          <cell r="J3205">
            <v>0.34375</v>
          </cell>
          <cell r="K3205">
            <v>11.5</v>
          </cell>
          <cell r="L3205">
            <v>147.19999999999999</v>
          </cell>
          <cell r="O3205" t="str">
            <v>Y</v>
          </cell>
          <cell r="P3205" t="str">
            <v>N</v>
          </cell>
          <cell r="Q3205" t="str">
            <v>Emergency Leave</v>
          </cell>
          <cell r="S3205">
            <v>0.31</v>
          </cell>
        </row>
        <row r="3206">
          <cell r="D3206">
            <v>1208000619</v>
          </cell>
          <cell r="E3206" t="str">
            <v>ALLI SUBRAMANIAM</v>
          </cell>
          <cell r="F3206" t="str">
            <v>D (MD)</v>
          </cell>
          <cell r="G3206">
            <v>356071</v>
          </cell>
          <cell r="H3206" t="str">
            <v>Mayday</v>
          </cell>
          <cell r="I3206">
            <v>0.3125</v>
          </cell>
          <cell r="J3206">
            <v>0.625</v>
          </cell>
          <cell r="K3206">
            <v>7.1666666666666696</v>
          </cell>
          <cell r="L3206">
            <v>300.83999999999997</v>
          </cell>
          <cell r="O3206" t="str">
            <v>Y</v>
          </cell>
          <cell r="P3206" t="str">
            <v>N</v>
          </cell>
          <cell r="Q3206" t="str">
            <v>Extra Capacity</v>
          </cell>
          <cell r="S3206">
            <v>0.19</v>
          </cell>
        </row>
        <row r="3207">
          <cell r="D3207">
            <v>1208000620</v>
          </cell>
          <cell r="E3207" t="str">
            <v>ALLI SUBRAMANIAM</v>
          </cell>
          <cell r="F3207" t="str">
            <v>D (MD)</v>
          </cell>
          <cell r="G3207">
            <v>356071</v>
          </cell>
          <cell r="H3207" t="str">
            <v>Mayday</v>
          </cell>
          <cell r="I3207">
            <v>0.625</v>
          </cell>
          <cell r="J3207">
            <v>0.85416666666666663</v>
          </cell>
          <cell r="K3207">
            <v>5.5</v>
          </cell>
          <cell r="L3207">
            <v>230.87</v>
          </cell>
          <cell r="O3207" t="str">
            <v>Y</v>
          </cell>
          <cell r="P3207" t="str">
            <v>N</v>
          </cell>
          <cell r="Q3207" t="str">
            <v>Extra Capacity</v>
          </cell>
          <cell r="S3207">
            <v>0.15</v>
          </cell>
        </row>
        <row r="3208">
          <cell r="D3208">
            <v>1208000512</v>
          </cell>
          <cell r="E3208" t="str">
            <v>ALMA DEPENA</v>
          </cell>
          <cell r="F3208" t="str">
            <v>D (Ch)</v>
          </cell>
          <cell r="G3208">
            <v>17439</v>
          </cell>
          <cell r="H3208" t="str">
            <v>Choice</v>
          </cell>
          <cell r="I3208">
            <v>0.83333333333333337</v>
          </cell>
          <cell r="J3208">
            <v>0.33333333333333331</v>
          </cell>
          <cell r="K3208">
            <v>11.3333333333333</v>
          </cell>
          <cell r="L3208">
            <v>359.05</v>
          </cell>
          <cell r="O3208" t="str">
            <v>Y</v>
          </cell>
          <cell r="P3208" t="str">
            <v>N</v>
          </cell>
          <cell r="Q3208" t="str">
            <v>Extra Capacity</v>
          </cell>
          <cell r="S3208">
            <v>0.3</v>
          </cell>
        </row>
        <row r="3209">
          <cell r="D3209">
            <v>1208001532</v>
          </cell>
          <cell r="E3209" t="str">
            <v>ATINUKE OKE-OLATUNDE</v>
          </cell>
          <cell r="F3209" t="str">
            <v>D (MD)</v>
          </cell>
          <cell r="G3209">
            <v>352305</v>
          </cell>
          <cell r="H3209" t="str">
            <v>Mayday</v>
          </cell>
          <cell r="I3209">
            <v>0.88541666666666663</v>
          </cell>
          <cell r="J3209">
            <v>0.30208333333333331</v>
          </cell>
          <cell r="K3209">
            <v>9</v>
          </cell>
          <cell r="L3209">
            <v>377.79</v>
          </cell>
          <cell r="O3209" t="str">
            <v>Y</v>
          </cell>
          <cell r="P3209" t="str">
            <v>N</v>
          </cell>
          <cell r="Q3209" t="str">
            <v>Extra Capacity</v>
          </cell>
          <cell r="S3209">
            <v>0.24</v>
          </cell>
        </row>
        <row r="3210">
          <cell r="D3210">
            <v>1008006911</v>
          </cell>
          <cell r="E3210" t="str">
            <v>BIDDY CHAFESUKA</v>
          </cell>
          <cell r="F3210" t="str">
            <v>D (Ch)</v>
          </cell>
          <cell r="G3210">
            <v>17463</v>
          </cell>
          <cell r="H3210" t="str">
            <v>Choice</v>
          </cell>
          <cell r="I3210">
            <v>0.3125</v>
          </cell>
          <cell r="J3210">
            <v>0.54166666666666663</v>
          </cell>
          <cell r="K3210">
            <v>5.5</v>
          </cell>
          <cell r="L3210">
            <v>174.25</v>
          </cell>
          <cell r="O3210" t="str">
            <v>Y</v>
          </cell>
          <cell r="P3210" t="str">
            <v>N</v>
          </cell>
          <cell r="Q3210" t="str">
            <v>Vacancy</v>
          </cell>
          <cell r="S3210">
            <v>0.15</v>
          </cell>
        </row>
        <row r="3211">
          <cell r="D3211">
            <v>1208000017</v>
          </cell>
          <cell r="E3211" t="str">
            <v>BIDDY CHAFESUKA</v>
          </cell>
          <cell r="F3211" t="str">
            <v>D (Ch)</v>
          </cell>
          <cell r="H3211" t="str">
            <v>Choice</v>
          </cell>
          <cell r="I3211">
            <v>0.625</v>
          </cell>
          <cell r="J3211">
            <v>0.83333333333333337</v>
          </cell>
          <cell r="K3211">
            <v>5</v>
          </cell>
          <cell r="L3211">
            <v>158.41</v>
          </cell>
          <cell r="O3211" t="str">
            <v>Y</v>
          </cell>
          <cell r="P3211" t="str">
            <v>N</v>
          </cell>
          <cell r="Q3211" t="str">
            <v>Short Term Sick</v>
          </cell>
          <cell r="S3211">
            <v>0.13</v>
          </cell>
        </row>
        <row r="3212">
          <cell r="D3212">
            <v>1108006183</v>
          </cell>
          <cell r="E3212" t="str">
            <v>BONNIE TWALA</v>
          </cell>
          <cell r="F3212" t="str">
            <v>D (MD)</v>
          </cell>
          <cell r="G3212">
            <v>349845</v>
          </cell>
          <cell r="H3212" t="str">
            <v>Mayday</v>
          </cell>
          <cell r="I3212">
            <v>0.8125</v>
          </cell>
          <cell r="J3212">
            <v>0.33333333333333331</v>
          </cell>
          <cell r="K3212">
            <v>11.8333333333333</v>
          </cell>
          <cell r="L3212">
            <v>496.73</v>
          </cell>
          <cell r="O3212" t="str">
            <v>Y</v>
          </cell>
          <cell r="P3212" t="str">
            <v>N</v>
          </cell>
          <cell r="Q3212" t="str">
            <v>Vacancy</v>
          </cell>
          <cell r="S3212">
            <v>0.32</v>
          </cell>
        </row>
        <row r="3213">
          <cell r="D3213">
            <v>1108006177</v>
          </cell>
          <cell r="E3213" t="str">
            <v>BRIGHTNESS NDEBELE</v>
          </cell>
          <cell r="F3213" t="str">
            <v>D (MD)</v>
          </cell>
          <cell r="G3213">
            <v>349842</v>
          </cell>
          <cell r="H3213" t="str">
            <v>Mayday</v>
          </cell>
          <cell r="I3213">
            <v>0.8125</v>
          </cell>
          <cell r="J3213">
            <v>0.33333333333333331</v>
          </cell>
          <cell r="K3213">
            <v>11.8333333333333</v>
          </cell>
          <cell r="L3213">
            <v>496.73</v>
          </cell>
          <cell r="O3213" t="str">
            <v>Y</v>
          </cell>
          <cell r="P3213" t="str">
            <v>N</v>
          </cell>
          <cell r="Q3213" t="str">
            <v>Short Term Sick</v>
          </cell>
          <cell r="S3213">
            <v>0.32</v>
          </cell>
        </row>
        <row r="3214">
          <cell r="D3214">
            <v>1108006479</v>
          </cell>
          <cell r="E3214" t="str">
            <v>DAMILOLA AIKI</v>
          </cell>
          <cell r="F3214" t="str">
            <v>A (Ch)</v>
          </cell>
          <cell r="G3214">
            <v>17462</v>
          </cell>
          <cell r="H3214" t="str">
            <v>Choice</v>
          </cell>
          <cell r="I3214">
            <v>0.3125</v>
          </cell>
          <cell r="J3214">
            <v>0.5625</v>
          </cell>
          <cell r="K3214">
            <v>5.6666666666666696</v>
          </cell>
          <cell r="L3214">
            <v>83.79</v>
          </cell>
          <cell r="O3214" t="str">
            <v>Y</v>
          </cell>
          <cell r="P3214" t="str">
            <v>N</v>
          </cell>
          <cell r="Q3214" t="str">
            <v>Under Established</v>
          </cell>
          <cell r="S3214">
            <v>0.15</v>
          </cell>
        </row>
        <row r="3215">
          <cell r="D3215">
            <v>1208000621</v>
          </cell>
          <cell r="E3215" t="str">
            <v>ELENOR PARAZO</v>
          </cell>
          <cell r="F3215" t="str">
            <v>D (Ch)</v>
          </cell>
          <cell r="H3215" t="str">
            <v>Choice</v>
          </cell>
          <cell r="I3215">
            <v>0.83333333333333337</v>
          </cell>
          <cell r="J3215">
            <v>0.33333333333333331</v>
          </cell>
          <cell r="K3215">
            <v>11.3333333333333</v>
          </cell>
          <cell r="L3215">
            <v>359.05</v>
          </cell>
          <cell r="O3215" t="str">
            <v>Y</v>
          </cell>
          <cell r="P3215" t="str">
            <v>N</v>
          </cell>
          <cell r="Q3215" t="str">
            <v>Extra Capacity</v>
          </cell>
          <cell r="S3215">
            <v>0.3</v>
          </cell>
        </row>
        <row r="3216">
          <cell r="D3216">
            <v>1208002377</v>
          </cell>
          <cell r="E3216" t="str">
            <v>ELSIE CHIKUKWA</v>
          </cell>
          <cell r="F3216" t="str">
            <v>D (MD)</v>
          </cell>
          <cell r="G3216">
            <v>350081</v>
          </cell>
          <cell r="H3216" t="str">
            <v>Mayday</v>
          </cell>
          <cell r="I3216">
            <v>0.8125</v>
          </cell>
          <cell r="J3216">
            <v>0.33333333333333331</v>
          </cell>
          <cell r="K3216">
            <v>11.5</v>
          </cell>
          <cell r="L3216">
            <v>482.74</v>
          </cell>
          <cell r="O3216" t="str">
            <v>Y</v>
          </cell>
          <cell r="P3216" t="str">
            <v>N</v>
          </cell>
          <cell r="Q3216" t="str">
            <v>On-Call</v>
          </cell>
          <cell r="S3216">
            <v>0.31</v>
          </cell>
        </row>
        <row r="3217">
          <cell r="D3217">
            <v>1208000292</v>
          </cell>
          <cell r="E3217" t="str">
            <v>EMMANUEL SALAKO</v>
          </cell>
          <cell r="F3217" t="str">
            <v>D (MD)</v>
          </cell>
          <cell r="G3217">
            <v>348683</v>
          </cell>
          <cell r="H3217" t="str">
            <v>Mayday</v>
          </cell>
          <cell r="I3217">
            <v>0.63541666666666663</v>
          </cell>
          <cell r="J3217">
            <v>0.85416666666666663</v>
          </cell>
          <cell r="K3217">
            <v>5.25</v>
          </cell>
          <cell r="L3217">
            <v>220.38</v>
          </cell>
          <cell r="O3217" t="str">
            <v>Y</v>
          </cell>
          <cell r="P3217" t="str">
            <v>N</v>
          </cell>
          <cell r="Q3217" t="str">
            <v>Extra Capacity</v>
          </cell>
          <cell r="S3217">
            <v>0.14000000000000001</v>
          </cell>
        </row>
        <row r="3218">
          <cell r="D3218">
            <v>1208001172</v>
          </cell>
          <cell r="E3218" t="str">
            <v>EMMANUEL SALAKO</v>
          </cell>
          <cell r="F3218" t="str">
            <v>D (MD)</v>
          </cell>
          <cell r="G3218">
            <v>348685</v>
          </cell>
          <cell r="H3218" t="str">
            <v>Mayday</v>
          </cell>
          <cell r="I3218">
            <v>0.3125</v>
          </cell>
          <cell r="J3218">
            <v>0.60416666666666663</v>
          </cell>
          <cell r="K3218">
            <v>6.6666666666666696</v>
          </cell>
          <cell r="L3218">
            <v>279.85000000000002</v>
          </cell>
          <cell r="O3218" t="str">
            <v>Y</v>
          </cell>
          <cell r="P3218" t="str">
            <v>N</v>
          </cell>
          <cell r="Q3218" t="str">
            <v>Short Term Sick</v>
          </cell>
          <cell r="S3218">
            <v>0.18</v>
          </cell>
        </row>
        <row r="3219">
          <cell r="D3219">
            <v>1208000511</v>
          </cell>
          <cell r="E3219" t="str">
            <v>EUNICE ADEBANJO</v>
          </cell>
          <cell r="F3219" t="str">
            <v>D (Ch)</v>
          </cell>
          <cell r="G3219">
            <v>17521</v>
          </cell>
          <cell r="H3219" t="str">
            <v>Choice</v>
          </cell>
          <cell r="I3219">
            <v>0.83333333333333337</v>
          </cell>
          <cell r="J3219">
            <v>0.33333333333333331</v>
          </cell>
          <cell r="K3219">
            <v>11.3333333333333</v>
          </cell>
          <cell r="L3219">
            <v>359.05</v>
          </cell>
          <cell r="O3219" t="str">
            <v>Y</v>
          </cell>
          <cell r="P3219" t="str">
            <v>N</v>
          </cell>
          <cell r="Q3219" t="str">
            <v>Extra Capacity</v>
          </cell>
          <cell r="S3219">
            <v>0.3</v>
          </cell>
        </row>
        <row r="3220">
          <cell r="D3220">
            <v>1208000514</v>
          </cell>
          <cell r="E3220" t="str">
            <v>FURTHERMORE MUTSINZE</v>
          </cell>
          <cell r="F3220" t="str">
            <v>A (Ch)</v>
          </cell>
          <cell r="G3220">
            <v>17462</v>
          </cell>
          <cell r="H3220" t="str">
            <v>Choice</v>
          </cell>
          <cell r="I3220">
            <v>0.3125</v>
          </cell>
          <cell r="J3220">
            <v>0.64583333333333337</v>
          </cell>
          <cell r="K3220">
            <v>7.6666666666666696</v>
          </cell>
          <cell r="L3220">
            <v>113.36</v>
          </cell>
          <cell r="O3220" t="str">
            <v>Y</v>
          </cell>
          <cell r="P3220" t="str">
            <v>N</v>
          </cell>
          <cell r="Q3220" t="str">
            <v>Extra Capacity</v>
          </cell>
          <cell r="S3220">
            <v>0.2</v>
          </cell>
        </row>
        <row r="3221">
          <cell r="D3221">
            <v>1208000517</v>
          </cell>
          <cell r="E3221" t="str">
            <v>FURTHERMORE MUTSINZE</v>
          </cell>
          <cell r="F3221" t="str">
            <v>A (Ch)</v>
          </cell>
          <cell r="G3221">
            <v>17462</v>
          </cell>
          <cell r="H3221" t="str">
            <v>Choice</v>
          </cell>
          <cell r="I3221">
            <v>0.64583333333333337</v>
          </cell>
          <cell r="J3221">
            <v>0.85416666666666663</v>
          </cell>
          <cell r="K3221">
            <v>5</v>
          </cell>
          <cell r="L3221">
            <v>73.930000000000007</v>
          </cell>
          <cell r="O3221" t="str">
            <v>Y</v>
          </cell>
          <cell r="P3221" t="str">
            <v>N</v>
          </cell>
          <cell r="Q3221" t="str">
            <v>Extra Capacity</v>
          </cell>
          <cell r="S3221">
            <v>0.13</v>
          </cell>
        </row>
        <row r="3222">
          <cell r="D3222">
            <v>1108000054</v>
          </cell>
          <cell r="E3222" t="str">
            <v>GAIL HOWLEY</v>
          </cell>
          <cell r="F3222" t="str">
            <v>D (Amb)</v>
          </cell>
          <cell r="G3222">
            <v>763612</v>
          </cell>
          <cell r="H3222" t="str">
            <v>Ambition</v>
          </cell>
          <cell r="I3222">
            <v>0.32291666666666669</v>
          </cell>
          <cell r="J3222">
            <v>0.84375</v>
          </cell>
          <cell r="K3222">
            <v>11.8333333333333</v>
          </cell>
          <cell r="L3222">
            <v>601.49</v>
          </cell>
          <cell r="O3222" t="str">
            <v>Y</v>
          </cell>
          <cell r="P3222" t="str">
            <v>N</v>
          </cell>
          <cell r="Q3222" t="str">
            <v>Extra Capacity</v>
          </cell>
          <cell r="S3222">
            <v>0.32</v>
          </cell>
        </row>
        <row r="3223">
          <cell r="D3223">
            <v>1208000217</v>
          </cell>
          <cell r="E3223" t="str">
            <v>GAYNOR DOTTIN</v>
          </cell>
          <cell r="F3223" t="str">
            <v>D (Ch)</v>
          </cell>
          <cell r="G3223">
            <v>17461</v>
          </cell>
          <cell r="H3223" t="str">
            <v>Choice</v>
          </cell>
          <cell r="I3223">
            <v>0.88541666666666663</v>
          </cell>
          <cell r="J3223">
            <v>0.3125</v>
          </cell>
          <cell r="K3223">
            <v>9.25</v>
          </cell>
          <cell r="L3223">
            <v>293.05</v>
          </cell>
          <cell r="O3223" t="str">
            <v>Y</v>
          </cell>
          <cell r="P3223" t="str">
            <v>N</v>
          </cell>
          <cell r="Q3223" t="str">
            <v>Specials</v>
          </cell>
          <cell r="S3223">
            <v>0.25</v>
          </cell>
        </row>
        <row r="3224">
          <cell r="D3224">
            <v>1208001438</v>
          </cell>
          <cell r="E3224" t="str">
            <v>GEORGINA MAFISA</v>
          </cell>
          <cell r="F3224" t="str">
            <v>D (MD)</v>
          </cell>
          <cell r="G3224">
            <v>351356</v>
          </cell>
          <cell r="H3224" t="str">
            <v>Mayday</v>
          </cell>
          <cell r="I3224">
            <v>0.83333333333333337</v>
          </cell>
          <cell r="J3224">
            <v>0.33333333333333331</v>
          </cell>
          <cell r="K3224">
            <v>11</v>
          </cell>
          <cell r="L3224">
            <v>461.75</v>
          </cell>
          <cell r="O3224" t="str">
            <v>Y</v>
          </cell>
          <cell r="P3224" t="str">
            <v>N</v>
          </cell>
          <cell r="Q3224" t="str">
            <v>Acuity</v>
          </cell>
          <cell r="S3224">
            <v>0.28999999999999998</v>
          </cell>
        </row>
        <row r="3225">
          <cell r="D3225">
            <v>1208001222</v>
          </cell>
          <cell r="E3225" t="str">
            <v>IOAN GALATANU</v>
          </cell>
          <cell r="F3225" t="str">
            <v>D (Amb)</v>
          </cell>
          <cell r="G3225">
            <v>763638</v>
          </cell>
          <cell r="H3225" t="str">
            <v>Ambition</v>
          </cell>
          <cell r="I3225">
            <v>0.3125</v>
          </cell>
          <cell r="J3225">
            <v>0.60416666666666663</v>
          </cell>
          <cell r="K3225">
            <v>6.6666666666666696</v>
          </cell>
          <cell r="L3225">
            <v>338.87</v>
          </cell>
          <cell r="O3225" t="str">
            <v>Y</v>
          </cell>
          <cell r="P3225" t="str">
            <v>N</v>
          </cell>
          <cell r="Q3225" t="str">
            <v>Specials</v>
          </cell>
          <cell r="S3225">
            <v>0.18</v>
          </cell>
        </row>
        <row r="3226">
          <cell r="D3226">
            <v>1208000063</v>
          </cell>
          <cell r="E3226" t="str">
            <v>JAMES MCCLEMENTS</v>
          </cell>
          <cell r="F3226" t="str">
            <v>D (MD)</v>
          </cell>
          <cell r="G3226">
            <v>348290</v>
          </cell>
          <cell r="H3226" t="str">
            <v>Mayday</v>
          </cell>
          <cell r="I3226">
            <v>0.60416666666666663</v>
          </cell>
          <cell r="J3226">
            <v>0.85416666666666663</v>
          </cell>
          <cell r="K3226">
            <v>5.6666666666666696</v>
          </cell>
          <cell r="L3226">
            <v>237.87</v>
          </cell>
          <cell r="O3226" t="str">
            <v>Y</v>
          </cell>
          <cell r="P3226" t="str">
            <v>N</v>
          </cell>
          <cell r="Q3226" t="str">
            <v>Extra Capacity</v>
          </cell>
          <cell r="S3226">
            <v>0.15</v>
          </cell>
        </row>
        <row r="3227">
          <cell r="D3227">
            <v>1208000095</v>
          </cell>
          <cell r="E3227" t="str">
            <v>JAMES MCCLEMENTS</v>
          </cell>
          <cell r="F3227" t="str">
            <v>D (MD)</v>
          </cell>
          <cell r="G3227">
            <v>348290</v>
          </cell>
          <cell r="H3227" t="str">
            <v>Mayday</v>
          </cell>
          <cell r="I3227">
            <v>0.3125</v>
          </cell>
          <cell r="J3227">
            <v>0.60416666666666663</v>
          </cell>
          <cell r="K3227">
            <v>6.6666666666666696</v>
          </cell>
          <cell r="L3227">
            <v>279.85000000000002</v>
          </cell>
          <cell r="O3227" t="str">
            <v>Y</v>
          </cell>
          <cell r="P3227" t="str">
            <v>N</v>
          </cell>
          <cell r="Q3227" t="str">
            <v>Extra Capacity</v>
          </cell>
          <cell r="S3227">
            <v>0.18</v>
          </cell>
        </row>
        <row r="3228">
          <cell r="D3228">
            <v>1208000629</v>
          </cell>
          <cell r="E3228" t="str">
            <v>JANE DUNSMURE</v>
          </cell>
          <cell r="F3228" t="str">
            <v>D/5 (PS)</v>
          </cell>
          <cell r="H3228" t="str">
            <v>Pinnacle Staffing</v>
          </cell>
          <cell r="I3228">
            <v>0.82291666666666663</v>
          </cell>
          <cell r="J3228">
            <v>0.34375</v>
          </cell>
          <cell r="K3228">
            <v>11.5</v>
          </cell>
          <cell r="L3228">
            <v>254</v>
          </cell>
          <cell r="O3228" t="str">
            <v>Y</v>
          </cell>
          <cell r="P3228" t="str">
            <v>N</v>
          </cell>
          <cell r="Q3228" t="str">
            <v>Time sheet</v>
          </cell>
          <cell r="S3228">
            <v>0.31</v>
          </cell>
        </row>
        <row r="3229">
          <cell r="D3229">
            <v>1208000990</v>
          </cell>
          <cell r="E3229" t="str">
            <v>JASMINE ESGUERRA</v>
          </cell>
          <cell r="F3229" t="str">
            <v>D (Ch)</v>
          </cell>
          <cell r="G3229">
            <v>17439</v>
          </cell>
          <cell r="H3229" t="str">
            <v>Choice</v>
          </cell>
          <cell r="I3229">
            <v>0.88541666666666663</v>
          </cell>
          <cell r="J3229">
            <v>0.25</v>
          </cell>
          <cell r="K3229">
            <v>7.75</v>
          </cell>
          <cell r="L3229">
            <v>245.53</v>
          </cell>
          <cell r="O3229" t="str">
            <v>Y</v>
          </cell>
          <cell r="P3229" t="str">
            <v>N</v>
          </cell>
          <cell r="Q3229" t="str">
            <v>Vacancy</v>
          </cell>
          <cell r="S3229">
            <v>0.21</v>
          </cell>
        </row>
        <row r="3230">
          <cell r="D3230">
            <v>1108006164</v>
          </cell>
          <cell r="E3230" t="str">
            <v>JO BRADY</v>
          </cell>
          <cell r="F3230" t="str">
            <v>D (MD)</v>
          </cell>
          <cell r="G3230">
            <v>348361</v>
          </cell>
          <cell r="H3230" t="str">
            <v>Mayday</v>
          </cell>
          <cell r="I3230">
            <v>0.3125</v>
          </cell>
          <cell r="J3230">
            <v>0.83333333333333337</v>
          </cell>
          <cell r="K3230">
            <v>11.8333333333333</v>
          </cell>
          <cell r="L3230">
            <v>496.73</v>
          </cell>
          <cell r="O3230" t="str">
            <v>Y</v>
          </cell>
          <cell r="P3230" t="str">
            <v>N</v>
          </cell>
          <cell r="Q3230" t="str">
            <v>Short Term Sick</v>
          </cell>
          <cell r="S3230">
            <v>0.32</v>
          </cell>
        </row>
        <row r="3231">
          <cell r="D3231">
            <v>1008006912</v>
          </cell>
          <cell r="E3231" t="str">
            <v>JOAN LEWIS</v>
          </cell>
          <cell r="F3231" t="str">
            <v>D (MD)</v>
          </cell>
          <cell r="G3231">
            <v>348652</v>
          </cell>
          <cell r="H3231" t="str">
            <v>Mayday</v>
          </cell>
          <cell r="I3231">
            <v>0.625</v>
          </cell>
          <cell r="J3231">
            <v>0.85416666666666663</v>
          </cell>
          <cell r="K3231">
            <v>5.5</v>
          </cell>
          <cell r="L3231">
            <v>230.87</v>
          </cell>
          <cell r="O3231" t="str">
            <v>Y</v>
          </cell>
          <cell r="P3231" t="str">
            <v>N</v>
          </cell>
          <cell r="Q3231" t="str">
            <v>Vacancy</v>
          </cell>
          <cell r="S3231">
            <v>0.15</v>
          </cell>
        </row>
        <row r="3232">
          <cell r="D3232">
            <v>1208001544</v>
          </cell>
          <cell r="E3232" t="str">
            <v>JOANNE BUSS</v>
          </cell>
          <cell r="F3232" t="str">
            <v>D (MD)</v>
          </cell>
          <cell r="G3232">
            <v>348292</v>
          </cell>
          <cell r="H3232" t="str">
            <v>Mayday</v>
          </cell>
          <cell r="I3232">
            <v>0.58333333333333337</v>
          </cell>
          <cell r="J3232">
            <v>0.83333333333333337</v>
          </cell>
          <cell r="K3232">
            <v>5.6666666666666696</v>
          </cell>
          <cell r="L3232">
            <v>237.87</v>
          </cell>
          <cell r="O3232" t="str">
            <v>Y</v>
          </cell>
          <cell r="P3232" t="str">
            <v>N</v>
          </cell>
          <cell r="Q3232" t="str">
            <v>Short Term Sick</v>
          </cell>
          <cell r="S3232">
            <v>0.15</v>
          </cell>
        </row>
        <row r="3233">
          <cell r="D3233">
            <v>1208001542</v>
          </cell>
          <cell r="E3233" t="str">
            <v>JOSEPH BASS</v>
          </cell>
          <cell r="F3233" t="str">
            <v>D (MD)</v>
          </cell>
          <cell r="G3233">
            <v>351421</v>
          </cell>
          <cell r="H3233" t="str">
            <v>Mayday</v>
          </cell>
          <cell r="I3233">
            <v>0.82291666666666663</v>
          </cell>
          <cell r="J3233">
            <v>0.34375</v>
          </cell>
          <cell r="K3233">
            <v>11.8333333333333</v>
          </cell>
          <cell r="L3233">
            <v>496.73</v>
          </cell>
          <cell r="O3233" t="str">
            <v>Y</v>
          </cell>
          <cell r="P3233" t="str">
            <v>N</v>
          </cell>
          <cell r="Q3233" t="str">
            <v>Short Term Sick</v>
          </cell>
          <cell r="S3233">
            <v>0.32</v>
          </cell>
        </row>
        <row r="3234">
          <cell r="D3234">
            <v>1208000886</v>
          </cell>
          <cell r="E3234" t="str">
            <v>JOSEPHINE MOLLOY</v>
          </cell>
          <cell r="F3234" t="str">
            <v>D (Amb)</v>
          </cell>
          <cell r="G3234">
            <v>766402</v>
          </cell>
          <cell r="H3234" t="str">
            <v>Ambition</v>
          </cell>
          <cell r="I3234">
            <v>0.8125</v>
          </cell>
          <cell r="J3234">
            <v>0.33333333333333331</v>
          </cell>
          <cell r="K3234">
            <v>11.8333333333333</v>
          </cell>
          <cell r="L3234">
            <v>601.49</v>
          </cell>
          <cell r="O3234" t="str">
            <v>Y</v>
          </cell>
          <cell r="P3234" t="str">
            <v>N</v>
          </cell>
          <cell r="Q3234" t="str">
            <v>Extra Capacity</v>
          </cell>
          <cell r="S3234">
            <v>0.32</v>
          </cell>
        </row>
        <row r="3235">
          <cell r="D3235">
            <v>1208001418</v>
          </cell>
          <cell r="E3235" t="str">
            <v>KATH BURTON</v>
          </cell>
          <cell r="F3235" t="str">
            <v>D (MD)</v>
          </cell>
          <cell r="G3235">
            <v>349795</v>
          </cell>
          <cell r="H3235" t="str">
            <v>Mayday</v>
          </cell>
          <cell r="I3235">
            <v>0.3125</v>
          </cell>
          <cell r="J3235">
            <v>0.64583333333333337</v>
          </cell>
          <cell r="K3235">
            <v>7.5</v>
          </cell>
          <cell r="L3235">
            <v>314.83</v>
          </cell>
          <cell r="O3235" t="str">
            <v>Y</v>
          </cell>
          <cell r="P3235" t="str">
            <v>N</v>
          </cell>
          <cell r="Q3235" t="str">
            <v>Short Term Sick</v>
          </cell>
          <cell r="S3235">
            <v>0.2</v>
          </cell>
        </row>
        <row r="3236">
          <cell r="D3236">
            <v>1208000618</v>
          </cell>
          <cell r="E3236" t="str">
            <v>KIRSTY LAWLER</v>
          </cell>
          <cell r="F3236" t="str">
            <v>D (MD)</v>
          </cell>
          <cell r="H3236" t="str">
            <v>Mayday</v>
          </cell>
          <cell r="I3236">
            <v>0.3125</v>
          </cell>
          <cell r="J3236">
            <v>0.625</v>
          </cell>
          <cell r="K3236">
            <v>7.1666666666666696</v>
          </cell>
          <cell r="L3236">
            <v>300.83999999999997</v>
          </cell>
          <cell r="O3236" t="str">
            <v>Y</v>
          </cell>
          <cell r="P3236" t="str">
            <v>N</v>
          </cell>
          <cell r="Q3236" t="str">
            <v>Extra Capacity</v>
          </cell>
          <cell r="S3236">
            <v>0.19</v>
          </cell>
        </row>
        <row r="3237">
          <cell r="D3237">
            <v>1208000507</v>
          </cell>
          <cell r="E3237" t="str">
            <v>LINDSEY DAY</v>
          </cell>
          <cell r="F3237" t="str">
            <v>D (Amb)</v>
          </cell>
          <cell r="G3237">
            <v>766417</v>
          </cell>
          <cell r="H3237" t="str">
            <v>Ambition</v>
          </cell>
          <cell r="I3237">
            <v>0.3125</v>
          </cell>
          <cell r="J3237">
            <v>0.64583333333333337</v>
          </cell>
          <cell r="K3237">
            <v>7.6666666666666696</v>
          </cell>
          <cell r="L3237">
            <v>389.7</v>
          </cell>
          <cell r="O3237" t="str">
            <v>Y</v>
          </cell>
          <cell r="P3237" t="str">
            <v>N</v>
          </cell>
          <cell r="Q3237" t="str">
            <v>Extra Capacity</v>
          </cell>
          <cell r="S3237">
            <v>0.2</v>
          </cell>
        </row>
        <row r="3238">
          <cell r="D3238">
            <v>1208000509</v>
          </cell>
          <cell r="E3238" t="str">
            <v>LINDSEY DAY</v>
          </cell>
          <cell r="F3238" t="str">
            <v>D (Amb)</v>
          </cell>
          <cell r="G3238">
            <v>766418</v>
          </cell>
          <cell r="H3238" t="str">
            <v>Ambition</v>
          </cell>
          <cell r="I3238">
            <v>0.64583333333333337</v>
          </cell>
          <cell r="J3238">
            <v>0.85416666666666663</v>
          </cell>
          <cell r="K3238">
            <v>5</v>
          </cell>
          <cell r="L3238">
            <v>254.15</v>
          </cell>
          <cell r="O3238" t="str">
            <v>Y</v>
          </cell>
          <cell r="P3238" t="str">
            <v>N</v>
          </cell>
          <cell r="Q3238" t="str">
            <v>Extra Capacity</v>
          </cell>
          <cell r="S3238">
            <v>0.13</v>
          </cell>
        </row>
        <row r="3239">
          <cell r="D3239">
            <v>1208000622</v>
          </cell>
          <cell r="E3239" t="str">
            <v>MABEL MNISI</v>
          </cell>
          <cell r="F3239" t="str">
            <v>D (MD)</v>
          </cell>
          <cell r="H3239" t="str">
            <v>Mayday</v>
          </cell>
          <cell r="I3239">
            <v>0.83333333333333337</v>
          </cell>
          <cell r="J3239">
            <v>0.33333333333333331</v>
          </cell>
          <cell r="K3239">
            <v>11.3333333333333</v>
          </cell>
          <cell r="L3239">
            <v>475.74</v>
          </cell>
          <cell r="O3239" t="str">
            <v>Y</v>
          </cell>
          <cell r="P3239" t="str">
            <v>N</v>
          </cell>
          <cell r="Q3239" t="str">
            <v>Extra Capacity</v>
          </cell>
          <cell r="S3239">
            <v>0.3</v>
          </cell>
        </row>
        <row r="3240">
          <cell r="D3240">
            <v>1208000510</v>
          </cell>
          <cell r="E3240" t="str">
            <v>MARILEEN DESOUZA</v>
          </cell>
          <cell r="F3240" t="str">
            <v>D (Ch)</v>
          </cell>
          <cell r="G3240">
            <v>17462</v>
          </cell>
          <cell r="H3240" t="str">
            <v>Choice</v>
          </cell>
          <cell r="I3240">
            <v>0.83333333333333337</v>
          </cell>
          <cell r="J3240">
            <v>0.33333333333333331</v>
          </cell>
          <cell r="K3240">
            <v>11.3333333333333</v>
          </cell>
          <cell r="L3240">
            <v>359.05</v>
          </cell>
          <cell r="O3240" t="str">
            <v>Y</v>
          </cell>
          <cell r="P3240" t="str">
            <v>N</v>
          </cell>
          <cell r="Q3240" t="str">
            <v>Extra Capacity</v>
          </cell>
          <cell r="S3240">
            <v>0.3</v>
          </cell>
        </row>
        <row r="3241">
          <cell r="D3241">
            <v>1208000521</v>
          </cell>
          <cell r="E3241" t="str">
            <v>MARTHA MAGWABA</v>
          </cell>
          <cell r="F3241" t="str">
            <v>A (Ch)</v>
          </cell>
          <cell r="G3241">
            <v>17462</v>
          </cell>
          <cell r="H3241" t="str">
            <v>Choice</v>
          </cell>
          <cell r="I3241">
            <v>0.83333333333333337</v>
          </cell>
          <cell r="J3241">
            <v>0.33333333333333331</v>
          </cell>
          <cell r="K3241">
            <v>11.3333333333333</v>
          </cell>
          <cell r="L3241">
            <v>167.58</v>
          </cell>
          <cell r="O3241" t="str">
            <v>Y</v>
          </cell>
          <cell r="P3241" t="str">
            <v>N</v>
          </cell>
          <cell r="Q3241" t="str">
            <v>Extra Capacity</v>
          </cell>
          <cell r="S3241">
            <v>0.3</v>
          </cell>
        </row>
        <row r="3242">
          <cell r="D3242">
            <v>1208000516</v>
          </cell>
          <cell r="E3242" t="str">
            <v>MARYAM COLAS</v>
          </cell>
          <cell r="F3242" t="str">
            <v>A (Ch)</v>
          </cell>
          <cell r="H3242" t="str">
            <v>Choice</v>
          </cell>
          <cell r="I3242">
            <v>0.3125</v>
          </cell>
          <cell r="J3242">
            <v>0.64583333333333337</v>
          </cell>
          <cell r="K3242">
            <v>7.6666666666666696</v>
          </cell>
          <cell r="L3242">
            <v>113.36</v>
          </cell>
          <cell r="O3242" t="str">
            <v>Y</v>
          </cell>
          <cell r="P3242" t="str">
            <v>N</v>
          </cell>
          <cell r="Q3242" t="str">
            <v>Extra Capacity</v>
          </cell>
          <cell r="S3242">
            <v>0.2</v>
          </cell>
        </row>
        <row r="3243">
          <cell r="D3243">
            <v>1208000519</v>
          </cell>
          <cell r="E3243" t="str">
            <v>MARYAM COLAS</v>
          </cell>
          <cell r="F3243" t="str">
            <v>A (Ch)</v>
          </cell>
          <cell r="H3243" t="str">
            <v>Choice</v>
          </cell>
          <cell r="I3243">
            <v>0.64583333333333337</v>
          </cell>
          <cell r="J3243">
            <v>0.85416666666666663</v>
          </cell>
          <cell r="K3243">
            <v>5</v>
          </cell>
          <cell r="L3243">
            <v>73.930000000000007</v>
          </cell>
          <cell r="O3243" t="str">
            <v>Y</v>
          </cell>
          <cell r="P3243" t="str">
            <v>N</v>
          </cell>
          <cell r="Q3243" t="str">
            <v>Extra Capacity</v>
          </cell>
          <cell r="S3243">
            <v>0.13</v>
          </cell>
        </row>
        <row r="3244">
          <cell r="D3244">
            <v>1208000284</v>
          </cell>
          <cell r="E3244" t="str">
            <v>MERCY AFELE</v>
          </cell>
          <cell r="F3244" t="str">
            <v>D (MD)</v>
          </cell>
          <cell r="G3244">
            <v>348672</v>
          </cell>
          <cell r="H3244" t="str">
            <v>Mayday</v>
          </cell>
          <cell r="I3244">
            <v>0.32291666666666669</v>
          </cell>
          <cell r="J3244">
            <v>0.54166666666666663</v>
          </cell>
          <cell r="K3244">
            <v>5.25</v>
          </cell>
          <cell r="L3244">
            <v>220.38</v>
          </cell>
          <cell r="O3244" t="str">
            <v>Y</v>
          </cell>
          <cell r="P3244" t="str">
            <v>N</v>
          </cell>
          <cell r="Q3244" t="str">
            <v>Extra Capacity</v>
          </cell>
          <cell r="S3244">
            <v>0.14000000000000001</v>
          </cell>
        </row>
        <row r="3245">
          <cell r="D3245">
            <v>1208002372</v>
          </cell>
          <cell r="E3245" t="str">
            <v>MERCY AFELE</v>
          </cell>
          <cell r="F3245" t="str">
            <v>D (MD)</v>
          </cell>
          <cell r="G3245">
            <v>766366</v>
          </cell>
          <cell r="H3245" t="str">
            <v>Ambition</v>
          </cell>
          <cell r="I3245">
            <v>0.875</v>
          </cell>
          <cell r="J3245">
            <v>0.33333333333333331</v>
          </cell>
          <cell r="K3245">
            <v>10</v>
          </cell>
          <cell r="L3245">
            <v>419.77</v>
          </cell>
          <cell r="O3245" t="str">
            <v>Y</v>
          </cell>
          <cell r="P3245" t="str">
            <v>N</v>
          </cell>
          <cell r="Q3245" t="str">
            <v>On-Call</v>
          </cell>
          <cell r="S3245">
            <v>0.27</v>
          </cell>
        </row>
        <row r="3246">
          <cell r="D3246">
            <v>1208000515</v>
          </cell>
          <cell r="E3246" t="str">
            <v>MERCY SIBANDA</v>
          </cell>
          <cell r="F3246" t="str">
            <v>A (Ch)</v>
          </cell>
          <cell r="H3246" t="str">
            <v>Choice</v>
          </cell>
          <cell r="I3246">
            <v>0.3125</v>
          </cell>
          <cell r="J3246">
            <v>0.64583333333333337</v>
          </cell>
          <cell r="K3246">
            <v>7.6666666666666696</v>
          </cell>
          <cell r="L3246">
            <v>113.36</v>
          </cell>
          <cell r="O3246" t="str">
            <v>Y</v>
          </cell>
          <cell r="P3246" t="str">
            <v>N</v>
          </cell>
          <cell r="Q3246" t="str">
            <v>Extra Capacity</v>
          </cell>
          <cell r="S3246">
            <v>0.2</v>
          </cell>
        </row>
        <row r="3247">
          <cell r="D3247">
            <v>1208000518</v>
          </cell>
          <cell r="E3247" t="str">
            <v>MERCY SIBANDA</v>
          </cell>
          <cell r="F3247" t="str">
            <v>A (Ch)</v>
          </cell>
          <cell r="H3247" t="str">
            <v>Choice</v>
          </cell>
          <cell r="I3247">
            <v>0.64583333333333337</v>
          </cell>
          <cell r="J3247">
            <v>0.85416666666666663</v>
          </cell>
          <cell r="K3247">
            <v>5</v>
          </cell>
          <cell r="L3247">
            <v>73.930000000000007</v>
          </cell>
          <cell r="O3247" t="str">
            <v>Y</v>
          </cell>
          <cell r="P3247" t="str">
            <v>N</v>
          </cell>
          <cell r="Q3247" t="str">
            <v>Extra Capacity</v>
          </cell>
          <cell r="S3247">
            <v>0.13</v>
          </cell>
        </row>
        <row r="3248">
          <cell r="D3248">
            <v>1208000070</v>
          </cell>
          <cell r="E3248" t="str">
            <v>MIHAELA CHIRIBAU</v>
          </cell>
          <cell r="F3248" t="str">
            <v>D (MD)</v>
          </cell>
          <cell r="G3248">
            <v>349793</v>
          </cell>
          <cell r="H3248" t="str">
            <v>Mayday</v>
          </cell>
          <cell r="I3248">
            <v>0.60416666666666663</v>
          </cell>
          <cell r="J3248">
            <v>0.85416666666666663</v>
          </cell>
          <cell r="K3248">
            <v>5.6666666666666696</v>
          </cell>
          <cell r="L3248">
            <v>237.87</v>
          </cell>
          <cell r="O3248" t="str">
            <v>Y</v>
          </cell>
          <cell r="P3248" t="str">
            <v>N</v>
          </cell>
          <cell r="Q3248" t="str">
            <v>Extra Capacity</v>
          </cell>
          <cell r="S3248">
            <v>0.15</v>
          </cell>
        </row>
        <row r="3249">
          <cell r="D3249">
            <v>1208000100</v>
          </cell>
          <cell r="E3249" t="str">
            <v>MIHAELA CHIRIBAU</v>
          </cell>
          <cell r="F3249" t="str">
            <v>D (MD)</v>
          </cell>
          <cell r="G3249">
            <v>349793</v>
          </cell>
          <cell r="H3249" t="str">
            <v>Mayday</v>
          </cell>
          <cell r="I3249">
            <v>0.3125</v>
          </cell>
          <cell r="J3249">
            <v>0.60416666666666663</v>
          </cell>
          <cell r="K3249">
            <v>6.6666666666666696</v>
          </cell>
          <cell r="L3249">
            <v>279.85000000000002</v>
          </cell>
          <cell r="O3249" t="str">
            <v>Y</v>
          </cell>
          <cell r="P3249" t="str">
            <v>N</v>
          </cell>
          <cell r="Q3249" t="str">
            <v>Extra Capacity</v>
          </cell>
          <cell r="S3249">
            <v>0.18</v>
          </cell>
        </row>
        <row r="3250">
          <cell r="D3250">
            <v>1108004837</v>
          </cell>
          <cell r="E3250" t="str">
            <v>MZUKISI SPEELMAN</v>
          </cell>
          <cell r="F3250" t="str">
            <v>A (Ch)</v>
          </cell>
          <cell r="G3250">
            <v>17442</v>
          </cell>
          <cell r="H3250" t="str">
            <v>Choice</v>
          </cell>
          <cell r="I3250">
            <v>0.3125</v>
          </cell>
          <cell r="J3250">
            <v>0.5625</v>
          </cell>
          <cell r="K3250">
            <v>5.6666666666666696</v>
          </cell>
          <cell r="L3250">
            <v>83.79</v>
          </cell>
          <cell r="O3250" t="str">
            <v>Y</v>
          </cell>
          <cell r="P3250" t="str">
            <v>N</v>
          </cell>
          <cell r="Q3250" t="str">
            <v>Short Term Sick</v>
          </cell>
          <cell r="S3250">
            <v>0.15</v>
          </cell>
        </row>
        <row r="3251">
          <cell r="D3251">
            <v>1208000089</v>
          </cell>
          <cell r="E3251" t="str">
            <v>NILO DANUGO</v>
          </cell>
          <cell r="F3251" t="str">
            <v>D (Ch)</v>
          </cell>
          <cell r="G3251">
            <v>17449</v>
          </cell>
          <cell r="H3251" t="str">
            <v>Choice</v>
          </cell>
          <cell r="I3251">
            <v>0.83333333333333337</v>
          </cell>
          <cell r="J3251">
            <v>0.33333333333333331</v>
          </cell>
          <cell r="K3251">
            <v>11.3333333333333</v>
          </cell>
          <cell r="L3251">
            <v>359.05</v>
          </cell>
          <cell r="O3251" t="str">
            <v>Y</v>
          </cell>
          <cell r="P3251" t="str">
            <v>N</v>
          </cell>
          <cell r="Q3251" t="str">
            <v>Extra Capacity</v>
          </cell>
          <cell r="S3251">
            <v>0.3</v>
          </cell>
        </row>
        <row r="3252">
          <cell r="D3252">
            <v>1208000887</v>
          </cell>
          <cell r="E3252" t="str">
            <v>OMAR SENGHORE</v>
          </cell>
          <cell r="F3252" t="str">
            <v>D (MD)</v>
          </cell>
          <cell r="G3252">
            <v>351511</v>
          </cell>
          <cell r="H3252" t="str">
            <v>Mayday</v>
          </cell>
          <cell r="I3252">
            <v>0.8125</v>
          </cell>
          <cell r="J3252">
            <v>0.33333333333333331</v>
          </cell>
          <cell r="K3252">
            <v>11.8333333333333</v>
          </cell>
          <cell r="L3252">
            <v>496.73</v>
          </cell>
          <cell r="O3252" t="str">
            <v>Y</v>
          </cell>
          <cell r="P3252" t="str">
            <v>N</v>
          </cell>
          <cell r="Q3252" t="str">
            <v>Extra Capacity</v>
          </cell>
          <cell r="S3252">
            <v>0.32</v>
          </cell>
        </row>
        <row r="3253">
          <cell r="D3253">
            <v>1208001530</v>
          </cell>
          <cell r="E3253" t="str">
            <v>PHILILE NDLANGAMANDLA</v>
          </cell>
          <cell r="F3253" t="str">
            <v>D (Ch)</v>
          </cell>
          <cell r="H3253" t="str">
            <v>Choice</v>
          </cell>
          <cell r="I3253">
            <v>0.88541666666666663</v>
          </cell>
          <cell r="J3253">
            <v>0.3125</v>
          </cell>
          <cell r="K3253">
            <v>9.9166666666666696</v>
          </cell>
          <cell r="L3253">
            <v>314.17</v>
          </cell>
          <cell r="O3253" t="str">
            <v>Y</v>
          </cell>
          <cell r="P3253" t="str">
            <v>N</v>
          </cell>
          <cell r="Q3253" t="str">
            <v>Short Term Sick</v>
          </cell>
          <cell r="S3253">
            <v>0.26</v>
          </cell>
        </row>
        <row r="3254">
          <cell r="D3254">
            <v>1208001381</v>
          </cell>
          <cell r="E3254" t="str">
            <v>RACHEL OBERDOFF</v>
          </cell>
          <cell r="F3254" t="str">
            <v>D (MD)</v>
          </cell>
          <cell r="G3254">
            <v>348289</v>
          </cell>
          <cell r="H3254" t="str">
            <v>Mayday</v>
          </cell>
          <cell r="I3254">
            <v>0.3125</v>
          </cell>
          <cell r="J3254">
            <v>0.64583333333333337</v>
          </cell>
          <cell r="K3254">
            <v>7.5</v>
          </cell>
          <cell r="L3254">
            <v>314.83</v>
          </cell>
          <cell r="O3254" t="str">
            <v>Y</v>
          </cell>
          <cell r="P3254" t="str">
            <v>N</v>
          </cell>
          <cell r="Q3254" t="str">
            <v>Vacancy</v>
          </cell>
          <cell r="S3254">
            <v>0.2</v>
          </cell>
        </row>
        <row r="3255">
          <cell r="D3255">
            <v>1108004803</v>
          </cell>
          <cell r="E3255" t="str">
            <v>RICCA PARADA</v>
          </cell>
          <cell r="F3255" t="str">
            <v>D (Ch)</v>
          </cell>
          <cell r="G3255">
            <v>17455</v>
          </cell>
          <cell r="H3255" t="str">
            <v>Choice</v>
          </cell>
          <cell r="I3255">
            <v>0.3125</v>
          </cell>
          <cell r="J3255">
            <v>0.54166666666666663</v>
          </cell>
          <cell r="K3255">
            <v>5.5</v>
          </cell>
          <cell r="L3255">
            <v>174.25</v>
          </cell>
          <cell r="O3255" t="str">
            <v>Y</v>
          </cell>
          <cell r="P3255" t="str">
            <v>N</v>
          </cell>
          <cell r="Q3255" t="str">
            <v>Vacancy</v>
          </cell>
          <cell r="S3255">
            <v>0.15</v>
          </cell>
        </row>
        <row r="3256">
          <cell r="D3256">
            <v>1208000669</v>
          </cell>
          <cell r="E3256" t="str">
            <v>RICCA PARADA</v>
          </cell>
          <cell r="F3256" t="str">
            <v>D (Ch)</v>
          </cell>
          <cell r="G3256">
            <v>17455</v>
          </cell>
          <cell r="H3256" t="str">
            <v>Choice</v>
          </cell>
          <cell r="I3256">
            <v>0.625</v>
          </cell>
          <cell r="J3256">
            <v>0.85416666666666663</v>
          </cell>
          <cell r="K3256">
            <v>5.5</v>
          </cell>
          <cell r="L3256">
            <v>174.25</v>
          </cell>
          <cell r="O3256" t="str">
            <v>Y</v>
          </cell>
          <cell r="P3256" t="str">
            <v>N</v>
          </cell>
          <cell r="Q3256" t="str">
            <v>Vacancy</v>
          </cell>
          <cell r="S3256">
            <v>0.15</v>
          </cell>
        </row>
        <row r="3257">
          <cell r="D3257">
            <v>1208001531</v>
          </cell>
          <cell r="E3257" t="str">
            <v>RODA RAMERIZ</v>
          </cell>
          <cell r="F3257" t="str">
            <v>D (Ch)</v>
          </cell>
          <cell r="G3257">
            <v>17439</v>
          </cell>
          <cell r="H3257" t="str">
            <v>Choice</v>
          </cell>
          <cell r="I3257">
            <v>0.88541666666666663</v>
          </cell>
          <cell r="J3257">
            <v>0.30208333333333331</v>
          </cell>
          <cell r="K3257">
            <v>9</v>
          </cell>
          <cell r="L3257">
            <v>285.13</v>
          </cell>
          <cell r="O3257" t="str">
            <v>Y</v>
          </cell>
          <cell r="P3257" t="str">
            <v>N</v>
          </cell>
          <cell r="Q3257" t="str">
            <v>Extra Capacity</v>
          </cell>
          <cell r="S3257">
            <v>0.24</v>
          </cell>
        </row>
        <row r="3258">
          <cell r="D3258">
            <v>1108004057</v>
          </cell>
          <cell r="E3258" t="str">
            <v>ROHEYATOU NDOW-NJIE</v>
          </cell>
          <cell r="F3258" t="str">
            <v>D (Ch)</v>
          </cell>
          <cell r="G3258">
            <v>17526</v>
          </cell>
          <cell r="H3258" t="str">
            <v>Choice</v>
          </cell>
          <cell r="I3258">
            <v>0.5625</v>
          </cell>
          <cell r="J3258">
            <v>0.85416666666666663</v>
          </cell>
          <cell r="K3258">
            <v>6.6666666666666696</v>
          </cell>
          <cell r="L3258">
            <v>211.21</v>
          </cell>
          <cell r="O3258" t="str">
            <v>Y</v>
          </cell>
          <cell r="P3258" t="str">
            <v>N</v>
          </cell>
          <cell r="Q3258" t="str">
            <v>Vacancy</v>
          </cell>
          <cell r="S3258">
            <v>0.18</v>
          </cell>
        </row>
        <row r="3259">
          <cell r="D3259">
            <v>1108005155</v>
          </cell>
          <cell r="E3259" t="str">
            <v>ROHEYATOU NDOW-NJIE</v>
          </cell>
          <cell r="F3259" t="str">
            <v>D (Ch)</v>
          </cell>
          <cell r="G3259">
            <v>17526</v>
          </cell>
          <cell r="H3259" t="str">
            <v>Choice</v>
          </cell>
          <cell r="I3259">
            <v>0.3125</v>
          </cell>
          <cell r="J3259">
            <v>0.5625</v>
          </cell>
          <cell r="K3259">
            <v>5.6666666666666696</v>
          </cell>
          <cell r="L3259">
            <v>179.53</v>
          </cell>
          <cell r="O3259" t="str">
            <v>Y</v>
          </cell>
          <cell r="P3259" t="str">
            <v>N</v>
          </cell>
          <cell r="Q3259" t="str">
            <v>Nurse Moved</v>
          </cell>
          <cell r="S3259">
            <v>0.15</v>
          </cell>
        </row>
        <row r="3260">
          <cell r="D3260">
            <v>1108005865</v>
          </cell>
          <cell r="E3260" t="str">
            <v>SAM KELEM</v>
          </cell>
          <cell r="F3260" t="str">
            <v>D (Ch)</v>
          </cell>
          <cell r="G3260">
            <v>17464</v>
          </cell>
          <cell r="H3260" t="str">
            <v>Choice</v>
          </cell>
          <cell r="I3260">
            <v>0.875</v>
          </cell>
          <cell r="J3260">
            <v>0.32291666666666669</v>
          </cell>
          <cell r="K3260">
            <v>10</v>
          </cell>
          <cell r="L3260">
            <v>316.81</v>
          </cell>
          <cell r="O3260" t="str">
            <v>Y</v>
          </cell>
          <cell r="P3260" t="str">
            <v>N</v>
          </cell>
          <cell r="Q3260" t="str">
            <v>Specials</v>
          </cell>
          <cell r="S3260">
            <v>0.27</v>
          </cell>
        </row>
        <row r="3261">
          <cell r="D3261">
            <v>1208000214</v>
          </cell>
          <cell r="E3261" t="str">
            <v>SARAH MAKOTORE</v>
          </cell>
          <cell r="F3261" t="str">
            <v>D (Ch)</v>
          </cell>
          <cell r="G3261">
            <v>17461</v>
          </cell>
          <cell r="H3261" t="str">
            <v>Choice</v>
          </cell>
          <cell r="I3261">
            <v>0.5625</v>
          </cell>
          <cell r="J3261">
            <v>0.875</v>
          </cell>
          <cell r="K3261">
            <v>7.1666666666666696</v>
          </cell>
          <cell r="L3261">
            <v>227.05</v>
          </cell>
          <cell r="O3261" t="str">
            <v>Y</v>
          </cell>
          <cell r="P3261" t="str">
            <v>N</v>
          </cell>
          <cell r="Q3261" t="str">
            <v>Vacancy</v>
          </cell>
          <cell r="S3261">
            <v>0.19</v>
          </cell>
        </row>
        <row r="3262">
          <cell r="D3262">
            <v>1208000506</v>
          </cell>
          <cell r="E3262" t="str">
            <v>SIBONGILE DOKOTERA</v>
          </cell>
          <cell r="F3262" t="str">
            <v>D (MD)</v>
          </cell>
          <cell r="G3262">
            <v>350086</v>
          </cell>
          <cell r="H3262" t="str">
            <v>Mayday</v>
          </cell>
          <cell r="I3262">
            <v>0.3125</v>
          </cell>
          <cell r="J3262">
            <v>0.64583333333333337</v>
          </cell>
          <cell r="K3262">
            <v>7.6666666666666696</v>
          </cell>
          <cell r="L3262">
            <v>321.82</v>
          </cell>
          <cell r="O3262" t="str">
            <v>Y</v>
          </cell>
          <cell r="P3262" t="str">
            <v>N</v>
          </cell>
          <cell r="Q3262" t="str">
            <v>Extra Capacity</v>
          </cell>
          <cell r="S3262">
            <v>0.2</v>
          </cell>
        </row>
        <row r="3263">
          <cell r="D3263">
            <v>1208000508</v>
          </cell>
          <cell r="E3263" t="str">
            <v>SIBONGILE DOKOTERA</v>
          </cell>
          <cell r="F3263" t="str">
            <v>D (MD)</v>
          </cell>
          <cell r="G3263">
            <v>350086</v>
          </cell>
          <cell r="H3263" t="str">
            <v>Mayday</v>
          </cell>
          <cell r="I3263">
            <v>0.64583333333333337</v>
          </cell>
          <cell r="J3263">
            <v>0.85416666666666663</v>
          </cell>
          <cell r="K3263">
            <v>5</v>
          </cell>
          <cell r="L3263">
            <v>209.89</v>
          </cell>
          <cell r="O3263" t="str">
            <v>Y</v>
          </cell>
          <cell r="P3263" t="str">
            <v>N</v>
          </cell>
          <cell r="Q3263" t="str">
            <v>Extra Capacity</v>
          </cell>
          <cell r="S3263">
            <v>0.13</v>
          </cell>
        </row>
        <row r="3264">
          <cell r="D3264">
            <v>1108003000</v>
          </cell>
          <cell r="E3264" t="str">
            <v>TARA MASSIE</v>
          </cell>
          <cell r="F3264" t="str">
            <v>D (MD)</v>
          </cell>
          <cell r="G3264">
            <v>349792</v>
          </cell>
          <cell r="H3264" t="str">
            <v>Mayday</v>
          </cell>
          <cell r="I3264">
            <v>0.5625</v>
          </cell>
          <cell r="J3264">
            <v>0.85416666666666663</v>
          </cell>
          <cell r="K3264">
            <v>6.6666666666666696</v>
          </cell>
          <cell r="L3264">
            <v>279.85000000000002</v>
          </cell>
          <cell r="O3264" t="str">
            <v>Y</v>
          </cell>
          <cell r="P3264" t="str">
            <v>N</v>
          </cell>
          <cell r="Q3264" t="str">
            <v>Under Established</v>
          </cell>
          <cell r="S3264">
            <v>0.18</v>
          </cell>
        </row>
        <row r="3265">
          <cell r="D3265">
            <v>1208000412</v>
          </cell>
          <cell r="E3265" t="str">
            <v>VERLYN GANIR</v>
          </cell>
          <cell r="F3265" t="str">
            <v>D (Ch)</v>
          </cell>
          <cell r="G3265">
            <v>17446</v>
          </cell>
          <cell r="H3265" t="str">
            <v>Choice</v>
          </cell>
          <cell r="I3265">
            <v>0.625</v>
          </cell>
          <cell r="J3265">
            <v>0.84375</v>
          </cell>
          <cell r="K3265">
            <v>5.25</v>
          </cell>
          <cell r="L3265">
            <v>166.33</v>
          </cell>
          <cell r="O3265" t="str">
            <v>Y</v>
          </cell>
          <cell r="P3265" t="str">
            <v>N</v>
          </cell>
          <cell r="Q3265" t="str">
            <v>Extra Capacity</v>
          </cell>
          <cell r="S3265">
            <v>0.14000000000000001</v>
          </cell>
        </row>
        <row r="3266">
          <cell r="D3266">
            <v>1208001221</v>
          </cell>
          <cell r="E3266" t="str">
            <v>VICTORIA MAESTRANI</v>
          </cell>
          <cell r="F3266" t="str">
            <v>D (MD)</v>
          </cell>
          <cell r="H3266" t="str">
            <v>Mayday</v>
          </cell>
          <cell r="I3266">
            <v>0.3125</v>
          </cell>
          <cell r="J3266">
            <v>0.60416666666666663</v>
          </cell>
          <cell r="K3266">
            <v>6.6666666666666696</v>
          </cell>
          <cell r="L3266">
            <v>279.85000000000002</v>
          </cell>
          <cell r="O3266" t="str">
            <v>Y</v>
          </cell>
          <cell r="P3266" t="str">
            <v>N</v>
          </cell>
          <cell r="Q3266" t="str">
            <v>Short Term Sick</v>
          </cell>
          <cell r="S3266">
            <v>0.18</v>
          </cell>
        </row>
        <row r="3267">
          <cell r="D3267">
            <v>1208001394</v>
          </cell>
          <cell r="E3267" t="str">
            <v>VIJAY PANDYA</v>
          </cell>
          <cell r="F3267" t="str">
            <v>D (MD)</v>
          </cell>
          <cell r="G3267">
            <v>350071</v>
          </cell>
          <cell r="H3267" t="str">
            <v>Mayday</v>
          </cell>
          <cell r="I3267">
            <v>0.83333333333333337</v>
          </cell>
          <cell r="J3267">
            <v>0.33333333333333331</v>
          </cell>
          <cell r="K3267">
            <v>11.3333333333333</v>
          </cell>
          <cell r="L3267">
            <v>475.74</v>
          </cell>
          <cell r="O3267" t="str">
            <v>Y</v>
          </cell>
          <cell r="P3267" t="str">
            <v>N</v>
          </cell>
          <cell r="Q3267" t="str">
            <v>Specials</v>
          </cell>
          <cell r="S3267">
            <v>0.3</v>
          </cell>
        </row>
        <row r="3268">
          <cell r="D3268">
            <v>1208000520</v>
          </cell>
          <cell r="E3268" t="str">
            <v>ZINA DHLIWAYO</v>
          </cell>
          <cell r="F3268" t="str">
            <v>A (Ch)</v>
          </cell>
          <cell r="H3268" t="str">
            <v>Choice</v>
          </cell>
          <cell r="I3268">
            <v>0.83333333333333337</v>
          </cell>
          <cell r="J3268">
            <v>0.33333333333333331</v>
          </cell>
          <cell r="K3268">
            <v>11.3333333333333</v>
          </cell>
          <cell r="L3268">
            <v>167.58</v>
          </cell>
          <cell r="O3268" t="str">
            <v>Y</v>
          </cell>
          <cell r="P3268" t="str">
            <v>N</v>
          </cell>
          <cell r="Q3268" t="str">
            <v>Extra Capacity</v>
          </cell>
          <cell r="S3268">
            <v>0.3</v>
          </cell>
        </row>
        <row r="3269">
          <cell r="D3269">
            <v>1208000625</v>
          </cell>
          <cell r="E3269" t="str">
            <v>ALLI SUBRAMANIAM</v>
          </cell>
          <cell r="F3269" t="str">
            <v>D (MD)</v>
          </cell>
          <cell r="G3269">
            <v>356074</v>
          </cell>
          <cell r="H3269" t="str">
            <v>Mayday</v>
          </cell>
          <cell r="I3269">
            <v>0.625</v>
          </cell>
          <cell r="J3269">
            <v>0.85416666666666663</v>
          </cell>
          <cell r="K3269">
            <v>5.5</v>
          </cell>
          <cell r="L3269">
            <v>284.14999999999998</v>
          </cell>
          <cell r="O3269" t="str">
            <v>Y</v>
          </cell>
          <cell r="P3269" t="str">
            <v>N</v>
          </cell>
          <cell r="Q3269" t="str">
            <v>Extra Capacity</v>
          </cell>
          <cell r="S3269">
            <v>0.15</v>
          </cell>
        </row>
        <row r="3270">
          <cell r="D3270">
            <v>1208001626</v>
          </cell>
          <cell r="E3270" t="str">
            <v>ALLI SUBRAMANIAM</v>
          </cell>
          <cell r="F3270" t="str">
            <v>D (MD)</v>
          </cell>
          <cell r="G3270">
            <v>356072</v>
          </cell>
          <cell r="H3270" t="str">
            <v>Mayday</v>
          </cell>
          <cell r="I3270">
            <v>0.29166666666666669</v>
          </cell>
          <cell r="J3270">
            <v>0.625</v>
          </cell>
          <cell r="K3270">
            <v>7.6666666666666696</v>
          </cell>
          <cell r="L3270">
            <v>396.09</v>
          </cell>
          <cell r="O3270" t="str">
            <v>Y</v>
          </cell>
          <cell r="P3270" t="str">
            <v>N</v>
          </cell>
          <cell r="Q3270" t="str">
            <v>On-Call</v>
          </cell>
          <cell r="S3270">
            <v>0.2</v>
          </cell>
        </row>
        <row r="3271">
          <cell r="D3271">
            <v>1208002376</v>
          </cell>
          <cell r="E3271" t="str">
            <v>ANDREA VENEURELA</v>
          </cell>
          <cell r="F3271" t="str">
            <v>D (Ch)</v>
          </cell>
          <cell r="G3271">
            <v>17519</v>
          </cell>
          <cell r="H3271" t="str">
            <v>Choice</v>
          </cell>
          <cell r="I3271">
            <v>0.83333333333333337</v>
          </cell>
          <cell r="J3271">
            <v>0.33333333333333331</v>
          </cell>
          <cell r="K3271">
            <v>11.3333333333333</v>
          </cell>
          <cell r="L3271">
            <v>441.91</v>
          </cell>
          <cell r="M3271">
            <v>375.17</v>
          </cell>
          <cell r="O3271" t="str">
            <v>Y</v>
          </cell>
          <cell r="P3271" t="str">
            <v>N</v>
          </cell>
          <cell r="Q3271" t="str">
            <v>On-Call</v>
          </cell>
          <cell r="S3271">
            <v>0.3</v>
          </cell>
        </row>
        <row r="3272">
          <cell r="D3272">
            <v>1208002303</v>
          </cell>
          <cell r="E3272" t="str">
            <v>ATINUKE OKE-OLATUNDE</v>
          </cell>
          <cell r="F3272" t="str">
            <v>D (MD)</v>
          </cell>
          <cell r="G3272">
            <v>352303</v>
          </cell>
          <cell r="H3272" t="str">
            <v>Mayday</v>
          </cell>
          <cell r="I3272">
            <v>0.82291666666666663</v>
          </cell>
          <cell r="J3272">
            <v>0.34375</v>
          </cell>
          <cell r="K3272">
            <v>11.5</v>
          </cell>
          <cell r="L3272">
            <v>594.14</v>
          </cell>
          <cell r="O3272" t="str">
            <v>Y</v>
          </cell>
          <cell r="P3272" t="str">
            <v>N</v>
          </cell>
          <cell r="Q3272" t="str">
            <v>On-Call</v>
          </cell>
          <cell r="S3272">
            <v>0.31</v>
          </cell>
        </row>
        <row r="3273">
          <cell r="D3273">
            <v>1008006916</v>
          </cell>
          <cell r="E3273" t="str">
            <v>BIDDY CHAFESUKA</v>
          </cell>
          <cell r="F3273" t="str">
            <v>D (Ch)</v>
          </cell>
          <cell r="G3273">
            <v>17463</v>
          </cell>
          <cell r="H3273" t="str">
            <v>Choice</v>
          </cell>
          <cell r="I3273">
            <v>0.3125</v>
          </cell>
          <cell r="J3273">
            <v>0.54166666666666663</v>
          </cell>
          <cell r="K3273">
            <v>5.5</v>
          </cell>
          <cell r="L3273">
            <v>214.46</v>
          </cell>
          <cell r="O3273" t="str">
            <v>Y</v>
          </cell>
          <cell r="P3273" t="str">
            <v>N</v>
          </cell>
          <cell r="Q3273" t="str">
            <v>Vacancy</v>
          </cell>
          <cell r="S3273">
            <v>0.15</v>
          </cell>
        </row>
        <row r="3274">
          <cell r="D3274">
            <v>1008006917</v>
          </cell>
          <cell r="E3274" t="str">
            <v>BIDDY CHAFESUKA</v>
          </cell>
          <cell r="F3274" t="str">
            <v>D (Ch)</v>
          </cell>
          <cell r="G3274">
            <v>17463</v>
          </cell>
          <cell r="H3274" t="str">
            <v>Choice</v>
          </cell>
          <cell r="I3274">
            <v>0.625</v>
          </cell>
          <cell r="J3274">
            <v>0.85416666666666663</v>
          </cell>
          <cell r="K3274">
            <v>5.5</v>
          </cell>
          <cell r="L3274">
            <v>214.46</v>
          </cell>
          <cell r="O3274" t="str">
            <v>Y</v>
          </cell>
          <cell r="P3274" t="str">
            <v>N</v>
          </cell>
          <cell r="Q3274" t="str">
            <v>Vacancy</v>
          </cell>
          <cell r="S3274">
            <v>0.15</v>
          </cell>
        </row>
        <row r="3275">
          <cell r="D3275">
            <v>1208002448</v>
          </cell>
          <cell r="E3275" t="str">
            <v>CARMEN MAURICIO</v>
          </cell>
          <cell r="F3275" t="str">
            <v>D (MD)</v>
          </cell>
          <cell r="G3275">
            <v>349787</v>
          </cell>
          <cell r="H3275" t="str">
            <v>Mayday</v>
          </cell>
          <cell r="I3275">
            <v>0.83333333333333337</v>
          </cell>
          <cell r="J3275">
            <v>0.33333333333333331</v>
          </cell>
          <cell r="K3275">
            <v>11</v>
          </cell>
          <cell r="L3275">
            <v>568.29999999999995</v>
          </cell>
          <cell r="O3275" t="str">
            <v>Y</v>
          </cell>
          <cell r="P3275" t="str">
            <v>N</v>
          </cell>
          <cell r="Q3275" t="str">
            <v>Vacancy</v>
          </cell>
          <cell r="S3275">
            <v>0.28999999999999998</v>
          </cell>
        </row>
        <row r="3276">
          <cell r="D3276">
            <v>1208000224</v>
          </cell>
          <cell r="E3276" t="str">
            <v>DAVIS DEAN</v>
          </cell>
          <cell r="F3276" t="str">
            <v>D (Ch)</v>
          </cell>
          <cell r="H3276" t="str">
            <v>Choice</v>
          </cell>
          <cell r="I3276">
            <v>0.88541666666666663</v>
          </cell>
          <cell r="J3276">
            <v>0.3125</v>
          </cell>
          <cell r="K3276">
            <v>9.25</v>
          </cell>
          <cell r="L3276">
            <v>360.68</v>
          </cell>
          <cell r="O3276" t="str">
            <v>Y</v>
          </cell>
          <cell r="P3276" t="str">
            <v>N</v>
          </cell>
          <cell r="Q3276" t="str">
            <v>Vacancy</v>
          </cell>
          <cell r="S3276">
            <v>0.25</v>
          </cell>
        </row>
        <row r="3277">
          <cell r="D3277">
            <v>1208000219</v>
          </cell>
          <cell r="E3277" t="str">
            <v>DENNIS DVENGE</v>
          </cell>
          <cell r="F3277" t="str">
            <v>D (Ch)</v>
          </cell>
          <cell r="H3277" t="str">
            <v>Choice</v>
          </cell>
          <cell r="I3277">
            <v>0.29166666666666669</v>
          </cell>
          <cell r="J3277">
            <v>0.625</v>
          </cell>
          <cell r="K3277">
            <v>7.6666666666666696</v>
          </cell>
          <cell r="L3277">
            <v>298.94</v>
          </cell>
          <cell r="O3277" t="str">
            <v>Y</v>
          </cell>
          <cell r="P3277" t="str">
            <v>N</v>
          </cell>
          <cell r="Q3277" t="str">
            <v>Specials</v>
          </cell>
          <cell r="S3277">
            <v>0.2</v>
          </cell>
        </row>
        <row r="3278">
          <cell r="D3278">
            <v>1208000221</v>
          </cell>
          <cell r="E3278" t="str">
            <v>DENNIS DVENGE</v>
          </cell>
          <cell r="F3278" t="str">
            <v>D (Ch)</v>
          </cell>
          <cell r="H3278" t="str">
            <v>Choice</v>
          </cell>
          <cell r="I3278">
            <v>0.625</v>
          </cell>
          <cell r="J3278">
            <v>0.88541666666666663</v>
          </cell>
          <cell r="K3278">
            <v>5.9166666666666696</v>
          </cell>
          <cell r="L3278">
            <v>230.7</v>
          </cell>
          <cell r="O3278" t="str">
            <v>Y</v>
          </cell>
          <cell r="P3278" t="str">
            <v>N</v>
          </cell>
          <cell r="Q3278" t="str">
            <v>Vacancy</v>
          </cell>
          <cell r="S3278">
            <v>0.16</v>
          </cell>
        </row>
        <row r="3279">
          <cell r="D3279">
            <v>1208001539</v>
          </cell>
          <cell r="E3279" t="str">
            <v>DONALD YANZA</v>
          </cell>
          <cell r="F3279" t="str">
            <v>D (Ch)</v>
          </cell>
          <cell r="G3279">
            <v>17439</v>
          </cell>
          <cell r="H3279" t="str">
            <v>Choice</v>
          </cell>
          <cell r="I3279">
            <v>0.88541666666666663</v>
          </cell>
          <cell r="J3279">
            <v>0.30208333333333331</v>
          </cell>
          <cell r="K3279">
            <v>9</v>
          </cell>
          <cell r="L3279">
            <v>350.93</v>
          </cell>
          <cell r="O3279" t="str">
            <v>Y</v>
          </cell>
          <cell r="P3279" t="str">
            <v>N</v>
          </cell>
          <cell r="Q3279" t="str">
            <v>Extra Capacity</v>
          </cell>
          <cell r="S3279">
            <v>0.24</v>
          </cell>
        </row>
        <row r="3280">
          <cell r="D3280">
            <v>1208000531</v>
          </cell>
          <cell r="E3280" t="str">
            <v>DORICA MUNJERI</v>
          </cell>
          <cell r="F3280" t="str">
            <v>A (Ch)</v>
          </cell>
          <cell r="H3280" t="str">
            <v>Choice</v>
          </cell>
          <cell r="I3280">
            <v>0.3125</v>
          </cell>
          <cell r="J3280">
            <v>0.52083333333333337</v>
          </cell>
          <cell r="K3280">
            <v>5</v>
          </cell>
          <cell r="L3280">
            <v>92.42</v>
          </cell>
          <cell r="O3280" t="str">
            <v>Y</v>
          </cell>
          <cell r="P3280" t="str">
            <v>N</v>
          </cell>
          <cell r="Q3280" t="str">
            <v>Extra Capacity</v>
          </cell>
          <cell r="S3280">
            <v>0.13</v>
          </cell>
        </row>
        <row r="3281">
          <cell r="D3281">
            <v>1208000535</v>
          </cell>
          <cell r="E3281" t="str">
            <v>DORICA MUNJERI</v>
          </cell>
          <cell r="F3281" t="str">
            <v>A (Ch)</v>
          </cell>
          <cell r="H3281" t="str">
            <v>Choice</v>
          </cell>
          <cell r="I3281">
            <v>0.52083333333333337</v>
          </cell>
          <cell r="J3281">
            <v>0.85416666666666663</v>
          </cell>
          <cell r="K3281">
            <v>7.6666666666666696</v>
          </cell>
          <cell r="L3281">
            <v>141.71</v>
          </cell>
          <cell r="O3281" t="str">
            <v>Y</v>
          </cell>
          <cell r="P3281" t="str">
            <v>N</v>
          </cell>
          <cell r="Q3281" t="str">
            <v>Extra Capacity</v>
          </cell>
          <cell r="S3281">
            <v>0.2</v>
          </cell>
        </row>
        <row r="3282">
          <cell r="D3282">
            <v>1208000536</v>
          </cell>
          <cell r="E3282" t="str">
            <v>DOROTHY MUTHWA</v>
          </cell>
          <cell r="F3282" t="str">
            <v>A (Ch)</v>
          </cell>
          <cell r="G3282">
            <v>17524</v>
          </cell>
          <cell r="H3282" t="str">
            <v>Choice</v>
          </cell>
          <cell r="I3282">
            <v>0.83333333333333337</v>
          </cell>
          <cell r="J3282">
            <v>0.33333333333333331</v>
          </cell>
          <cell r="K3282">
            <v>11.3333333333333</v>
          </cell>
          <cell r="L3282">
            <v>209.48</v>
          </cell>
          <cell r="O3282" t="str">
            <v>Y</v>
          </cell>
          <cell r="P3282" t="str">
            <v>N</v>
          </cell>
          <cell r="Q3282" t="str">
            <v>Extra Capacity</v>
          </cell>
          <cell r="S3282">
            <v>0.3</v>
          </cell>
        </row>
        <row r="3283">
          <cell r="D3283">
            <v>1208000627</v>
          </cell>
          <cell r="E3283" t="str">
            <v>ELENOR PARAZO</v>
          </cell>
          <cell r="F3283" t="str">
            <v>D (Ch)</v>
          </cell>
          <cell r="H3283" t="str">
            <v>Choice</v>
          </cell>
          <cell r="I3283">
            <v>0.83333333333333337</v>
          </cell>
          <cell r="J3283">
            <v>0.33333333333333331</v>
          </cell>
          <cell r="K3283">
            <v>11.3333333333333</v>
          </cell>
          <cell r="L3283">
            <v>441.91</v>
          </cell>
          <cell r="O3283" t="str">
            <v>Y</v>
          </cell>
          <cell r="P3283" t="str">
            <v>N</v>
          </cell>
          <cell r="Q3283" t="str">
            <v>Extra Capacity</v>
          </cell>
          <cell r="S3283">
            <v>0.3</v>
          </cell>
        </row>
        <row r="3284">
          <cell r="D3284">
            <v>1208002316</v>
          </cell>
          <cell r="E3284" t="str">
            <v>ELSIE CHIKUKWA</v>
          </cell>
          <cell r="F3284" t="str">
            <v>D (Ch)</v>
          </cell>
          <cell r="G3284">
            <v>350083</v>
          </cell>
          <cell r="H3284" t="str">
            <v>Choice</v>
          </cell>
          <cell r="I3284">
            <v>0.8125</v>
          </cell>
          <cell r="J3284">
            <v>0.33333333333333331</v>
          </cell>
          <cell r="K3284">
            <v>11.5</v>
          </cell>
          <cell r="L3284">
            <v>448.41</v>
          </cell>
          <cell r="O3284" t="str">
            <v>Y</v>
          </cell>
          <cell r="P3284" t="str">
            <v>N</v>
          </cell>
          <cell r="Q3284" t="str">
            <v>On-Call</v>
          </cell>
          <cell r="S3284">
            <v>0.31</v>
          </cell>
        </row>
        <row r="3285">
          <cell r="D3285">
            <v>1208000890</v>
          </cell>
          <cell r="E3285" t="str">
            <v>ELYNE ABABI-CHOI</v>
          </cell>
          <cell r="F3285" t="str">
            <v>D (Amb)</v>
          </cell>
          <cell r="G3285">
            <v>763611</v>
          </cell>
          <cell r="H3285" t="str">
            <v>Ambition</v>
          </cell>
          <cell r="I3285">
            <v>0.8125</v>
          </cell>
          <cell r="J3285">
            <v>0.33333333333333331</v>
          </cell>
          <cell r="K3285">
            <v>11.8333333333333</v>
          </cell>
          <cell r="L3285">
            <v>740.29</v>
          </cell>
          <cell r="O3285" t="str">
            <v>Y</v>
          </cell>
          <cell r="P3285" t="str">
            <v>N</v>
          </cell>
          <cell r="Q3285" t="str">
            <v>Extra Capacity</v>
          </cell>
          <cell r="S3285">
            <v>0.32</v>
          </cell>
        </row>
        <row r="3286">
          <cell r="D3286">
            <v>1208000064</v>
          </cell>
          <cell r="E3286" t="str">
            <v>EMMANUEL SALAKO</v>
          </cell>
          <cell r="F3286" t="str">
            <v>D (MD)</v>
          </cell>
          <cell r="G3286">
            <v>348284</v>
          </cell>
          <cell r="H3286" t="str">
            <v>Mayday</v>
          </cell>
          <cell r="I3286">
            <v>0.60416666666666663</v>
          </cell>
          <cell r="J3286">
            <v>0.85416666666666663</v>
          </cell>
          <cell r="K3286">
            <v>5.6666666666666696</v>
          </cell>
          <cell r="L3286">
            <v>292.76</v>
          </cell>
          <cell r="O3286" t="str">
            <v>Y</v>
          </cell>
          <cell r="P3286" t="str">
            <v>N</v>
          </cell>
          <cell r="Q3286" t="str">
            <v>Extra Capacity</v>
          </cell>
          <cell r="S3286">
            <v>0.15</v>
          </cell>
        </row>
        <row r="3287">
          <cell r="D3287">
            <v>1208000101</v>
          </cell>
          <cell r="E3287" t="str">
            <v>EMMANUEL SALAKO</v>
          </cell>
          <cell r="F3287" t="str">
            <v>D (MD)</v>
          </cell>
          <cell r="G3287">
            <v>348284</v>
          </cell>
          <cell r="H3287" t="str">
            <v>Mayday</v>
          </cell>
          <cell r="I3287">
            <v>0.3125</v>
          </cell>
          <cell r="J3287">
            <v>0.60416666666666663</v>
          </cell>
          <cell r="K3287">
            <v>6.6666666666666696</v>
          </cell>
          <cell r="L3287">
            <v>344.43</v>
          </cell>
          <cell r="O3287" t="str">
            <v>Y</v>
          </cell>
          <cell r="P3287" t="str">
            <v>N</v>
          </cell>
          <cell r="Q3287" t="str">
            <v>Extra Capacity</v>
          </cell>
          <cell r="S3287">
            <v>0.18</v>
          </cell>
        </row>
        <row r="3288">
          <cell r="D3288">
            <v>1208000096</v>
          </cell>
          <cell r="E3288" t="str">
            <v>FIONA DURKIN-GREER</v>
          </cell>
          <cell r="F3288" t="str">
            <v>D (MD)</v>
          </cell>
          <cell r="G3288">
            <v>348285</v>
          </cell>
          <cell r="H3288" t="str">
            <v>Mayday</v>
          </cell>
          <cell r="I3288">
            <v>0.3125</v>
          </cell>
          <cell r="J3288">
            <v>0.60416666666666663</v>
          </cell>
          <cell r="K3288">
            <v>6.6666666666666696</v>
          </cell>
          <cell r="L3288">
            <v>344.43</v>
          </cell>
          <cell r="O3288" t="str">
            <v>Y</v>
          </cell>
          <cell r="P3288" t="str">
            <v>N</v>
          </cell>
          <cell r="Q3288" t="str">
            <v>Extra Capacity</v>
          </cell>
          <cell r="S3288">
            <v>0.18</v>
          </cell>
        </row>
        <row r="3289">
          <cell r="D3289">
            <v>1208001334</v>
          </cell>
          <cell r="E3289" t="str">
            <v>FLORENCE DLAMINI</v>
          </cell>
          <cell r="F3289" t="str">
            <v>D (MD)</v>
          </cell>
          <cell r="G3289">
            <v>348682</v>
          </cell>
          <cell r="H3289" t="str">
            <v>Mayday</v>
          </cell>
          <cell r="I3289">
            <v>0.625</v>
          </cell>
          <cell r="J3289">
            <v>0.89583333333333337</v>
          </cell>
          <cell r="K3289">
            <v>6</v>
          </cell>
          <cell r="L3289">
            <v>309.98</v>
          </cell>
          <cell r="O3289" t="str">
            <v>Y</v>
          </cell>
          <cell r="P3289" t="str">
            <v>N</v>
          </cell>
          <cell r="Q3289" t="str">
            <v>Short Term Sick</v>
          </cell>
          <cell r="S3289">
            <v>0.16</v>
          </cell>
        </row>
        <row r="3290">
          <cell r="D3290">
            <v>1108006171</v>
          </cell>
          <cell r="E3290" t="str">
            <v>GAIL HOWLEY</v>
          </cell>
          <cell r="F3290" t="str">
            <v>D (Amb)</v>
          </cell>
          <cell r="G3290">
            <v>763612</v>
          </cell>
          <cell r="H3290" t="str">
            <v>Ambition</v>
          </cell>
          <cell r="I3290">
            <v>0.3125</v>
          </cell>
          <cell r="J3290">
            <v>0.83333333333333337</v>
          </cell>
          <cell r="K3290">
            <v>11.8333333333333</v>
          </cell>
          <cell r="L3290">
            <v>740.29</v>
          </cell>
          <cell r="O3290" t="str">
            <v>Y</v>
          </cell>
          <cell r="P3290" t="str">
            <v>N</v>
          </cell>
          <cell r="Q3290" t="str">
            <v>Vacancy</v>
          </cell>
          <cell r="S3290">
            <v>0.32</v>
          </cell>
        </row>
        <row r="3291">
          <cell r="D3291">
            <v>1208001440</v>
          </cell>
          <cell r="E3291" t="str">
            <v>GALE HARLEY</v>
          </cell>
          <cell r="F3291" t="str">
            <v>D (Amb)</v>
          </cell>
          <cell r="H3291" t="str">
            <v>Ambition</v>
          </cell>
          <cell r="I3291">
            <v>0.3125</v>
          </cell>
          <cell r="J3291">
            <v>0.83333333333333337</v>
          </cell>
          <cell r="K3291">
            <v>11.8333333333333</v>
          </cell>
          <cell r="L3291">
            <v>740.29</v>
          </cell>
          <cell r="O3291" t="str">
            <v>Y</v>
          </cell>
          <cell r="P3291" t="str">
            <v>N</v>
          </cell>
          <cell r="Q3291" t="str">
            <v>Vacancy</v>
          </cell>
          <cell r="S3291">
            <v>0.32</v>
          </cell>
        </row>
        <row r="3292">
          <cell r="D3292">
            <v>1208000630</v>
          </cell>
          <cell r="E3292" t="str">
            <v>GLENDA RONA</v>
          </cell>
          <cell r="F3292" t="str">
            <v>D (Ch)</v>
          </cell>
          <cell r="G3292">
            <v>17457</v>
          </cell>
          <cell r="H3292" t="str">
            <v>Choice</v>
          </cell>
          <cell r="I3292">
            <v>0.82291666666666663</v>
          </cell>
          <cell r="J3292">
            <v>0.34375</v>
          </cell>
          <cell r="K3292">
            <v>11.5</v>
          </cell>
          <cell r="L3292">
            <v>448.41</v>
          </cell>
          <cell r="O3292" t="str">
            <v>Y</v>
          </cell>
          <cell r="P3292" t="str">
            <v>N</v>
          </cell>
          <cell r="Q3292" t="str">
            <v>Split shift</v>
          </cell>
          <cell r="S3292">
            <v>0.31</v>
          </cell>
        </row>
        <row r="3293">
          <cell r="D3293">
            <v>1208000530</v>
          </cell>
          <cell r="E3293" t="str">
            <v>GRACE MALUPE</v>
          </cell>
          <cell r="F3293" t="str">
            <v>A (Ch)</v>
          </cell>
          <cell r="H3293" t="str">
            <v>Choice</v>
          </cell>
          <cell r="I3293">
            <v>0.3125</v>
          </cell>
          <cell r="J3293">
            <v>0.52083333333333337</v>
          </cell>
          <cell r="K3293">
            <v>5</v>
          </cell>
          <cell r="L3293">
            <v>92.42</v>
          </cell>
          <cell r="O3293" t="str">
            <v>Y</v>
          </cell>
          <cell r="P3293" t="str">
            <v>N</v>
          </cell>
          <cell r="Q3293" t="str">
            <v>Extra Capacity</v>
          </cell>
          <cell r="S3293">
            <v>0.13</v>
          </cell>
        </row>
        <row r="3294">
          <cell r="D3294">
            <v>1208000534</v>
          </cell>
          <cell r="E3294" t="str">
            <v>GRACE MALUPE</v>
          </cell>
          <cell r="F3294" t="str">
            <v>A (Ch)</v>
          </cell>
          <cell r="H3294" t="str">
            <v>Choice</v>
          </cell>
          <cell r="I3294">
            <v>0.52083333333333337</v>
          </cell>
          <cell r="J3294">
            <v>0.85416666666666663</v>
          </cell>
          <cell r="K3294">
            <v>7.6666666666666696</v>
          </cell>
          <cell r="L3294">
            <v>141.71</v>
          </cell>
          <cell r="O3294" t="str">
            <v>Y</v>
          </cell>
          <cell r="P3294" t="str">
            <v>N</v>
          </cell>
          <cell r="Q3294" t="str">
            <v>Extra Capacity</v>
          </cell>
          <cell r="S3294">
            <v>0.2</v>
          </cell>
        </row>
        <row r="3295">
          <cell r="D3295">
            <v>1108006184</v>
          </cell>
          <cell r="E3295" t="str">
            <v>GRACE PANDARAOAM</v>
          </cell>
          <cell r="F3295" t="str">
            <v>D (Ch)</v>
          </cell>
          <cell r="G3295">
            <v>17450</v>
          </cell>
          <cell r="H3295" t="str">
            <v>Choice</v>
          </cell>
          <cell r="I3295">
            <v>0.8125</v>
          </cell>
          <cell r="J3295">
            <v>0.33333333333333331</v>
          </cell>
          <cell r="K3295">
            <v>11.8333333333333</v>
          </cell>
          <cell r="L3295">
            <v>461.41</v>
          </cell>
          <cell r="O3295" t="str">
            <v>Y</v>
          </cell>
          <cell r="P3295" t="str">
            <v>N</v>
          </cell>
          <cell r="Q3295" t="str">
            <v>Vacancy</v>
          </cell>
          <cell r="S3295">
            <v>0.32</v>
          </cell>
        </row>
        <row r="3296">
          <cell r="D3296">
            <v>1208001549</v>
          </cell>
          <cell r="E3296" t="str">
            <v>JACKIE FARMER</v>
          </cell>
          <cell r="F3296" t="str">
            <v>D (Amb)</v>
          </cell>
          <cell r="G3296">
            <v>760750</v>
          </cell>
          <cell r="H3296" t="str">
            <v>Ambition</v>
          </cell>
          <cell r="I3296">
            <v>0.83333333333333337</v>
          </cell>
          <cell r="J3296">
            <v>0.33333333333333331</v>
          </cell>
          <cell r="K3296">
            <v>11.3333333333333</v>
          </cell>
          <cell r="L3296">
            <v>709.01</v>
          </cell>
          <cell r="O3296" t="str">
            <v>Y</v>
          </cell>
          <cell r="P3296" t="str">
            <v>N</v>
          </cell>
          <cell r="Q3296" t="str">
            <v>Extra Capacity</v>
          </cell>
          <cell r="S3296">
            <v>0.3</v>
          </cell>
        </row>
        <row r="3297">
          <cell r="D3297">
            <v>1208002447</v>
          </cell>
          <cell r="E3297" t="str">
            <v>JAMES MCCLEMENTS</v>
          </cell>
          <cell r="F3297" t="str">
            <v>D (MD)</v>
          </cell>
          <cell r="G3297">
            <v>348291</v>
          </cell>
          <cell r="H3297" t="str">
            <v>Mayday</v>
          </cell>
          <cell r="I3297">
            <v>0.60486111111111118</v>
          </cell>
          <cell r="J3297">
            <v>0.85416666666666663</v>
          </cell>
          <cell r="K3297">
            <v>5.9833333333333298</v>
          </cell>
          <cell r="L3297">
            <v>309.12</v>
          </cell>
          <cell r="O3297" t="str">
            <v>Y</v>
          </cell>
          <cell r="P3297" t="str">
            <v>N</v>
          </cell>
          <cell r="Q3297" t="str">
            <v>Short Term Sick</v>
          </cell>
          <cell r="S3297">
            <v>0.16</v>
          </cell>
        </row>
        <row r="3298">
          <cell r="D3298">
            <v>1208001393</v>
          </cell>
          <cell r="E3298" t="str">
            <v>JAMES STEEVENSON</v>
          </cell>
          <cell r="F3298" t="str">
            <v>D / 5 General (</v>
          </cell>
          <cell r="H3298" t="str">
            <v>Medacs</v>
          </cell>
          <cell r="I3298">
            <v>0.58333333333333337</v>
          </cell>
          <cell r="J3298">
            <v>0.85416666666666663</v>
          </cell>
          <cell r="K3298">
            <v>6.1666666666666696</v>
          </cell>
          <cell r="L3298">
            <v>166.55</v>
          </cell>
          <cell r="O3298" t="str">
            <v>Y</v>
          </cell>
          <cell r="P3298" t="str">
            <v>N</v>
          </cell>
          <cell r="Q3298" t="str">
            <v>Specials</v>
          </cell>
          <cell r="S3298">
            <v>0.16</v>
          </cell>
        </row>
        <row r="3299">
          <cell r="D3299">
            <v>1108005460</v>
          </cell>
          <cell r="E3299" t="str">
            <v>JANE DUNSMURE</v>
          </cell>
          <cell r="F3299" t="str">
            <v>D/5 (PS)</v>
          </cell>
          <cell r="H3299" t="str">
            <v>Pinnacle Staffing</v>
          </cell>
          <cell r="I3299">
            <v>0.88541666666666663</v>
          </cell>
          <cell r="J3299">
            <v>0.25</v>
          </cell>
          <cell r="K3299">
            <v>7.75</v>
          </cell>
          <cell r="L3299">
            <v>210.68</v>
          </cell>
          <cell r="O3299" t="str">
            <v>Y</v>
          </cell>
          <cell r="P3299" t="str">
            <v>N</v>
          </cell>
          <cell r="Q3299" t="str">
            <v>Vacancy</v>
          </cell>
          <cell r="S3299">
            <v>0.21</v>
          </cell>
        </row>
        <row r="3300">
          <cell r="D3300">
            <v>1208001538</v>
          </cell>
          <cell r="E3300" t="str">
            <v>JASMINE ESGUERRA</v>
          </cell>
          <cell r="F3300" t="str">
            <v>D (Ch)</v>
          </cell>
          <cell r="H3300" t="str">
            <v>Choice</v>
          </cell>
          <cell r="I3300">
            <v>0.88541666666666663</v>
          </cell>
          <cell r="J3300">
            <v>0.30208333333333331</v>
          </cell>
          <cell r="K3300">
            <v>9</v>
          </cell>
          <cell r="L3300">
            <v>350.93</v>
          </cell>
          <cell r="O3300" t="str">
            <v>Y</v>
          </cell>
          <cell r="P3300" t="str">
            <v>N</v>
          </cell>
          <cell r="Q3300" t="str">
            <v>Extra Capacity</v>
          </cell>
          <cell r="S3300">
            <v>0.24</v>
          </cell>
        </row>
        <row r="3301">
          <cell r="D3301">
            <v>1208002302</v>
          </cell>
          <cell r="E3301" t="str">
            <v>JENNY LORD</v>
          </cell>
          <cell r="F3301" t="str">
            <v>D (Amb)</v>
          </cell>
          <cell r="H3301" t="str">
            <v>Ambition</v>
          </cell>
          <cell r="I3301">
            <v>0.88541666666666663</v>
          </cell>
          <cell r="J3301">
            <v>0.30208333333333331</v>
          </cell>
          <cell r="K3301">
            <v>9</v>
          </cell>
          <cell r="L3301">
            <v>563.04</v>
          </cell>
          <cell r="O3301" t="str">
            <v>Y</v>
          </cell>
          <cell r="P3301" t="str">
            <v>N</v>
          </cell>
          <cell r="Q3301" t="str">
            <v>On-Call</v>
          </cell>
          <cell r="S3301">
            <v>0.24</v>
          </cell>
        </row>
        <row r="3302">
          <cell r="D3302">
            <v>1108006165</v>
          </cell>
          <cell r="E3302" t="str">
            <v>JO BRADY</v>
          </cell>
          <cell r="F3302" t="str">
            <v>D (MD)</v>
          </cell>
          <cell r="H3302" t="str">
            <v>Mayday</v>
          </cell>
          <cell r="I3302">
            <v>0.3125</v>
          </cell>
          <cell r="J3302">
            <v>0.625</v>
          </cell>
          <cell r="K3302">
            <v>7.1666666666666696</v>
          </cell>
          <cell r="L3302">
            <v>370.26</v>
          </cell>
          <cell r="O3302" t="str">
            <v>Y</v>
          </cell>
          <cell r="P3302" t="str">
            <v>N</v>
          </cell>
          <cell r="Q3302" t="str">
            <v>Short Term Sick</v>
          </cell>
          <cell r="S3302">
            <v>0.19</v>
          </cell>
        </row>
        <row r="3303">
          <cell r="D3303">
            <v>1208002304</v>
          </cell>
          <cell r="E3303" t="str">
            <v>JOSEPH BASS</v>
          </cell>
          <cell r="F3303" t="str">
            <v>D (MD)</v>
          </cell>
          <cell r="G3303">
            <v>352130</v>
          </cell>
          <cell r="H3303" t="str">
            <v>Mayday</v>
          </cell>
          <cell r="I3303">
            <v>0.83333333333333337</v>
          </cell>
          <cell r="J3303">
            <v>0.33333333333333331</v>
          </cell>
          <cell r="K3303">
            <v>10.1666666666667</v>
          </cell>
          <cell r="L3303">
            <v>525.25</v>
          </cell>
          <cell r="O3303" t="str">
            <v>Y</v>
          </cell>
          <cell r="P3303" t="str">
            <v>N</v>
          </cell>
          <cell r="Q3303" t="str">
            <v>On-Call</v>
          </cell>
          <cell r="S3303">
            <v>0.27</v>
          </cell>
        </row>
        <row r="3304">
          <cell r="D3304">
            <v>1208002379</v>
          </cell>
          <cell r="E3304" t="str">
            <v>KIRSTY LAWLER</v>
          </cell>
          <cell r="F3304" t="str">
            <v>D (MD)</v>
          </cell>
          <cell r="G3304">
            <v>350091</v>
          </cell>
          <cell r="H3304" t="str">
            <v>Mayday</v>
          </cell>
          <cell r="I3304">
            <v>0.29166666666666669</v>
          </cell>
          <cell r="J3304">
            <v>0.625</v>
          </cell>
          <cell r="K3304">
            <v>7.6666666666666696</v>
          </cell>
          <cell r="L3304">
            <v>396.09</v>
          </cell>
          <cell r="O3304" t="str">
            <v>Y</v>
          </cell>
          <cell r="P3304" t="str">
            <v>N</v>
          </cell>
          <cell r="Q3304" t="str">
            <v>On-Call</v>
          </cell>
          <cell r="S3304">
            <v>0.2</v>
          </cell>
        </row>
        <row r="3305">
          <cell r="D3305">
            <v>1208001550</v>
          </cell>
          <cell r="E3305" t="str">
            <v xml:space="preserve">LAVETA  NUCUM </v>
          </cell>
          <cell r="F3305" t="str">
            <v>D (Amb)</v>
          </cell>
          <cell r="G3305">
            <v>766212</v>
          </cell>
          <cell r="H3305" t="str">
            <v>Ambition</v>
          </cell>
          <cell r="I3305">
            <v>0.83333333333333337</v>
          </cell>
          <cell r="J3305">
            <v>0.33333333333333331</v>
          </cell>
          <cell r="K3305">
            <v>11.3333333333333</v>
          </cell>
          <cell r="L3305">
            <v>709.01</v>
          </cell>
          <cell r="O3305" t="str">
            <v>Y</v>
          </cell>
          <cell r="P3305" t="str">
            <v>N</v>
          </cell>
          <cell r="Q3305" t="str">
            <v>Extra Capacity</v>
          </cell>
          <cell r="S3305">
            <v>0.3</v>
          </cell>
        </row>
        <row r="3306">
          <cell r="D3306">
            <v>1208000522</v>
          </cell>
          <cell r="E3306" t="str">
            <v>LINDSEY DAY</v>
          </cell>
          <cell r="F3306" t="str">
            <v>D (Amb)</v>
          </cell>
          <cell r="G3306">
            <v>766416</v>
          </cell>
          <cell r="H3306" t="str">
            <v>Ambition</v>
          </cell>
          <cell r="I3306">
            <v>0.3125</v>
          </cell>
          <cell r="J3306">
            <v>0.64583333333333337</v>
          </cell>
          <cell r="K3306">
            <v>7.6666666666666696</v>
          </cell>
          <cell r="L3306">
            <v>479.63</v>
          </cell>
          <cell r="O3306" t="str">
            <v>Y</v>
          </cell>
          <cell r="P3306" t="str">
            <v>N</v>
          </cell>
          <cell r="Q3306" t="str">
            <v>Extra Capacity</v>
          </cell>
          <cell r="S3306">
            <v>0.2</v>
          </cell>
        </row>
        <row r="3307">
          <cell r="D3307">
            <v>1108000408</v>
          </cell>
          <cell r="E3307" t="str">
            <v>LOUISE CHALLER</v>
          </cell>
          <cell r="F3307" t="str">
            <v>D (MD)</v>
          </cell>
          <cell r="H3307" t="str">
            <v>Mayday</v>
          </cell>
          <cell r="I3307">
            <v>0.29166666666666669</v>
          </cell>
          <cell r="J3307">
            <v>0.54166666666666663</v>
          </cell>
          <cell r="K3307">
            <v>5.75</v>
          </cell>
          <cell r="L3307">
            <v>297.07</v>
          </cell>
          <cell r="O3307" t="str">
            <v>Y</v>
          </cell>
          <cell r="P3307" t="str">
            <v>N</v>
          </cell>
          <cell r="Q3307" t="str">
            <v>Long Term Sick</v>
          </cell>
          <cell r="S3307">
            <v>0.15</v>
          </cell>
        </row>
        <row r="3308">
          <cell r="D3308">
            <v>1208000523</v>
          </cell>
          <cell r="E3308" t="str">
            <v>LOUISE CULLEN</v>
          </cell>
          <cell r="F3308" t="str">
            <v>D (Amb)</v>
          </cell>
          <cell r="H3308" t="str">
            <v>Ambition</v>
          </cell>
          <cell r="I3308">
            <v>0.3125</v>
          </cell>
          <cell r="J3308">
            <v>0.64583333333333337</v>
          </cell>
          <cell r="K3308">
            <v>7.6666666666666696</v>
          </cell>
          <cell r="L3308">
            <v>479.63</v>
          </cell>
          <cell r="O3308" t="str">
            <v>Y</v>
          </cell>
          <cell r="P3308" t="str">
            <v>N</v>
          </cell>
          <cell r="Q3308" t="str">
            <v>Extra Capacity</v>
          </cell>
          <cell r="S3308">
            <v>0.2</v>
          </cell>
        </row>
        <row r="3309">
          <cell r="D3309">
            <v>1208002446</v>
          </cell>
          <cell r="E3309" t="str">
            <v>LOUISE SEYMOUR</v>
          </cell>
          <cell r="F3309" t="str">
            <v>D (MD)</v>
          </cell>
          <cell r="G3309">
            <v>349790</v>
          </cell>
          <cell r="H3309" t="str">
            <v>Mayday</v>
          </cell>
          <cell r="I3309">
            <v>0.3125</v>
          </cell>
          <cell r="J3309">
            <v>0.85416666666666663</v>
          </cell>
          <cell r="K3309">
            <v>12.3333333333333</v>
          </cell>
          <cell r="L3309">
            <v>637.19000000000005</v>
          </cell>
          <cell r="O3309" t="str">
            <v>Y</v>
          </cell>
          <cell r="P3309" t="str">
            <v>N</v>
          </cell>
          <cell r="Q3309" t="str">
            <v>Short Term Sick</v>
          </cell>
          <cell r="S3309">
            <v>0.33</v>
          </cell>
        </row>
        <row r="3310">
          <cell r="D3310">
            <v>1208000528</v>
          </cell>
          <cell r="E3310" t="str">
            <v>MABEL MNISI</v>
          </cell>
          <cell r="F3310" t="str">
            <v>D (MD)</v>
          </cell>
          <cell r="G3310">
            <v>348619</v>
          </cell>
          <cell r="H3310" t="str">
            <v>Mayday</v>
          </cell>
          <cell r="I3310">
            <v>0.83333333333333337</v>
          </cell>
          <cell r="J3310">
            <v>0.33333333333333331</v>
          </cell>
          <cell r="K3310">
            <v>11.3333333333333</v>
          </cell>
          <cell r="L3310">
            <v>585.53</v>
          </cell>
          <cell r="O3310" t="str">
            <v>Y</v>
          </cell>
          <cell r="P3310" t="str">
            <v>N</v>
          </cell>
          <cell r="Q3310" t="str">
            <v>Extra Capacity</v>
          </cell>
          <cell r="S3310">
            <v>0.3</v>
          </cell>
        </row>
        <row r="3311">
          <cell r="D3311">
            <v>1208000071</v>
          </cell>
          <cell r="E3311" t="str">
            <v>MIHAELA CHIRIBAU</v>
          </cell>
          <cell r="F3311" t="str">
            <v>D (MD)</v>
          </cell>
          <cell r="G3311">
            <v>349793</v>
          </cell>
          <cell r="H3311" t="str">
            <v>Mayday</v>
          </cell>
          <cell r="I3311">
            <v>0.60416666666666663</v>
          </cell>
          <cell r="J3311">
            <v>0.85416666666666663</v>
          </cell>
          <cell r="K3311">
            <v>5.6666666666666696</v>
          </cell>
          <cell r="L3311">
            <v>292.76</v>
          </cell>
          <cell r="O3311" t="str">
            <v>Y</v>
          </cell>
          <cell r="P3311" t="str">
            <v>N</v>
          </cell>
          <cell r="Q3311" t="str">
            <v>Extra Capacity</v>
          </cell>
          <cell r="S3311">
            <v>0.15</v>
          </cell>
        </row>
        <row r="3312">
          <cell r="D3312">
            <v>1208000524</v>
          </cell>
          <cell r="E3312" t="str">
            <v>MOSES MOYO</v>
          </cell>
          <cell r="F3312" t="str">
            <v>D (Ch)</v>
          </cell>
          <cell r="G3312">
            <v>17451</v>
          </cell>
          <cell r="H3312" t="str">
            <v>Choice</v>
          </cell>
          <cell r="I3312">
            <v>0.3125</v>
          </cell>
          <cell r="J3312">
            <v>0.64583333333333337</v>
          </cell>
          <cell r="K3312">
            <v>7.6666666666666696</v>
          </cell>
          <cell r="L3312">
            <v>298.94</v>
          </cell>
          <cell r="O3312" t="str">
            <v>Y</v>
          </cell>
          <cell r="P3312" t="str">
            <v>N</v>
          </cell>
          <cell r="Q3312" t="str">
            <v>Extra Capacity</v>
          </cell>
          <cell r="S3312">
            <v>0.2</v>
          </cell>
        </row>
        <row r="3313">
          <cell r="D3313">
            <v>1208000527</v>
          </cell>
          <cell r="E3313" t="str">
            <v>MOSES MOYO</v>
          </cell>
          <cell r="F3313" t="str">
            <v>D (Ch)</v>
          </cell>
          <cell r="G3313">
            <v>17451</v>
          </cell>
          <cell r="H3313" t="str">
            <v>Choice</v>
          </cell>
          <cell r="I3313">
            <v>0.64583333333333337</v>
          </cell>
          <cell r="J3313">
            <v>0.85416666666666663</v>
          </cell>
          <cell r="K3313">
            <v>5</v>
          </cell>
          <cell r="L3313">
            <v>194.96</v>
          </cell>
          <cell r="O3313" t="str">
            <v>Y</v>
          </cell>
          <cell r="P3313" t="str">
            <v>N</v>
          </cell>
          <cell r="Q3313" t="str">
            <v>Extra Capacity</v>
          </cell>
          <cell r="S3313">
            <v>0.13</v>
          </cell>
        </row>
        <row r="3314">
          <cell r="D3314">
            <v>1108004838</v>
          </cell>
          <cell r="E3314" t="str">
            <v>MZUKISI SPEELMAN</v>
          </cell>
          <cell r="F3314" t="str">
            <v>A (Ch)</v>
          </cell>
          <cell r="G3314">
            <v>17442</v>
          </cell>
          <cell r="H3314" t="str">
            <v>Choice</v>
          </cell>
          <cell r="I3314">
            <v>0.3125</v>
          </cell>
          <cell r="J3314">
            <v>0.5625</v>
          </cell>
          <cell r="K3314">
            <v>5.6666666666666696</v>
          </cell>
          <cell r="L3314">
            <v>104.74</v>
          </cell>
          <cell r="O3314" t="str">
            <v>Y</v>
          </cell>
          <cell r="P3314" t="str">
            <v>N</v>
          </cell>
          <cell r="Q3314" t="str">
            <v>Short Term Sick</v>
          </cell>
          <cell r="S3314">
            <v>0.15</v>
          </cell>
        </row>
        <row r="3315">
          <cell r="D3315">
            <v>1208002373</v>
          </cell>
          <cell r="E3315" t="str">
            <v>MZUKISI SPEELMAN</v>
          </cell>
          <cell r="F3315" t="str">
            <v>A (Ch)</v>
          </cell>
          <cell r="G3315">
            <v>17467</v>
          </cell>
          <cell r="H3315" t="str">
            <v>Choice</v>
          </cell>
          <cell r="I3315">
            <v>0.625</v>
          </cell>
          <cell r="J3315">
            <v>0.83333333333333337</v>
          </cell>
          <cell r="K3315">
            <v>5.6666666666666696</v>
          </cell>
          <cell r="L3315">
            <v>104.74</v>
          </cell>
          <cell r="O3315" t="str">
            <v>Y</v>
          </cell>
          <cell r="P3315" t="str">
            <v>N</v>
          </cell>
          <cell r="Q3315" t="str">
            <v>On-Call</v>
          </cell>
          <cell r="S3315">
            <v>0.15</v>
          </cell>
        </row>
        <row r="3316">
          <cell r="D3316">
            <v>1208002321</v>
          </cell>
          <cell r="E3316" t="str">
            <v>NETCE SIA</v>
          </cell>
          <cell r="F3316" t="str">
            <v>D (MD)</v>
          </cell>
          <cell r="H3316" t="str">
            <v>Mayday</v>
          </cell>
          <cell r="I3316">
            <v>0.83333333333333337</v>
          </cell>
          <cell r="J3316">
            <v>0.33333333333333331</v>
          </cell>
          <cell r="K3316">
            <v>11</v>
          </cell>
          <cell r="L3316">
            <v>568.29999999999995</v>
          </cell>
          <cell r="O3316" t="str">
            <v>Y</v>
          </cell>
          <cell r="P3316" t="str">
            <v>N</v>
          </cell>
          <cell r="Q3316" t="str">
            <v>On-Call</v>
          </cell>
          <cell r="S3316">
            <v>0.28999999999999998</v>
          </cell>
        </row>
        <row r="3317">
          <cell r="D3317">
            <v>1208002305</v>
          </cell>
          <cell r="E3317" t="str">
            <v>NILO DANUGO</v>
          </cell>
          <cell r="F3317" t="str">
            <v>D (Ch)</v>
          </cell>
          <cell r="G3317">
            <v>17448</v>
          </cell>
          <cell r="H3317" t="str">
            <v>Choice</v>
          </cell>
          <cell r="I3317">
            <v>0.82291666666666663</v>
          </cell>
          <cell r="J3317">
            <v>0.34375</v>
          </cell>
          <cell r="K3317">
            <v>11.5</v>
          </cell>
          <cell r="L3317">
            <v>448.41</v>
          </cell>
          <cell r="O3317" t="str">
            <v>Y</v>
          </cell>
          <cell r="P3317" t="str">
            <v>N</v>
          </cell>
          <cell r="Q3317" t="str">
            <v>On-Call</v>
          </cell>
          <cell r="S3317">
            <v>0.31</v>
          </cell>
        </row>
        <row r="3318">
          <cell r="D3318">
            <v>1208001223</v>
          </cell>
          <cell r="E3318" t="str">
            <v>PURITY EHREUREICH</v>
          </cell>
          <cell r="F3318" t="str">
            <v>D (MD)</v>
          </cell>
          <cell r="G3318">
            <v>348635</v>
          </cell>
          <cell r="H3318" t="str">
            <v>Mayday</v>
          </cell>
          <cell r="I3318">
            <v>0.3125</v>
          </cell>
          <cell r="J3318">
            <v>0.85416666666666663</v>
          </cell>
          <cell r="K3318">
            <v>12.3333333333333</v>
          </cell>
          <cell r="L3318">
            <v>637.19000000000005</v>
          </cell>
          <cell r="O3318" t="str">
            <v>Y</v>
          </cell>
          <cell r="P3318" t="str">
            <v>N</v>
          </cell>
          <cell r="Q3318" t="str">
            <v>Specials</v>
          </cell>
          <cell r="S3318">
            <v>0.33</v>
          </cell>
        </row>
        <row r="3319">
          <cell r="D3319">
            <v>1208001423</v>
          </cell>
          <cell r="E3319" t="str">
            <v>RAMANI THOMAS</v>
          </cell>
          <cell r="F3319" t="str">
            <v>D (MD)</v>
          </cell>
          <cell r="G3319">
            <v>351352</v>
          </cell>
          <cell r="H3319" t="str">
            <v>Mayday</v>
          </cell>
          <cell r="I3319">
            <v>0.83333333333333337</v>
          </cell>
          <cell r="J3319">
            <v>0.33333333333333331</v>
          </cell>
          <cell r="K3319">
            <v>11</v>
          </cell>
          <cell r="L3319">
            <v>568.29999999999995</v>
          </cell>
          <cell r="O3319" t="str">
            <v>Y</v>
          </cell>
          <cell r="P3319" t="str">
            <v>N</v>
          </cell>
          <cell r="Q3319" t="str">
            <v>Acuity</v>
          </cell>
          <cell r="S3319">
            <v>0.28999999999999998</v>
          </cell>
        </row>
        <row r="3320">
          <cell r="D3320">
            <v>1208001392</v>
          </cell>
          <cell r="E3320" t="str">
            <v>RIAZ AHMED</v>
          </cell>
          <cell r="F3320" t="str">
            <v>D/5 Mental (Med</v>
          </cell>
          <cell r="G3320" t="str">
            <v>604-159817</v>
          </cell>
          <cell r="H3320" t="str">
            <v>Medacs</v>
          </cell>
          <cell r="I3320">
            <v>0.3125</v>
          </cell>
          <cell r="J3320">
            <v>0.58333333333333337</v>
          </cell>
          <cell r="K3320">
            <v>6.1666666666666696</v>
          </cell>
          <cell r="L3320">
            <v>181.84</v>
          </cell>
          <cell r="O3320" t="str">
            <v>Y</v>
          </cell>
          <cell r="P3320" t="str">
            <v>N</v>
          </cell>
          <cell r="Q3320" t="str">
            <v>Specials</v>
          </cell>
          <cell r="S3320">
            <v>0.16</v>
          </cell>
        </row>
        <row r="3321">
          <cell r="D3321">
            <v>1108004060</v>
          </cell>
          <cell r="E3321" t="str">
            <v>RICCA PARADA</v>
          </cell>
          <cell r="F3321" t="str">
            <v>D (Ch)</v>
          </cell>
          <cell r="G3321">
            <v>17453</v>
          </cell>
          <cell r="H3321" t="str">
            <v>Choice</v>
          </cell>
          <cell r="I3321">
            <v>0.5625</v>
          </cell>
          <cell r="J3321">
            <v>0.85416666666666663</v>
          </cell>
          <cell r="K3321">
            <v>6.6666666666666696</v>
          </cell>
          <cell r="L3321">
            <v>259.95</v>
          </cell>
          <cell r="M3321">
            <v>192.23243243243243</v>
          </cell>
          <cell r="O3321" t="str">
            <v>Y</v>
          </cell>
          <cell r="P3321" t="str">
            <v>N</v>
          </cell>
          <cell r="Q3321" t="str">
            <v>Vacancy</v>
          </cell>
          <cell r="S3321">
            <v>0.18</v>
          </cell>
        </row>
        <row r="3322">
          <cell r="D3322">
            <v>1108005167</v>
          </cell>
          <cell r="E3322" t="str">
            <v>RICCA PARADA</v>
          </cell>
          <cell r="F3322" t="str">
            <v>D (Ch)</v>
          </cell>
          <cell r="G3322">
            <v>17453</v>
          </cell>
          <cell r="H3322" t="str">
            <v>Choice</v>
          </cell>
          <cell r="I3322">
            <v>0.3125</v>
          </cell>
          <cell r="J3322">
            <v>0.5625</v>
          </cell>
          <cell r="K3322">
            <v>5.6666666666666696</v>
          </cell>
          <cell r="L3322">
            <v>220.95</v>
          </cell>
          <cell r="M3322">
            <v>163.39756756756756</v>
          </cell>
          <cell r="O3322" t="str">
            <v>Y</v>
          </cell>
          <cell r="P3322" t="str">
            <v>N</v>
          </cell>
          <cell r="Q3322" t="str">
            <v>Nurse Moved</v>
          </cell>
          <cell r="S3322">
            <v>0.15</v>
          </cell>
        </row>
        <row r="3323">
          <cell r="D3323">
            <v>1208001439</v>
          </cell>
          <cell r="E3323" t="str">
            <v>ROBERT DELACOUR</v>
          </cell>
          <cell r="F3323" t="str">
            <v>D (Amb)</v>
          </cell>
          <cell r="G3323">
            <v>767220</v>
          </cell>
          <cell r="H3323" t="str">
            <v>Ambition</v>
          </cell>
          <cell r="I3323">
            <v>0.3125</v>
          </cell>
          <cell r="J3323">
            <v>0.83333333333333337</v>
          </cell>
          <cell r="K3323">
            <v>11.8333333333333</v>
          </cell>
          <cell r="L3323">
            <v>740.29</v>
          </cell>
          <cell r="O3323" t="str">
            <v>Y</v>
          </cell>
          <cell r="P3323" t="str">
            <v>N</v>
          </cell>
          <cell r="Q3323" t="str">
            <v>Vacancy</v>
          </cell>
          <cell r="S3323">
            <v>0.32</v>
          </cell>
        </row>
        <row r="3324">
          <cell r="D3324">
            <v>1108006178</v>
          </cell>
          <cell r="E3324" t="str">
            <v>RODA RAMERIZ</v>
          </cell>
          <cell r="F3324" t="str">
            <v>D (Ch)</v>
          </cell>
          <cell r="G3324">
            <v>17445</v>
          </cell>
          <cell r="H3324" t="str">
            <v>Choice</v>
          </cell>
          <cell r="I3324">
            <v>0.8125</v>
          </cell>
          <cell r="J3324">
            <v>0.33333333333333331</v>
          </cell>
          <cell r="K3324">
            <v>11.8333333333333</v>
          </cell>
          <cell r="L3324">
            <v>461.41</v>
          </cell>
          <cell r="O3324" t="str">
            <v>Y</v>
          </cell>
          <cell r="P3324" t="str">
            <v>N</v>
          </cell>
          <cell r="Q3324" t="str">
            <v>Short Term Sick</v>
          </cell>
          <cell r="S3324">
            <v>0.32</v>
          </cell>
        </row>
        <row r="3325">
          <cell r="D3325">
            <v>1108005170</v>
          </cell>
          <cell r="E3325" t="str">
            <v>ROHEYATOU NDOW-NJIE</v>
          </cell>
          <cell r="F3325" t="str">
            <v>D (Ch)</v>
          </cell>
          <cell r="H3325" t="str">
            <v>Choice</v>
          </cell>
          <cell r="I3325">
            <v>0.5625</v>
          </cell>
          <cell r="J3325">
            <v>0.85416666666666663</v>
          </cell>
          <cell r="K3325">
            <v>6.6666666666666696</v>
          </cell>
          <cell r="L3325">
            <v>259.95</v>
          </cell>
          <cell r="O3325" t="str">
            <v>Y</v>
          </cell>
          <cell r="P3325" t="str">
            <v>N</v>
          </cell>
          <cell r="Q3325" t="str">
            <v>Nurse Moved</v>
          </cell>
          <cell r="S3325">
            <v>0.18</v>
          </cell>
        </row>
        <row r="3326">
          <cell r="D3326">
            <v>1208002301</v>
          </cell>
          <cell r="E3326" t="str">
            <v>ROSLYNE SCOTT</v>
          </cell>
          <cell r="F3326" t="str">
            <v>D (Amb)</v>
          </cell>
          <cell r="G3326">
            <v>766192</v>
          </cell>
          <cell r="H3326" t="str">
            <v>Ambition</v>
          </cell>
          <cell r="I3326">
            <v>0.88541666666666663</v>
          </cell>
          <cell r="J3326">
            <v>0.30208333333333331</v>
          </cell>
          <cell r="K3326">
            <v>9</v>
          </cell>
          <cell r="L3326">
            <v>563.04</v>
          </cell>
          <cell r="O3326" t="str">
            <v>Y</v>
          </cell>
          <cell r="P3326" t="str">
            <v>N</v>
          </cell>
          <cell r="Q3326" t="str">
            <v>On-Call</v>
          </cell>
          <cell r="S3326">
            <v>0.24</v>
          </cell>
        </row>
        <row r="3327">
          <cell r="D3327">
            <v>1208001627</v>
          </cell>
          <cell r="E3327" t="str">
            <v>RUTA KAIRYTE</v>
          </cell>
          <cell r="F3327" t="str">
            <v>D (Amb)</v>
          </cell>
          <cell r="G3327">
            <v>766172</v>
          </cell>
          <cell r="H3327" t="str">
            <v>Ambition</v>
          </cell>
          <cell r="I3327">
            <v>0.625</v>
          </cell>
          <cell r="J3327">
            <v>0.85416666666666663</v>
          </cell>
          <cell r="K3327">
            <v>7.6666666666666696</v>
          </cell>
          <cell r="L3327">
            <v>479.63</v>
          </cell>
          <cell r="O3327" t="str">
            <v>Y</v>
          </cell>
          <cell r="P3327" t="str">
            <v>N</v>
          </cell>
          <cell r="Q3327" t="str">
            <v>On-Call</v>
          </cell>
          <cell r="S3327">
            <v>0.2</v>
          </cell>
        </row>
        <row r="3328">
          <cell r="D3328">
            <v>1208000303</v>
          </cell>
          <cell r="E3328" t="str">
            <v>SHAUN MCKEE</v>
          </cell>
          <cell r="F3328" t="str">
            <v>D (Amb)</v>
          </cell>
          <cell r="G3328">
            <v>774198</v>
          </cell>
          <cell r="H3328" t="str">
            <v>Ambition</v>
          </cell>
          <cell r="I3328">
            <v>0.63541666666666663</v>
          </cell>
          <cell r="J3328">
            <v>0.85416666666666663</v>
          </cell>
          <cell r="K3328">
            <v>5.25</v>
          </cell>
          <cell r="L3328">
            <v>328.44</v>
          </cell>
          <cell r="O3328" t="str">
            <v>Y</v>
          </cell>
          <cell r="P3328" t="str">
            <v>N</v>
          </cell>
          <cell r="Q3328" t="str">
            <v>Extra Capacity</v>
          </cell>
          <cell r="S3328">
            <v>0.14000000000000001</v>
          </cell>
        </row>
        <row r="3329">
          <cell r="D3329">
            <v>1208002320</v>
          </cell>
          <cell r="E3329" t="str">
            <v>SINDISO MOYO</v>
          </cell>
          <cell r="F3329" t="str">
            <v>D (Amb)</v>
          </cell>
          <cell r="H3329" t="str">
            <v>Ambition</v>
          </cell>
          <cell r="I3329">
            <v>0.33333333333333331</v>
          </cell>
          <cell r="J3329">
            <v>0.83333333333333337</v>
          </cell>
          <cell r="K3329">
            <v>11.3333333333333</v>
          </cell>
          <cell r="L3329">
            <v>709.01</v>
          </cell>
          <cell r="O3329" t="str">
            <v>Y</v>
          </cell>
          <cell r="P3329" t="str">
            <v>N</v>
          </cell>
          <cell r="Q3329" t="str">
            <v>On-Call</v>
          </cell>
          <cell r="S3329">
            <v>0.3</v>
          </cell>
        </row>
        <row r="3330">
          <cell r="D3330">
            <v>1208002397</v>
          </cell>
          <cell r="E3330" t="str">
            <v>SINDISO MOYO</v>
          </cell>
          <cell r="F3330" t="str">
            <v>D (Amb)</v>
          </cell>
          <cell r="G3330">
            <v>766337</v>
          </cell>
          <cell r="H3330" t="str">
            <v>Ambition</v>
          </cell>
          <cell r="I3330">
            <v>0.60486111111111118</v>
          </cell>
          <cell r="J3330">
            <v>0.85416666666666663</v>
          </cell>
          <cell r="K3330">
            <v>5.9833333333333298</v>
          </cell>
          <cell r="L3330">
            <v>374.32</v>
          </cell>
          <cell r="O3330" t="str">
            <v>Y</v>
          </cell>
          <cell r="P3330" t="str">
            <v>N</v>
          </cell>
          <cell r="Q3330" t="str">
            <v>Extra Capacity</v>
          </cell>
          <cell r="S3330">
            <v>0.16</v>
          </cell>
        </row>
        <row r="3331">
          <cell r="D3331">
            <v>1208000296</v>
          </cell>
          <cell r="E3331" t="str">
            <v>SPECIAL DOKOCERA</v>
          </cell>
          <cell r="F3331" t="str">
            <v>D (Amb)</v>
          </cell>
          <cell r="H3331" t="str">
            <v>Ambition</v>
          </cell>
          <cell r="I3331">
            <v>0.32291666666666669</v>
          </cell>
          <cell r="J3331">
            <v>0.54166666666666663</v>
          </cell>
          <cell r="K3331">
            <v>5.25</v>
          </cell>
          <cell r="L3331">
            <v>328.44</v>
          </cell>
          <cell r="O3331" t="str">
            <v>Y</v>
          </cell>
          <cell r="P3331" t="str">
            <v>N</v>
          </cell>
          <cell r="Q3331" t="str">
            <v>Extra Capacity</v>
          </cell>
          <cell r="S3331">
            <v>0.14000000000000001</v>
          </cell>
        </row>
        <row r="3332">
          <cell r="D3332">
            <v>1208001757</v>
          </cell>
          <cell r="E3332" t="str">
            <v>SUSAN MCENTIRE</v>
          </cell>
          <cell r="F3332" t="str">
            <v>D (Amb)</v>
          </cell>
          <cell r="G3332">
            <v>766182</v>
          </cell>
          <cell r="H3332" t="str">
            <v>Ambition</v>
          </cell>
          <cell r="I3332">
            <v>0.875</v>
          </cell>
          <cell r="J3332">
            <v>0.30208333333333331</v>
          </cell>
          <cell r="K3332">
            <v>9.9166666666666696</v>
          </cell>
          <cell r="L3332">
            <v>620.39</v>
          </cell>
          <cell r="O3332" t="str">
            <v>Y</v>
          </cell>
          <cell r="P3332" t="str">
            <v>N</v>
          </cell>
          <cell r="Q3332" t="str">
            <v>Nurse Moved</v>
          </cell>
          <cell r="S3332">
            <v>0.26</v>
          </cell>
        </row>
        <row r="3333">
          <cell r="D3333">
            <v>1008004163</v>
          </cell>
          <cell r="E3333" t="str">
            <v>TAMBU JENA</v>
          </cell>
          <cell r="F3333" t="str">
            <v>D (Ch)</v>
          </cell>
          <cell r="G3333">
            <v>17440</v>
          </cell>
          <cell r="H3333" t="str">
            <v>Choice</v>
          </cell>
          <cell r="I3333">
            <v>0.3125</v>
          </cell>
          <cell r="J3333">
            <v>0.54166666666666663</v>
          </cell>
          <cell r="K3333">
            <v>5.5</v>
          </cell>
          <cell r="L3333">
            <v>214.46</v>
          </cell>
          <cell r="O3333" t="str">
            <v>Y</v>
          </cell>
          <cell r="P3333" t="str">
            <v>N</v>
          </cell>
          <cell r="Q3333" t="str">
            <v>Vacancy</v>
          </cell>
          <cell r="S3333">
            <v>0.15</v>
          </cell>
        </row>
        <row r="3334">
          <cell r="D3334">
            <v>1208001582</v>
          </cell>
          <cell r="E3334" t="str">
            <v>TAMBU JENA</v>
          </cell>
          <cell r="F3334" t="str">
            <v>D (Ch)</v>
          </cell>
          <cell r="G3334">
            <v>17439</v>
          </cell>
          <cell r="H3334" t="str">
            <v>Choice</v>
          </cell>
          <cell r="I3334">
            <v>0.5625</v>
          </cell>
          <cell r="J3334">
            <v>0.85416666666666663</v>
          </cell>
          <cell r="K3334">
            <v>5.6666666666666696</v>
          </cell>
          <cell r="L3334">
            <v>220.95</v>
          </cell>
          <cell r="O3334" t="str">
            <v>Y</v>
          </cell>
          <cell r="P3334" t="str">
            <v>N</v>
          </cell>
          <cell r="Q3334" t="str">
            <v>Short Term Sick</v>
          </cell>
          <cell r="S3334">
            <v>0.15</v>
          </cell>
        </row>
        <row r="3335">
          <cell r="D3335">
            <v>1208000298</v>
          </cell>
          <cell r="E3335" t="str">
            <v>VICTORIA MAESTRANI</v>
          </cell>
          <cell r="F3335" t="str">
            <v>D (MD)</v>
          </cell>
          <cell r="H3335" t="str">
            <v>Mayday</v>
          </cell>
          <cell r="I3335">
            <v>0.63541666666666663</v>
          </cell>
          <cell r="J3335">
            <v>0.85416666666666663</v>
          </cell>
          <cell r="K3335">
            <v>5.25</v>
          </cell>
          <cell r="L3335">
            <v>271.24</v>
          </cell>
          <cell r="O3335" t="str">
            <v>Y</v>
          </cell>
          <cell r="P3335" t="str">
            <v>N</v>
          </cell>
          <cell r="Q3335" t="str">
            <v>Extra Capacity</v>
          </cell>
          <cell r="S3335">
            <v>0.14000000000000001</v>
          </cell>
        </row>
        <row r="3336">
          <cell r="D3336">
            <v>1208001395</v>
          </cell>
          <cell r="E3336" t="str">
            <v>VIJAY PANDYA</v>
          </cell>
          <cell r="F3336" t="str">
            <v>D (MD)</v>
          </cell>
          <cell r="G3336">
            <v>350071</v>
          </cell>
          <cell r="H3336" t="str">
            <v>Mayday</v>
          </cell>
          <cell r="I3336">
            <v>0.83333333333333337</v>
          </cell>
          <cell r="J3336">
            <v>0.33333333333333331</v>
          </cell>
          <cell r="K3336">
            <v>11.3333333333333</v>
          </cell>
          <cell r="L3336">
            <v>585.53</v>
          </cell>
          <cell r="O3336" t="str">
            <v>Y</v>
          </cell>
          <cell r="P3336" t="str">
            <v>N</v>
          </cell>
          <cell r="Q3336" t="str">
            <v>Specials</v>
          </cell>
          <cell r="S3336">
            <v>0.3</v>
          </cell>
        </row>
        <row r="3337">
          <cell r="D3337">
            <v>1108006226</v>
          </cell>
          <cell r="E3337" t="str">
            <v>ALAN CURTIS</v>
          </cell>
          <cell r="F3337" t="str">
            <v>D (MD)</v>
          </cell>
          <cell r="G3337">
            <v>351378</v>
          </cell>
          <cell r="H3337" t="str">
            <v>Mayday</v>
          </cell>
          <cell r="I3337">
            <v>0.3125</v>
          </cell>
          <cell r="J3337">
            <v>0.83333333333333337</v>
          </cell>
          <cell r="K3337">
            <v>11.8333333333333</v>
          </cell>
          <cell r="L3337">
            <v>382.1</v>
          </cell>
          <cell r="O3337" t="str">
            <v>Y</v>
          </cell>
          <cell r="P3337" t="str">
            <v>N</v>
          </cell>
          <cell r="Q3337" t="str">
            <v>Vacancy</v>
          </cell>
          <cell r="S3337">
            <v>0.32</v>
          </cell>
        </row>
        <row r="3338">
          <cell r="D3338">
            <v>1208001928</v>
          </cell>
          <cell r="E3338" t="str">
            <v>ALLI SUBRAMANIAM</v>
          </cell>
          <cell r="F3338" t="str">
            <v>D (MD)</v>
          </cell>
          <cell r="G3338">
            <v>352296</v>
          </cell>
          <cell r="H3338" t="str">
            <v>Mayday</v>
          </cell>
          <cell r="I3338">
            <v>0.3125</v>
          </cell>
          <cell r="J3338">
            <v>0.625</v>
          </cell>
          <cell r="K3338">
            <v>11.8333333333333</v>
          </cell>
          <cell r="L3338">
            <v>382.1</v>
          </cell>
          <cell r="O3338" t="str">
            <v>Y</v>
          </cell>
          <cell r="P3338" t="str">
            <v>N</v>
          </cell>
          <cell r="Q3338" t="str">
            <v>Extra Capacity</v>
          </cell>
          <cell r="S3338">
            <v>0.32</v>
          </cell>
        </row>
        <row r="3339">
          <cell r="D3339">
            <v>1208001824</v>
          </cell>
          <cell r="E3339" t="str">
            <v>ANDREA VENEURELA</v>
          </cell>
          <cell r="F3339" t="str">
            <v>D (Ch)</v>
          </cell>
          <cell r="G3339">
            <v>17516</v>
          </cell>
          <cell r="H3339" t="str">
            <v>Choice</v>
          </cell>
          <cell r="I3339">
            <v>0.82291666666666663</v>
          </cell>
          <cell r="J3339">
            <v>0.33333333333333331</v>
          </cell>
          <cell r="K3339">
            <v>11.5833333333333</v>
          </cell>
          <cell r="L3339">
            <v>366.97</v>
          </cell>
          <cell r="O3339" t="str">
            <v>Y</v>
          </cell>
          <cell r="P3339" t="str">
            <v>N</v>
          </cell>
          <cell r="Q3339" t="str">
            <v>Extra Capacity</v>
          </cell>
          <cell r="S3339">
            <v>0.31</v>
          </cell>
        </row>
        <row r="3340">
          <cell r="D3340">
            <v>1208001761</v>
          </cell>
          <cell r="E3340" t="str">
            <v>ATINUKE OKE-OLATUNDE</v>
          </cell>
          <cell r="F3340" t="str">
            <v>D (MD)</v>
          </cell>
          <cell r="G3340">
            <v>352304</v>
          </cell>
          <cell r="H3340" t="str">
            <v>Mayday</v>
          </cell>
          <cell r="I3340">
            <v>0.88541666666666663</v>
          </cell>
          <cell r="J3340">
            <v>0.3125</v>
          </cell>
          <cell r="K3340">
            <v>9.25</v>
          </cell>
          <cell r="L3340">
            <v>388.29</v>
          </cell>
          <cell r="O3340" t="str">
            <v>Y</v>
          </cell>
          <cell r="P3340" t="str">
            <v>N</v>
          </cell>
          <cell r="Q3340" t="str">
            <v>Extra Capacity</v>
          </cell>
          <cell r="S3340">
            <v>0.25</v>
          </cell>
        </row>
        <row r="3341">
          <cell r="D3341">
            <v>1108006217</v>
          </cell>
          <cell r="E3341" t="str">
            <v>BERNADETTE SHINYA-NDUNUWANI</v>
          </cell>
          <cell r="F3341" t="str">
            <v>D (MD)</v>
          </cell>
          <cell r="G3341">
            <v>351370</v>
          </cell>
          <cell r="H3341" t="str">
            <v>Mayday</v>
          </cell>
          <cell r="I3341">
            <v>0.3125</v>
          </cell>
          <cell r="J3341">
            <v>0.83333333333333337</v>
          </cell>
          <cell r="K3341">
            <v>11.8333333333333</v>
          </cell>
          <cell r="L3341">
            <v>382.1</v>
          </cell>
          <cell r="O3341" t="str">
            <v>Y</v>
          </cell>
          <cell r="P3341" t="str">
            <v>N</v>
          </cell>
          <cell r="Q3341" t="str">
            <v>Short Term Sick</v>
          </cell>
          <cell r="S3341">
            <v>0.32</v>
          </cell>
        </row>
        <row r="3342">
          <cell r="D3342">
            <v>1208001664</v>
          </cell>
          <cell r="E3342" t="str">
            <v>BONNIE TWALA</v>
          </cell>
          <cell r="F3342" t="str">
            <v>D (MD)</v>
          </cell>
          <cell r="G3342">
            <v>766407</v>
          </cell>
          <cell r="H3342" t="str">
            <v>Mayday</v>
          </cell>
          <cell r="I3342">
            <v>0.8125</v>
          </cell>
          <cell r="J3342">
            <v>0.33333333333333331</v>
          </cell>
          <cell r="K3342">
            <v>11.8333333333333</v>
          </cell>
          <cell r="L3342">
            <v>496.73</v>
          </cell>
          <cell r="O3342" t="str">
            <v>Y</v>
          </cell>
          <cell r="P3342" t="str">
            <v>N</v>
          </cell>
          <cell r="Q3342" t="str">
            <v>Vacancy</v>
          </cell>
          <cell r="S3342">
            <v>0.32</v>
          </cell>
        </row>
        <row r="3343">
          <cell r="D3343">
            <v>1108005678</v>
          </cell>
          <cell r="E3343" t="str">
            <v>CHARLOTTE TAYLOR</v>
          </cell>
          <cell r="F3343" t="str">
            <v>D/5 (PS)</v>
          </cell>
          <cell r="H3343" t="str">
            <v>Pinnacle Staffing</v>
          </cell>
          <cell r="I3343">
            <v>0.8125</v>
          </cell>
          <cell r="J3343">
            <v>0.33333333333333331</v>
          </cell>
          <cell r="K3343">
            <v>11.5</v>
          </cell>
          <cell r="L3343">
            <v>254</v>
          </cell>
          <cell r="O3343" t="str">
            <v>Y</v>
          </cell>
          <cell r="P3343" t="str">
            <v>N</v>
          </cell>
          <cell r="Q3343" t="str">
            <v>Vacancy</v>
          </cell>
          <cell r="S3343">
            <v>0.31</v>
          </cell>
        </row>
        <row r="3344">
          <cell r="D3344">
            <v>1208001927</v>
          </cell>
          <cell r="E3344" t="str">
            <v>COLLEN SIBANDA</v>
          </cell>
          <cell r="F3344" t="str">
            <v>D (Ch)</v>
          </cell>
          <cell r="H3344" t="str">
            <v>Choice</v>
          </cell>
          <cell r="I3344">
            <v>0.3125</v>
          </cell>
          <cell r="J3344">
            <v>0.625</v>
          </cell>
          <cell r="K3344">
            <v>7.1666666666666696</v>
          </cell>
          <cell r="L3344">
            <v>174.65</v>
          </cell>
          <cell r="O3344" t="str">
            <v>Y</v>
          </cell>
          <cell r="P3344" t="str">
            <v>N</v>
          </cell>
          <cell r="Q3344" t="str">
            <v>Extra Capacity</v>
          </cell>
          <cell r="S3344">
            <v>0.19</v>
          </cell>
        </row>
        <row r="3345">
          <cell r="D3345">
            <v>1208000553</v>
          </cell>
          <cell r="E3345" t="str">
            <v>DAMILOLA AIKI</v>
          </cell>
          <cell r="F3345" t="str">
            <v>A (Ch)</v>
          </cell>
          <cell r="G3345">
            <v>17524</v>
          </cell>
          <cell r="H3345" t="str">
            <v>Choice</v>
          </cell>
          <cell r="I3345">
            <v>0.3125</v>
          </cell>
          <cell r="J3345">
            <v>0.64583333333333337</v>
          </cell>
          <cell r="K3345">
            <v>7.6666666666666696</v>
          </cell>
          <cell r="L3345">
            <v>85.02</v>
          </cell>
          <cell r="O3345" t="str">
            <v>Y</v>
          </cell>
          <cell r="P3345" t="str">
            <v>N</v>
          </cell>
          <cell r="Q3345" t="str">
            <v>Extra Capacity</v>
          </cell>
          <cell r="S3345">
            <v>0.2</v>
          </cell>
        </row>
        <row r="3346">
          <cell r="D3346">
            <v>1208000557</v>
          </cell>
          <cell r="E3346" t="str">
            <v>DAMILOLA AIKI</v>
          </cell>
          <cell r="F3346" t="str">
            <v>A (Ch)</v>
          </cell>
          <cell r="G3346">
            <v>17524</v>
          </cell>
          <cell r="H3346" t="str">
            <v>Choice</v>
          </cell>
          <cell r="I3346">
            <v>0.64583333333333337</v>
          </cell>
          <cell r="J3346">
            <v>0.85416666666666663</v>
          </cell>
          <cell r="K3346">
            <v>5</v>
          </cell>
          <cell r="L3346">
            <v>55.45</v>
          </cell>
          <cell r="O3346" t="str">
            <v>Y</v>
          </cell>
          <cell r="P3346" t="str">
            <v>N</v>
          </cell>
          <cell r="Q3346" t="str">
            <v>Extra Capacity</v>
          </cell>
          <cell r="S3346">
            <v>0.13</v>
          </cell>
        </row>
        <row r="3347">
          <cell r="D3347">
            <v>1208002265</v>
          </cell>
          <cell r="E3347" t="str">
            <v>DOROTHY MUTEMWA</v>
          </cell>
          <cell r="F3347" t="str">
            <v>A (Ch)</v>
          </cell>
          <cell r="G3347">
            <v>17534</v>
          </cell>
          <cell r="H3347" t="str">
            <v>Choice</v>
          </cell>
          <cell r="I3347">
            <v>0.875</v>
          </cell>
          <cell r="J3347">
            <v>0.32291666666666669</v>
          </cell>
          <cell r="K3347">
            <v>10</v>
          </cell>
          <cell r="L3347">
            <v>147.87</v>
          </cell>
          <cell r="O3347" t="str">
            <v>Y</v>
          </cell>
          <cell r="P3347" t="str">
            <v>N</v>
          </cell>
          <cell r="Q3347" t="str">
            <v>Compassionate Leave</v>
          </cell>
          <cell r="S3347">
            <v>0.27</v>
          </cell>
        </row>
        <row r="3348">
          <cell r="D3348">
            <v>1208000550</v>
          </cell>
          <cell r="E3348" t="str">
            <v>EUNICE ADEBANJO</v>
          </cell>
          <cell r="F3348" t="str">
            <v>D (Ch)</v>
          </cell>
          <cell r="G3348">
            <v>17524</v>
          </cell>
          <cell r="H3348" t="str">
            <v>Choice</v>
          </cell>
          <cell r="I3348">
            <v>0.83333333333333337</v>
          </cell>
          <cell r="J3348">
            <v>0.33333333333333331</v>
          </cell>
          <cell r="K3348">
            <v>11.3333333333333</v>
          </cell>
          <cell r="L3348">
            <v>359.05</v>
          </cell>
          <cell r="O3348" t="str">
            <v>Y</v>
          </cell>
          <cell r="P3348" t="str">
            <v>N</v>
          </cell>
          <cell r="Q3348" t="str">
            <v>Extra Capacity</v>
          </cell>
          <cell r="S3348">
            <v>0.3</v>
          </cell>
        </row>
        <row r="3349">
          <cell r="D3349">
            <v>1208000228</v>
          </cell>
          <cell r="E3349" t="str">
            <v>GAYNOR DOTTIN</v>
          </cell>
          <cell r="F3349" t="str">
            <v>D (Ch)</v>
          </cell>
          <cell r="G3349">
            <v>17532</v>
          </cell>
          <cell r="H3349" t="str">
            <v>Choice</v>
          </cell>
          <cell r="I3349">
            <v>0.38541666666666669</v>
          </cell>
          <cell r="J3349">
            <v>0.625</v>
          </cell>
          <cell r="K3349">
            <v>5.75</v>
          </cell>
          <cell r="L3349">
            <v>140.13</v>
          </cell>
          <cell r="M3349">
            <v>198.42</v>
          </cell>
          <cell r="O3349" t="str">
            <v>Y</v>
          </cell>
          <cell r="P3349" t="str">
            <v>N</v>
          </cell>
          <cell r="Q3349" t="str">
            <v>Specials</v>
          </cell>
          <cell r="S3349">
            <v>0.15</v>
          </cell>
        </row>
        <row r="3350">
          <cell r="D3350">
            <v>1208000230</v>
          </cell>
          <cell r="E3350" t="str">
            <v>GAYNOR DOTTIN</v>
          </cell>
          <cell r="F3350" t="str">
            <v>D (Ch)</v>
          </cell>
          <cell r="G3350">
            <v>17532</v>
          </cell>
          <cell r="H3350" t="str">
            <v>Choice</v>
          </cell>
          <cell r="I3350">
            <v>0.625</v>
          </cell>
          <cell r="J3350">
            <v>0.88541666666666663</v>
          </cell>
          <cell r="K3350">
            <v>5.9166666666666696</v>
          </cell>
          <cell r="L3350">
            <v>144.19</v>
          </cell>
          <cell r="M3350">
            <v>198.42</v>
          </cell>
          <cell r="O3350" t="str">
            <v>Y</v>
          </cell>
          <cell r="P3350" t="str">
            <v>N</v>
          </cell>
          <cell r="Q3350" t="str">
            <v>Vacancy</v>
          </cell>
          <cell r="S3350">
            <v>0.16</v>
          </cell>
        </row>
        <row r="3351">
          <cell r="D3351">
            <v>1208000551</v>
          </cell>
          <cell r="E3351" t="str">
            <v>GLENDA RONA</v>
          </cell>
          <cell r="F3351" t="str">
            <v>D (Ch)</v>
          </cell>
          <cell r="H3351" t="str">
            <v>Choice</v>
          </cell>
          <cell r="I3351">
            <v>0.83333333333333337</v>
          </cell>
          <cell r="J3351">
            <v>0.33333333333333331</v>
          </cell>
          <cell r="K3351">
            <v>11.3333333333333</v>
          </cell>
          <cell r="L3351">
            <v>359.05</v>
          </cell>
          <cell r="O3351" t="str">
            <v>Y</v>
          </cell>
          <cell r="P3351" t="str">
            <v>N</v>
          </cell>
          <cell r="Q3351" t="str">
            <v>Extra Capacity</v>
          </cell>
          <cell r="S3351">
            <v>0.3</v>
          </cell>
        </row>
        <row r="3352">
          <cell r="D3352">
            <v>1108006600</v>
          </cell>
          <cell r="E3352" t="str">
            <v>JAKE BROOKES</v>
          </cell>
          <cell r="F3352" t="str">
            <v>D General (Orio</v>
          </cell>
          <cell r="G3352" t="str">
            <v>Invsd Smt checked</v>
          </cell>
          <cell r="H3352" t="str">
            <v>Orion</v>
          </cell>
          <cell r="I3352">
            <v>0.33333333333333331</v>
          </cell>
          <cell r="J3352">
            <v>0.75</v>
          </cell>
          <cell r="K3352">
            <v>9.6666666666666696</v>
          </cell>
          <cell r="L3352">
            <v>175.16</v>
          </cell>
          <cell r="O3352" t="str">
            <v>Y</v>
          </cell>
          <cell r="P3352" t="str">
            <v>N</v>
          </cell>
          <cell r="Q3352" t="str">
            <v>Long Term Sick</v>
          </cell>
          <cell r="S3352">
            <v>0.26</v>
          </cell>
        </row>
        <row r="3353">
          <cell r="D3353">
            <v>1208000754</v>
          </cell>
          <cell r="E3353" t="str">
            <v>JAMES MCCLEMENTS</v>
          </cell>
          <cell r="F3353" t="str">
            <v>D (MD)</v>
          </cell>
          <cell r="G3353">
            <v>351090</v>
          </cell>
          <cell r="H3353" t="str">
            <v>Mayday</v>
          </cell>
          <cell r="I3353">
            <v>0.3125</v>
          </cell>
          <cell r="J3353">
            <v>0.60416666666666663</v>
          </cell>
          <cell r="K3353">
            <v>6.6666666666666696</v>
          </cell>
          <cell r="L3353">
            <v>215.27</v>
          </cell>
          <cell r="O3353" t="str">
            <v>Y</v>
          </cell>
          <cell r="P3353" t="str">
            <v>N</v>
          </cell>
          <cell r="Q3353" t="str">
            <v>Extra Capacity</v>
          </cell>
          <cell r="S3353">
            <v>0.18</v>
          </cell>
        </row>
        <row r="3354">
          <cell r="D3354">
            <v>1208000757</v>
          </cell>
          <cell r="E3354" t="str">
            <v>JAMES MCCLEMENTS</v>
          </cell>
          <cell r="F3354" t="str">
            <v>D (MD)</v>
          </cell>
          <cell r="G3354">
            <v>351090</v>
          </cell>
          <cell r="H3354" t="str">
            <v>Mayday</v>
          </cell>
          <cell r="I3354">
            <v>0.60416666666666663</v>
          </cell>
          <cell r="J3354">
            <v>0.85416666666666663</v>
          </cell>
          <cell r="K3354">
            <v>5.6666666666666696</v>
          </cell>
          <cell r="L3354">
            <v>182.98</v>
          </cell>
          <cell r="O3354" t="str">
            <v>Y</v>
          </cell>
          <cell r="P3354" t="str">
            <v>N</v>
          </cell>
          <cell r="Q3354" t="str">
            <v>Extra Capacity</v>
          </cell>
          <cell r="S3354">
            <v>0.15</v>
          </cell>
        </row>
        <row r="3355">
          <cell r="D3355">
            <v>1208001747</v>
          </cell>
          <cell r="E3355" t="str">
            <v>JANE DUNSMURE</v>
          </cell>
          <cell r="F3355" t="str">
            <v>D/5 (PS)</v>
          </cell>
          <cell r="H3355" t="str">
            <v>Pinnacle Staffing</v>
          </cell>
          <cell r="I3355">
            <v>0.8125</v>
          </cell>
          <cell r="J3355">
            <v>0.33333333333333331</v>
          </cell>
          <cell r="K3355">
            <v>11.5</v>
          </cell>
          <cell r="L3355">
            <v>254</v>
          </cell>
          <cell r="O3355" t="str">
            <v>Y</v>
          </cell>
          <cell r="P3355" t="str">
            <v>N</v>
          </cell>
          <cell r="Q3355" t="str">
            <v>Short Term Sick</v>
          </cell>
          <cell r="S3355">
            <v>0.31</v>
          </cell>
        </row>
        <row r="3356">
          <cell r="D3356">
            <v>1208001617</v>
          </cell>
          <cell r="E3356" t="str">
            <v>JASON WENT</v>
          </cell>
          <cell r="F3356" t="str">
            <v>D / 5 General (</v>
          </cell>
          <cell r="G3356" t="str">
            <v>604-160450</v>
          </cell>
          <cell r="H3356" t="str">
            <v>Blue Arrow</v>
          </cell>
          <cell r="I3356">
            <v>0.875</v>
          </cell>
          <cell r="J3356">
            <v>0.34375</v>
          </cell>
          <cell r="K3356">
            <v>10.9166666666667</v>
          </cell>
          <cell r="L3356">
            <v>239.56</v>
          </cell>
          <cell r="O3356" t="str">
            <v>Y</v>
          </cell>
          <cell r="P3356" t="str">
            <v>N</v>
          </cell>
          <cell r="Q3356" t="str">
            <v>Short Term Sick</v>
          </cell>
          <cell r="S3356">
            <v>0.28999999999999998</v>
          </cell>
        </row>
        <row r="3357">
          <cell r="D3357">
            <v>1108003005</v>
          </cell>
          <cell r="E3357" t="str">
            <v>JEAN NGONA</v>
          </cell>
          <cell r="F3357" t="str">
            <v>D (MD)</v>
          </cell>
          <cell r="G3357">
            <v>351142</v>
          </cell>
          <cell r="H3357" t="str">
            <v>Mayday</v>
          </cell>
          <cell r="I3357">
            <v>0.3125</v>
          </cell>
          <cell r="J3357">
            <v>0.5625</v>
          </cell>
          <cell r="K3357">
            <v>5.6666666666666696</v>
          </cell>
          <cell r="L3357">
            <v>182.98</v>
          </cell>
          <cell r="O3357" t="str">
            <v>Y</v>
          </cell>
          <cell r="P3357" t="str">
            <v>N</v>
          </cell>
          <cell r="Q3357" t="str">
            <v>Under Established</v>
          </cell>
          <cell r="S3357">
            <v>0.15</v>
          </cell>
        </row>
        <row r="3358">
          <cell r="D3358">
            <v>1108003010</v>
          </cell>
          <cell r="E3358" t="str">
            <v>JEAN NGONA</v>
          </cell>
          <cell r="F3358" t="str">
            <v>D (MD)</v>
          </cell>
          <cell r="G3358">
            <v>351142</v>
          </cell>
          <cell r="H3358" t="str">
            <v>Mayday</v>
          </cell>
          <cell r="I3358">
            <v>0.5625</v>
          </cell>
          <cell r="J3358">
            <v>0.85416666666666663</v>
          </cell>
          <cell r="K3358">
            <v>6.6666666666666696</v>
          </cell>
          <cell r="L3358">
            <v>215.27</v>
          </cell>
          <cell r="O3358" t="str">
            <v>Y</v>
          </cell>
          <cell r="P3358" t="str">
            <v>N</v>
          </cell>
          <cell r="Q3358" t="str">
            <v>Under Established</v>
          </cell>
          <cell r="S3358">
            <v>0.18</v>
          </cell>
        </row>
        <row r="3359">
          <cell r="D3359">
            <v>1208001759</v>
          </cell>
          <cell r="E3359" t="str">
            <v>JOANNE BUSS</v>
          </cell>
          <cell r="F3359" t="str">
            <v>D (MD)</v>
          </cell>
          <cell r="G3359">
            <v>351438</v>
          </cell>
          <cell r="H3359" t="str">
            <v>Mayday</v>
          </cell>
          <cell r="I3359">
            <v>0.5625</v>
          </cell>
          <cell r="J3359">
            <v>0.89583333333333337</v>
          </cell>
          <cell r="K3359">
            <v>7.6666666666666696</v>
          </cell>
          <cell r="L3359">
            <v>247.56</v>
          </cell>
          <cell r="O3359" t="str">
            <v>Y</v>
          </cell>
          <cell r="P3359" t="str">
            <v>N</v>
          </cell>
          <cell r="Q3359" t="str">
            <v>Extra Capacity</v>
          </cell>
          <cell r="S3359">
            <v>0.2</v>
          </cell>
        </row>
        <row r="3360">
          <cell r="D3360">
            <v>1208000674</v>
          </cell>
          <cell r="E3360" t="str">
            <v>JOHANNA HATUIKULIPI</v>
          </cell>
          <cell r="F3360" t="str">
            <v>D (MD)</v>
          </cell>
          <cell r="H3360" t="str">
            <v>Mayday</v>
          </cell>
          <cell r="I3360">
            <v>0.32291666666666669</v>
          </cell>
          <cell r="J3360">
            <v>0.54166666666666663</v>
          </cell>
          <cell r="K3360">
            <v>5.25</v>
          </cell>
          <cell r="L3360">
            <v>169.52</v>
          </cell>
          <cell r="O3360" t="str">
            <v>Y</v>
          </cell>
          <cell r="P3360" t="str">
            <v>N</v>
          </cell>
          <cell r="Q3360" t="str">
            <v>Short Term Sick</v>
          </cell>
          <cell r="S3360">
            <v>0.14000000000000001</v>
          </cell>
        </row>
        <row r="3361">
          <cell r="D3361">
            <v>1208001125</v>
          </cell>
          <cell r="E3361" t="str">
            <v>JOSEPHINE MOLLOY</v>
          </cell>
          <cell r="F3361" t="str">
            <v>D (Amb)</v>
          </cell>
          <cell r="G3361">
            <v>766406</v>
          </cell>
          <cell r="H3361" t="str">
            <v>Ambition</v>
          </cell>
          <cell r="I3361">
            <v>0.8125</v>
          </cell>
          <cell r="J3361">
            <v>0.33333333333333331</v>
          </cell>
          <cell r="K3361">
            <v>11.8333333333333</v>
          </cell>
          <cell r="L3361">
            <v>601.49</v>
          </cell>
          <cell r="O3361" t="str">
            <v>Y</v>
          </cell>
          <cell r="P3361" t="str">
            <v>N</v>
          </cell>
          <cell r="Q3361" t="str">
            <v>Vacancy</v>
          </cell>
          <cell r="S3361">
            <v>0.32</v>
          </cell>
        </row>
        <row r="3362">
          <cell r="D3362">
            <v>1208001765</v>
          </cell>
          <cell r="E3362" t="str">
            <v>LETECIA MENIANO</v>
          </cell>
          <cell r="F3362" t="str">
            <v>D (MD)</v>
          </cell>
          <cell r="G3362">
            <v>352140</v>
          </cell>
          <cell r="H3362" t="str">
            <v>Mayday</v>
          </cell>
          <cell r="I3362">
            <v>0.8125</v>
          </cell>
          <cell r="J3362">
            <v>0.3125</v>
          </cell>
          <cell r="K3362">
            <v>11.3333333333333</v>
          </cell>
          <cell r="L3362">
            <v>475.74</v>
          </cell>
          <cell r="O3362" t="str">
            <v>Y</v>
          </cell>
          <cell r="P3362" t="str">
            <v>N</v>
          </cell>
          <cell r="Q3362" t="str">
            <v>Extra Capacity</v>
          </cell>
          <cell r="S3362">
            <v>0.3</v>
          </cell>
        </row>
        <row r="3363">
          <cell r="D3363">
            <v>1208000291</v>
          </cell>
          <cell r="E3363" t="str">
            <v>LOUISE CULLEN</v>
          </cell>
          <cell r="F3363" t="str">
            <v>D (Amb)</v>
          </cell>
          <cell r="G3363">
            <v>766162</v>
          </cell>
          <cell r="H3363" t="str">
            <v>Ambition</v>
          </cell>
          <cell r="I3363">
            <v>0.32291666666666669</v>
          </cell>
          <cell r="J3363">
            <v>0.54166666666666663</v>
          </cell>
          <cell r="K3363">
            <v>5.25</v>
          </cell>
          <cell r="L3363">
            <v>205.28</v>
          </cell>
          <cell r="O3363" t="str">
            <v>Y</v>
          </cell>
          <cell r="P3363" t="str">
            <v>N</v>
          </cell>
          <cell r="Q3363" t="str">
            <v>Extra Capacity</v>
          </cell>
          <cell r="S3363">
            <v>0.14000000000000001</v>
          </cell>
        </row>
        <row r="3364">
          <cell r="D3364">
            <v>1208002413</v>
          </cell>
          <cell r="E3364" t="str">
            <v>LOUISE SEYMOUR</v>
          </cell>
          <cell r="F3364" t="str">
            <v>D (MD)</v>
          </cell>
          <cell r="G3364">
            <v>349797</v>
          </cell>
          <cell r="H3364" t="str">
            <v>Mayday</v>
          </cell>
          <cell r="I3364">
            <v>0.3125</v>
          </cell>
          <cell r="J3364">
            <v>0.64583333333333337</v>
          </cell>
          <cell r="K3364">
            <v>7.5</v>
          </cell>
          <cell r="L3364">
            <v>242.17</v>
          </cell>
          <cell r="O3364" t="str">
            <v>Y</v>
          </cell>
          <cell r="P3364" t="str">
            <v>N</v>
          </cell>
          <cell r="Q3364" t="str">
            <v>Vacancy</v>
          </cell>
          <cell r="S3364">
            <v>0.2</v>
          </cell>
        </row>
        <row r="3365">
          <cell r="D3365">
            <v>1208001991</v>
          </cell>
          <cell r="E3365" t="str">
            <v>MABEL MNISI</v>
          </cell>
          <cell r="F3365" t="str">
            <v>D (MD)</v>
          </cell>
          <cell r="G3365">
            <v>352008</v>
          </cell>
          <cell r="H3365" t="str">
            <v>Mayday</v>
          </cell>
          <cell r="I3365">
            <v>0.83333333333333337</v>
          </cell>
          <cell r="J3365">
            <v>0.33333333333333331</v>
          </cell>
          <cell r="K3365">
            <v>11.3333333333333</v>
          </cell>
          <cell r="L3365">
            <v>475.74</v>
          </cell>
          <cell r="O3365" t="str">
            <v>Y</v>
          </cell>
          <cell r="P3365" t="str">
            <v>N</v>
          </cell>
          <cell r="Q3365" t="str">
            <v>Extra Capacity</v>
          </cell>
          <cell r="S3365">
            <v>0.3</v>
          </cell>
        </row>
        <row r="3366">
          <cell r="D3366">
            <v>1208000552</v>
          </cell>
          <cell r="E3366" t="str">
            <v>MARTHA MAGWABA</v>
          </cell>
          <cell r="F3366" t="str">
            <v>A (Ch)</v>
          </cell>
          <cell r="G3366">
            <v>17524</v>
          </cell>
          <cell r="H3366" t="str">
            <v>Choice</v>
          </cell>
          <cell r="I3366">
            <v>0.3125</v>
          </cell>
          <cell r="J3366">
            <v>0.64583333333333337</v>
          </cell>
          <cell r="K3366">
            <v>7.6666666666666696</v>
          </cell>
          <cell r="L3366">
            <v>85.02</v>
          </cell>
          <cell r="O3366" t="str">
            <v>Y</v>
          </cell>
          <cell r="P3366" t="str">
            <v>N</v>
          </cell>
          <cell r="Q3366" t="str">
            <v>Extra Capacity</v>
          </cell>
          <cell r="S3366">
            <v>0.2</v>
          </cell>
        </row>
        <row r="3367">
          <cell r="D3367">
            <v>1208000555</v>
          </cell>
          <cell r="E3367" t="str">
            <v>MARTHA MAGWABA</v>
          </cell>
          <cell r="F3367" t="str">
            <v>A (Ch)</v>
          </cell>
          <cell r="G3367">
            <v>17524</v>
          </cell>
          <cell r="H3367" t="str">
            <v>Choice</v>
          </cell>
          <cell r="I3367">
            <v>0.64583333333333337</v>
          </cell>
          <cell r="J3367">
            <v>0.85416666666666663</v>
          </cell>
          <cell r="K3367">
            <v>5</v>
          </cell>
          <cell r="L3367">
            <v>55.45</v>
          </cell>
          <cell r="O3367" t="str">
            <v>Y</v>
          </cell>
          <cell r="P3367" t="str">
            <v>N</v>
          </cell>
          <cell r="Q3367" t="str">
            <v>Extra Capacity</v>
          </cell>
          <cell r="S3367">
            <v>0.13</v>
          </cell>
        </row>
        <row r="3368">
          <cell r="D3368">
            <v>1008006921</v>
          </cell>
          <cell r="E3368" t="str">
            <v>MERCY AFELE</v>
          </cell>
          <cell r="F3368" t="str">
            <v>D (MD)</v>
          </cell>
          <cell r="H3368" t="str">
            <v>Mayday</v>
          </cell>
          <cell r="I3368">
            <v>0.3125</v>
          </cell>
          <cell r="J3368">
            <v>0.54166666666666663</v>
          </cell>
          <cell r="K3368">
            <v>5.5</v>
          </cell>
          <cell r="L3368">
            <v>177.59</v>
          </cell>
          <cell r="O3368" t="str">
            <v>Y</v>
          </cell>
          <cell r="P3368" t="str">
            <v>N</v>
          </cell>
          <cell r="Q3368" t="str">
            <v>Vacancy</v>
          </cell>
          <cell r="S3368">
            <v>0.15</v>
          </cell>
        </row>
        <row r="3369">
          <cell r="D3369">
            <v>1208000554</v>
          </cell>
          <cell r="E3369" t="str">
            <v>MICHAEL OKE</v>
          </cell>
          <cell r="F3369" t="str">
            <v>A (Ch)</v>
          </cell>
          <cell r="G3369">
            <v>17524</v>
          </cell>
          <cell r="H3369" t="str">
            <v>Choice</v>
          </cell>
          <cell r="I3369">
            <v>0.3125</v>
          </cell>
          <cell r="J3369">
            <v>0.64583333333333337</v>
          </cell>
          <cell r="K3369">
            <v>7.6666666666666696</v>
          </cell>
          <cell r="L3369">
            <v>85.02</v>
          </cell>
          <cell r="O3369" t="str">
            <v>Y</v>
          </cell>
          <cell r="P3369" t="str">
            <v>N</v>
          </cell>
          <cell r="Q3369" t="str">
            <v>Extra Capacity</v>
          </cell>
          <cell r="S3369">
            <v>0.2</v>
          </cell>
        </row>
        <row r="3370">
          <cell r="D3370">
            <v>1208000556</v>
          </cell>
          <cell r="E3370" t="str">
            <v>MICHAEL OKE</v>
          </cell>
          <cell r="F3370" t="str">
            <v>A (Ch)</v>
          </cell>
          <cell r="G3370">
            <v>17524</v>
          </cell>
          <cell r="H3370" t="str">
            <v>Choice</v>
          </cell>
          <cell r="I3370">
            <v>0.64583333333333337</v>
          </cell>
          <cell r="J3370">
            <v>0.85416666666666663</v>
          </cell>
          <cell r="K3370">
            <v>5</v>
          </cell>
          <cell r="L3370">
            <v>55.45</v>
          </cell>
          <cell r="O3370" t="str">
            <v>Y</v>
          </cell>
          <cell r="P3370" t="str">
            <v>N</v>
          </cell>
          <cell r="Q3370" t="str">
            <v>Extra Capacity</v>
          </cell>
          <cell r="S3370">
            <v>0.13</v>
          </cell>
        </row>
        <row r="3371">
          <cell r="D3371">
            <v>1108004239</v>
          </cell>
          <cell r="E3371" t="str">
            <v>MIHAELA CHIRIBAU</v>
          </cell>
          <cell r="F3371" t="str">
            <v>D (MD)</v>
          </cell>
          <cell r="G3371">
            <v>352034</v>
          </cell>
          <cell r="H3371" t="str">
            <v>Mayday</v>
          </cell>
          <cell r="I3371">
            <v>0.3125</v>
          </cell>
          <cell r="J3371">
            <v>0.5625</v>
          </cell>
          <cell r="K3371">
            <v>5.6666666666666696</v>
          </cell>
          <cell r="L3371">
            <v>182.98</v>
          </cell>
          <cell r="O3371" t="str">
            <v>Y</v>
          </cell>
          <cell r="P3371" t="str">
            <v>N</v>
          </cell>
          <cell r="Q3371" t="str">
            <v>Vacancy</v>
          </cell>
          <cell r="S3371">
            <v>0.15</v>
          </cell>
        </row>
        <row r="3372">
          <cell r="D3372">
            <v>1108004241</v>
          </cell>
          <cell r="E3372" t="str">
            <v>MIHAELA CHIRIBAU</v>
          </cell>
          <cell r="F3372" t="str">
            <v>D (MD)</v>
          </cell>
          <cell r="G3372">
            <v>352034</v>
          </cell>
          <cell r="H3372" t="str">
            <v>Mayday</v>
          </cell>
          <cell r="I3372">
            <v>0.5625</v>
          </cell>
          <cell r="J3372">
            <v>0.85416666666666663</v>
          </cell>
          <cell r="K3372">
            <v>6.6666666666666696</v>
          </cell>
          <cell r="L3372">
            <v>215.27</v>
          </cell>
          <cell r="O3372" t="str">
            <v>Y</v>
          </cell>
          <cell r="P3372" t="str">
            <v>N</v>
          </cell>
          <cell r="Q3372" t="str">
            <v>Vacancy</v>
          </cell>
          <cell r="S3372">
            <v>0.18</v>
          </cell>
        </row>
        <row r="3373">
          <cell r="D3373">
            <v>1208001176</v>
          </cell>
          <cell r="E3373" t="str">
            <v>MZUKISI SPEELMAN</v>
          </cell>
          <cell r="F3373" t="str">
            <v>A (Ch)</v>
          </cell>
          <cell r="G3373">
            <v>17517</v>
          </cell>
          <cell r="H3373" t="str">
            <v>Choice</v>
          </cell>
          <cell r="I3373">
            <v>0.3125</v>
          </cell>
          <cell r="J3373">
            <v>0.85416666666666663</v>
          </cell>
          <cell r="K3373">
            <v>12.3333333333333</v>
          </cell>
          <cell r="L3373">
            <v>136.78</v>
          </cell>
          <cell r="O3373" t="str">
            <v>Y</v>
          </cell>
          <cell r="P3373" t="str">
            <v>N</v>
          </cell>
          <cell r="Q3373" t="str">
            <v>Under Established</v>
          </cell>
          <cell r="S3373">
            <v>0.33</v>
          </cell>
        </row>
        <row r="3374">
          <cell r="D3374">
            <v>1108005338</v>
          </cell>
          <cell r="E3374" t="str">
            <v>NEIL WYLD</v>
          </cell>
          <cell r="F3374" t="str">
            <v>D (Amb)</v>
          </cell>
          <cell r="G3374">
            <v>766184</v>
          </cell>
          <cell r="H3374" t="str">
            <v>Ambition</v>
          </cell>
          <cell r="I3374">
            <v>0.29166666666666669</v>
          </cell>
          <cell r="J3374">
            <v>0.625</v>
          </cell>
          <cell r="K3374">
            <v>7.6666666666666696</v>
          </cell>
          <cell r="L3374">
            <v>299.77</v>
          </cell>
          <cell r="O3374" t="str">
            <v>Y</v>
          </cell>
          <cell r="P3374" t="str">
            <v>N</v>
          </cell>
          <cell r="Q3374" t="str">
            <v>Backfill</v>
          </cell>
          <cell r="S3374">
            <v>0.2</v>
          </cell>
        </row>
        <row r="3375">
          <cell r="D3375">
            <v>1208001823</v>
          </cell>
          <cell r="E3375" t="str">
            <v>NILO DANUGO</v>
          </cell>
          <cell r="F3375" t="str">
            <v>D (Ch)</v>
          </cell>
          <cell r="G3375">
            <v>17516</v>
          </cell>
          <cell r="H3375" t="str">
            <v>Choice</v>
          </cell>
          <cell r="I3375">
            <v>0.82291666666666663</v>
          </cell>
          <cell r="J3375">
            <v>0.33333333333333331</v>
          </cell>
          <cell r="K3375">
            <v>11.5833333333333</v>
          </cell>
          <cell r="L3375">
            <v>366.97</v>
          </cell>
          <cell r="O3375" t="str">
            <v>Y</v>
          </cell>
          <cell r="P3375" t="str">
            <v>N</v>
          </cell>
          <cell r="Q3375" t="str">
            <v>Extra Capacity</v>
          </cell>
          <cell r="S3375">
            <v>0.31</v>
          </cell>
        </row>
        <row r="3376">
          <cell r="D3376">
            <v>1208000675</v>
          </cell>
          <cell r="E3376" t="str">
            <v>NKOSI BHEBHE</v>
          </cell>
          <cell r="F3376" t="str">
            <v>D (Amb)</v>
          </cell>
          <cell r="G3376">
            <v>766205</v>
          </cell>
          <cell r="H3376" t="str">
            <v>Ambition</v>
          </cell>
          <cell r="I3376">
            <v>0.625</v>
          </cell>
          <cell r="J3376">
            <v>0.84375</v>
          </cell>
          <cell r="K3376">
            <v>5.25</v>
          </cell>
          <cell r="L3376">
            <v>205.28</v>
          </cell>
          <cell r="O3376" t="str">
            <v>Y</v>
          </cell>
          <cell r="P3376" t="str">
            <v>N</v>
          </cell>
          <cell r="Q3376" t="str">
            <v>Short Term Sick</v>
          </cell>
          <cell r="S3376">
            <v>0.14000000000000001</v>
          </cell>
        </row>
        <row r="3377">
          <cell r="D3377">
            <v>1208002318</v>
          </cell>
          <cell r="E3377" t="str">
            <v>NKOSI BHEBHE</v>
          </cell>
          <cell r="F3377" t="str">
            <v>D (Amb)</v>
          </cell>
          <cell r="G3377">
            <v>766199</v>
          </cell>
          <cell r="H3377" t="str">
            <v>Ambition</v>
          </cell>
          <cell r="I3377">
            <v>0.29166666666666669</v>
          </cell>
          <cell r="J3377">
            <v>0.54166666666666663</v>
          </cell>
          <cell r="K3377">
            <v>7.75</v>
          </cell>
          <cell r="L3377">
            <v>303.02999999999997</v>
          </cell>
          <cell r="O3377" t="str">
            <v>Y</v>
          </cell>
          <cell r="P3377" t="str">
            <v>N</v>
          </cell>
          <cell r="Q3377" t="str">
            <v>On-Call</v>
          </cell>
          <cell r="S3377">
            <v>0.21</v>
          </cell>
        </row>
        <row r="3378">
          <cell r="D3378">
            <v>1208000097</v>
          </cell>
          <cell r="E3378" t="str">
            <v>PEGGY MAPOGO</v>
          </cell>
          <cell r="F3378" t="str">
            <v>D (Ch)</v>
          </cell>
          <cell r="G3378">
            <v>17522</v>
          </cell>
          <cell r="H3378" t="str">
            <v>Choice</v>
          </cell>
          <cell r="I3378">
            <v>0.3125</v>
          </cell>
          <cell r="J3378">
            <v>0.60416666666666663</v>
          </cell>
          <cell r="K3378">
            <v>6.6666666666666696</v>
          </cell>
          <cell r="L3378">
            <v>162.47</v>
          </cell>
          <cell r="O3378" t="str">
            <v>Y</v>
          </cell>
          <cell r="P3378" t="str">
            <v>N</v>
          </cell>
          <cell r="Q3378" t="str">
            <v>Extra Capacity</v>
          </cell>
          <cell r="S3378">
            <v>0.18</v>
          </cell>
        </row>
        <row r="3379">
          <cell r="D3379">
            <v>1208000756</v>
          </cell>
          <cell r="E3379" t="str">
            <v>PEGGY MAPOGO</v>
          </cell>
          <cell r="F3379" t="str">
            <v>D (Ch)</v>
          </cell>
          <cell r="G3379">
            <v>17522</v>
          </cell>
          <cell r="H3379" t="str">
            <v>Choice</v>
          </cell>
          <cell r="I3379">
            <v>0.60416666666666663</v>
          </cell>
          <cell r="J3379">
            <v>0.85416666666666663</v>
          </cell>
          <cell r="K3379">
            <v>5.6666666666666696</v>
          </cell>
          <cell r="L3379">
            <v>138.1</v>
          </cell>
          <cell r="O3379" t="str">
            <v>Y</v>
          </cell>
          <cell r="P3379" t="str">
            <v>N</v>
          </cell>
          <cell r="Q3379" t="str">
            <v>Extra Capacity</v>
          </cell>
          <cell r="S3379">
            <v>0.15</v>
          </cell>
        </row>
        <row r="3380">
          <cell r="D3380">
            <v>1208002375</v>
          </cell>
          <cell r="E3380" t="str">
            <v>RACHEL OBERDOFF</v>
          </cell>
          <cell r="F3380" t="str">
            <v>D (MD)</v>
          </cell>
          <cell r="G3380">
            <v>351140</v>
          </cell>
          <cell r="H3380" t="str">
            <v>Mayday</v>
          </cell>
          <cell r="I3380">
            <v>0.3125</v>
          </cell>
          <cell r="J3380">
            <v>0.85416666666666663</v>
          </cell>
          <cell r="K3380">
            <v>12.3333333333333</v>
          </cell>
          <cell r="L3380">
            <v>398.24</v>
          </cell>
          <cell r="O3380" t="str">
            <v>Y</v>
          </cell>
          <cell r="P3380" t="str">
            <v>N</v>
          </cell>
          <cell r="Q3380" t="str">
            <v>On-Call</v>
          </cell>
          <cell r="S3380">
            <v>0.33</v>
          </cell>
        </row>
        <row r="3381">
          <cell r="D3381">
            <v>1208002288</v>
          </cell>
          <cell r="E3381" t="str">
            <v>ROBERT DELACOUR</v>
          </cell>
          <cell r="F3381" t="str">
            <v>D (Amb)</v>
          </cell>
          <cell r="G3381">
            <v>767223</v>
          </cell>
          <cell r="H3381" t="str">
            <v>Ambition</v>
          </cell>
          <cell r="I3381">
            <v>0.3125</v>
          </cell>
          <cell r="J3381">
            <v>0.83333333333333337</v>
          </cell>
          <cell r="K3381">
            <v>11.8333333333333</v>
          </cell>
          <cell r="L3381">
            <v>462.68</v>
          </cell>
          <cell r="O3381" t="str">
            <v>Y</v>
          </cell>
          <cell r="P3381" t="str">
            <v>N</v>
          </cell>
          <cell r="Q3381" t="str">
            <v>Vacancy</v>
          </cell>
          <cell r="S3381">
            <v>0.32</v>
          </cell>
        </row>
        <row r="3382">
          <cell r="D3382">
            <v>1208002317</v>
          </cell>
          <cell r="E3382" t="str">
            <v>RODRIGO RINGOR</v>
          </cell>
          <cell r="F3382" t="str">
            <v>D (Amb)</v>
          </cell>
          <cell r="G3382">
            <v>766189</v>
          </cell>
          <cell r="H3382" t="str">
            <v>Ambition</v>
          </cell>
          <cell r="I3382">
            <v>0.3125</v>
          </cell>
          <cell r="J3382">
            <v>0.54166666666666663</v>
          </cell>
          <cell r="K3382">
            <v>5.5</v>
          </cell>
          <cell r="L3382">
            <v>215.05</v>
          </cell>
          <cell r="O3382" t="str">
            <v>Y</v>
          </cell>
          <cell r="P3382" t="str">
            <v>N</v>
          </cell>
          <cell r="Q3382" t="str">
            <v>On-Call</v>
          </cell>
          <cell r="S3382">
            <v>0.15</v>
          </cell>
        </row>
        <row r="3383">
          <cell r="D3383">
            <v>1208000758</v>
          </cell>
          <cell r="E3383" t="str">
            <v>SAM KELEM</v>
          </cell>
          <cell r="F3383" t="str">
            <v>D (Ch)</v>
          </cell>
          <cell r="G3383">
            <v>17449</v>
          </cell>
          <cell r="H3383" t="str">
            <v>Choice</v>
          </cell>
          <cell r="I3383">
            <v>0.83333333333333337</v>
          </cell>
          <cell r="J3383">
            <v>0.33333333333333331</v>
          </cell>
          <cell r="K3383">
            <v>11.3333333333333</v>
          </cell>
          <cell r="L3383">
            <v>359.05</v>
          </cell>
          <cell r="O3383" t="str">
            <v>Y</v>
          </cell>
          <cell r="P3383" t="str">
            <v>N</v>
          </cell>
          <cell r="Q3383" t="str">
            <v>Extra Capacity</v>
          </cell>
          <cell r="S3383">
            <v>0.3</v>
          </cell>
        </row>
        <row r="3384">
          <cell r="D3384">
            <v>1208000548</v>
          </cell>
          <cell r="E3384" t="str">
            <v>SIBONGILE DOKOTERA</v>
          </cell>
          <cell r="F3384" t="str">
            <v>D (MD)</v>
          </cell>
          <cell r="G3384">
            <v>351412</v>
          </cell>
          <cell r="H3384" t="str">
            <v>Mayday</v>
          </cell>
          <cell r="I3384">
            <v>0.52083333333333337</v>
          </cell>
          <cell r="J3384">
            <v>0.85416666666666663</v>
          </cell>
          <cell r="K3384">
            <v>7.6666666666666696</v>
          </cell>
          <cell r="L3384">
            <v>247.56</v>
          </cell>
          <cell r="O3384" t="str">
            <v>Y</v>
          </cell>
          <cell r="P3384" t="str">
            <v>N</v>
          </cell>
          <cell r="Q3384" t="str">
            <v>Extra Capacity</v>
          </cell>
          <cell r="S3384">
            <v>0.2</v>
          </cell>
        </row>
        <row r="3385">
          <cell r="D3385">
            <v>1208002319</v>
          </cell>
          <cell r="E3385" t="str">
            <v>SIMON MUDEBU</v>
          </cell>
          <cell r="F3385" t="str">
            <v>D (Ch)</v>
          </cell>
          <cell r="G3385">
            <v>17532</v>
          </cell>
          <cell r="H3385" t="str">
            <v>Choice</v>
          </cell>
          <cell r="I3385">
            <v>0.29166666666666669</v>
          </cell>
          <cell r="J3385">
            <v>0.625</v>
          </cell>
          <cell r="K3385">
            <v>7.6666666666666696</v>
          </cell>
          <cell r="L3385">
            <v>186.84</v>
          </cell>
          <cell r="M3385">
            <v>371.25</v>
          </cell>
          <cell r="O3385" t="str">
            <v>Y</v>
          </cell>
          <cell r="P3385" t="str">
            <v>N</v>
          </cell>
          <cell r="Q3385" t="str">
            <v>On-Call</v>
          </cell>
          <cell r="S3385">
            <v>0.2</v>
          </cell>
        </row>
        <row r="3386">
          <cell r="D3386">
            <v>1208001929</v>
          </cell>
          <cell r="E3386" t="str">
            <v>SUNITHA SINGH</v>
          </cell>
          <cell r="F3386" t="str">
            <v>D (MD)</v>
          </cell>
          <cell r="G3386">
            <v>766211</v>
          </cell>
          <cell r="H3386" t="str">
            <v>Ambition</v>
          </cell>
          <cell r="I3386">
            <v>0.3125</v>
          </cell>
          <cell r="J3386">
            <v>0.625</v>
          </cell>
          <cell r="K3386">
            <v>7.1666666666666696</v>
          </cell>
          <cell r="L3386">
            <v>231.41</v>
          </cell>
          <cell r="O3386" t="str">
            <v>Y</v>
          </cell>
          <cell r="P3386" t="str">
            <v>N</v>
          </cell>
          <cell r="Q3386" t="str">
            <v>Extra Capacity</v>
          </cell>
          <cell r="S3386">
            <v>0.19</v>
          </cell>
        </row>
        <row r="3387">
          <cell r="D3387">
            <v>1208000546</v>
          </cell>
          <cell r="E3387" t="str">
            <v>TAMBU JENA</v>
          </cell>
          <cell r="F3387" t="str">
            <v>D (Ch)</v>
          </cell>
          <cell r="G3387">
            <v>17524</v>
          </cell>
          <cell r="H3387" t="str">
            <v>Choice</v>
          </cell>
          <cell r="I3387">
            <v>0.3125</v>
          </cell>
          <cell r="J3387">
            <v>0.64583333333333337</v>
          </cell>
          <cell r="K3387">
            <v>7.6666666666666696</v>
          </cell>
          <cell r="L3387">
            <v>186.84</v>
          </cell>
          <cell r="O3387" t="str">
            <v>Y</v>
          </cell>
          <cell r="P3387" t="str">
            <v>N</v>
          </cell>
          <cell r="Q3387" t="str">
            <v>Extra Capacity</v>
          </cell>
          <cell r="S3387">
            <v>0.2</v>
          </cell>
        </row>
        <row r="3388">
          <cell r="D3388">
            <v>1208000547</v>
          </cell>
          <cell r="E3388" t="str">
            <v>TAMBU JENA</v>
          </cell>
          <cell r="F3388" t="str">
            <v>D (Ch)</v>
          </cell>
          <cell r="G3388">
            <v>17524</v>
          </cell>
          <cell r="H3388" t="str">
            <v>Choice</v>
          </cell>
          <cell r="I3388">
            <v>0.64583333333333337</v>
          </cell>
          <cell r="J3388">
            <v>0.85416666666666663</v>
          </cell>
          <cell r="K3388">
            <v>5</v>
          </cell>
          <cell r="L3388">
            <v>121.85</v>
          </cell>
          <cell r="O3388" t="str">
            <v>Y</v>
          </cell>
          <cell r="P3388" t="str">
            <v>N</v>
          </cell>
          <cell r="Q3388" t="str">
            <v>Extra Capacity</v>
          </cell>
          <cell r="S3388">
            <v>0.13</v>
          </cell>
        </row>
        <row r="3389">
          <cell r="D3389">
            <v>1108006241</v>
          </cell>
          <cell r="E3389" t="str">
            <v>TEMBE NGIDI</v>
          </cell>
          <cell r="F3389" t="str">
            <v>D (MD)</v>
          </cell>
          <cell r="G3389">
            <v>351363</v>
          </cell>
          <cell r="H3389" t="str">
            <v>Mayday</v>
          </cell>
          <cell r="I3389">
            <v>0.8125</v>
          </cell>
          <cell r="J3389">
            <v>0.33333333333333331</v>
          </cell>
          <cell r="K3389">
            <v>11.8333333333333</v>
          </cell>
          <cell r="L3389">
            <v>496.73</v>
          </cell>
          <cell r="O3389" t="str">
            <v>Y</v>
          </cell>
          <cell r="P3389" t="str">
            <v>N</v>
          </cell>
          <cell r="Q3389" t="str">
            <v>Vacancy</v>
          </cell>
          <cell r="S3389">
            <v>0.32</v>
          </cell>
        </row>
        <row r="3390">
          <cell r="D3390">
            <v>1208000413</v>
          </cell>
          <cell r="E3390" t="str">
            <v>VICTORIA MAESTRANI</v>
          </cell>
          <cell r="F3390" t="str">
            <v>D (MD)</v>
          </cell>
          <cell r="G3390">
            <v>350068</v>
          </cell>
          <cell r="H3390" t="str">
            <v>Mayday</v>
          </cell>
          <cell r="I3390">
            <v>0.3125</v>
          </cell>
          <cell r="J3390">
            <v>0.54166666666666663</v>
          </cell>
          <cell r="K3390">
            <v>5.5</v>
          </cell>
          <cell r="L3390">
            <v>177.59</v>
          </cell>
          <cell r="O3390" t="str">
            <v>Y</v>
          </cell>
          <cell r="P3390" t="str">
            <v>N</v>
          </cell>
          <cell r="Q3390" t="str">
            <v>Vacancy</v>
          </cell>
          <cell r="S3390">
            <v>0.15</v>
          </cell>
        </row>
        <row r="3391">
          <cell r="D3391">
            <v>1208001631</v>
          </cell>
          <cell r="E3391" t="str">
            <v>VIJAY PANDYA</v>
          </cell>
          <cell r="F3391" t="str">
            <v>D (MD)</v>
          </cell>
          <cell r="G3391">
            <v>350069</v>
          </cell>
          <cell r="H3391" t="str">
            <v>Mayday</v>
          </cell>
          <cell r="I3391">
            <v>0.83333333333333337</v>
          </cell>
          <cell r="J3391">
            <v>0.33333333333333331</v>
          </cell>
          <cell r="K3391">
            <v>11.3333333333333</v>
          </cell>
          <cell r="L3391">
            <v>475.74</v>
          </cell>
          <cell r="O3391" t="str">
            <v>Y</v>
          </cell>
          <cell r="P3391" t="str">
            <v>N</v>
          </cell>
          <cell r="Q3391" t="str">
            <v>Specials</v>
          </cell>
          <cell r="S3391">
            <v>0.3</v>
          </cell>
        </row>
        <row r="3392">
          <cell r="D3392">
            <v>1108004809</v>
          </cell>
          <cell r="E3392" t="str">
            <v>ALLI SUBRAMANIAM</v>
          </cell>
          <cell r="F3392" t="str">
            <v>D (MD)</v>
          </cell>
          <cell r="G3392">
            <v>352298</v>
          </cell>
          <cell r="H3392" t="str">
            <v>Mayday</v>
          </cell>
          <cell r="I3392">
            <v>0.625</v>
          </cell>
          <cell r="J3392">
            <v>0.85416666666666663</v>
          </cell>
          <cell r="K3392">
            <v>5.5</v>
          </cell>
          <cell r="L3392">
            <v>177.59</v>
          </cell>
          <cell r="O3392" t="str">
            <v>Y</v>
          </cell>
          <cell r="P3392" t="str">
            <v>N</v>
          </cell>
          <cell r="Q3392" t="str">
            <v>Vacancy</v>
          </cell>
          <cell r="S3392">
            <v>0.15</v>
          </cell>
        </row>
        <row r="3393">
          <cell r="D3393">
            <v>1108003014</v>
          </cell>
          <cell r="E3393" t="str">
            <v>AMBER PERRY</v>
          </cell>
          <cell r="F3393" t="str">
            <v>D (MD)</v>
          </cell>
          <cell r="H3393" t="str">
            <v>Mayday</v>
          </cell>
          <cell r="I3393">
            <v>0.3125</v>
          </cell>
          <cell r="J3393">
            <v>0.5625</v>
          </cell>
          <cell r="K3393">
            <v>5.6666666666666696</v>
          </cell>
          <cell r="L3393">
            <v>182.98</v>
          </cell>
          <cell r="O3393" t="str">
            <v>Y</v>
          </cell>
          <cell r="P3393" t="str">
            <v>N</v>
          </cell>
          <cell r="Q3393" t="str">
            <v>Under Established</v>
          </cell>
          <cell r="S3393">
            <v>0.15</v>
          </cell>
        </row>
        <row r="3394">
          <cell r="D3394">
            <v>1108003018</v>
          </cell>
          <cell r="E3394" t="str">
            <v>AMBER PERRY</v>
          </cell>
          <cell r="F3394" t="str">
            <v>D (MD)</v>
          </cell>
          <cell r="H3394" t="str">
            <v>Mayday</v>
          </cell>
          <cell r="I3394">
            <v>0.5625</v>
          </cell>
          <cell r="J3394">
            <v>0.85416666666666663</v>
          </cell>
          <cell r="K3394">
            <v>6.6666666666666696</v>
          </cell>
          <cell r="L3394">
            <v>215.27</v>
          </cell>
          <cell r="O3394" t="str">
            <v>Y</v>
          </cell>
          <cell r="P3394" t="str">
            <v>N</v>
          </cell>
          <cell r="Q3394" t="str">
            <v>Under Established</v>
          </cell>
          <cell r="S3394">
            <v>0.18</v>
          </cell>
        </row>
        <row r="3395">
          <cell r="D3395">
            <v>1208001826</v>
          </cell>
          <cell r="E3395" t="str">
            <v>ANDREA VENEURELA</v>
          </cell>
          <cell r="F3395" t="str">
            <v>D (Ch)</v>
          </cell>
          <cell r="G3395">
            <v>17693</v>
          </cell>
          <cell r="H3395" t="str">
            <v>Choice</v>
          </cell>
          <cell r="I3395">
            <v>0.82291666666666663</v>
          </cell>
          <cell r="J3395">
            <v>0.33333333333333331</v>
          </cell>
          <cell r="K3395">
            <v>11.5833333333333</v>
          </cell>
          <cell r="L3395">
            <v>366.97</v>
          </cell>
          <cell r="O3395" t="str">
            <v>Y</v>
          </cell>
          <cell r="P3395" t="str">
            <v>N</v>
          </cell>
          <cell r="Q3395" t="str">
            <v>Extra Capacity</v>
          </cell>
          <cell r="S3395">
            <v>0.31</v>
          </cell>
        </row>
        <row r="3396">
          <cell r="D3396">
            <v>1208001939</v>
          </cell>
          <cell r="E3396" t="str">
            <v>BERNADETTE SHINYA-NDUNUWANI</v>
          </cell>
          <cell r="F3396" t="str">
            <v>D (MD)</v>
          </cell>
          <cell r="G3396">
            <v>349832</v>
          </cell>
          <cell r="H3396" t="str">
            <v>Mayday</v>
          </cell>
          <cell r="I3396">
            <v>0.3125</v>
          </cell>
          <cell r="J3396">
            <v>0.625</v>
          </cell>
          <cell r="K3396">
            <v>7.1666666666666696</v>
          </cell>
          <cell r="L3396">
            <v>231.41</v>
          </cell>
          <cell r="O3396" t="str">
            <v>Y</v>
          </cell>
          <cell r="P3396" t="str">
            <v>N</v>
          </cell>
          <cell r="Q3396" t="str">
            <v>Extra Capacity</v>
          </cell>
          <cell r="S3396">
            <v>0.19</v>
          </cell>
        </row>
        <row r="3397">
          <cell r="D3397">
            <v>1208001974</v>
          </cell>
          <cell r="E3397" t="str">
            <v>BONITA BUTLER</v>
          </cell>
          <cell r="F3397" t="str">
            <v>D (MD)</v>
          </cell>
          <cell r="G3397">
            <v>350064</v>
          </cell>
          <cell r="H3397" t="str">
            <v>Mayday</v>
          </cell>
          <cell r="I3397">
            <v>0.60416666666666663</v>
          </cell>
          <cell r="J3397">
            <v>0.85416666666666663</v>
          </cell>
          <cell r="K3397">
            <v>5.6666666666666696</v>
          </cell>
          <cell r="L3397">
            <v>182.98</v>
          </cell>
          <cell r="O3397" t="str">
            <v>Y</v>
          </cell>
          <cell r="P3397" t="str">
            <v>N</v>
          </cell>
          <cell r="Q3397" t="str">
            <v>Extra Capacity</v>
          </cell>
          <cell r="S3397">
            <v>0.15</v>
          </cell>
        </row>
        <row r="3398">
          <cell r="D3398">
            <v>1108006242</v>
          </cell>
          <cell r="E3398" t="str">
            <v>BRENDA GWEKWERERE</v>
          </cell>
          <cell r="F3398" t="str">
            <v>D (Ch)</v>
          </cell>
          <cell r="G3398">
            <v>17520</v>
          </cell>
          <cell r="H3398" t="str">
            <v>Choice</v>
          </cell>
          <cell r="I3398">
            <v>0.8125</v>
          </cell>
          <cell r="J3398">
            <v>0.33333333333333331</v>
          </cell>
          <cell r="K3398">
            <v>11.8333333333333</v>
          </cell>
          <cell r="L3398">
            <v>374.89</v>
          </cell>
          <cell r="O3398" t="str">
            <v>Y</v>
          </cell>
          <cell r="P3398" t="str">
            <v>N</v>
          </cell>
          <cell r="Q3398" t="str">
            <v>Vacancy</v>
          </cell>
          <cell r="S3398">
            <v>0.32</v>
          </cell>
        </row>
        <row r="3399">
          <cell r="D3399">
            <v>1108006220</v>
          </cell>
          <cell r="E3399" t="str">
            <v>BRIGHTNESS NDEBELE</v>
          </cell>
          <cell r="F3399" t="str">
            <v>D (MD)</v>
          </cell>
          <cell r="G3399">
            <v>352280</v>
          </cell>
          <cell r="H3399" t="str">
            <v>Mayday</v>
          </cell>
          <cell r="I3399">
            <v>0.3125</v>
          </cell>
          <cell r="J3399">
            <v>0.83333333333333337</v>
          </cell>
          <cell r="K3399">
            <v>11.8333333333333</v>
          </cell>
          <cell r="L3399">
            <v>382.1</v>
          </cell>
          <cell r="O3399" t="str">
            <v>Y</v>
          </cell>
          <cell r="P3399" t="str">
            <v>N</v>
          </cell>
          <cell r="Q3399" t="str">
            <v>Short Term Sick</v>
          </cell>
          <cell r="S3399">
            <v>0.32</v>
          </cell>
        </row>
        <row r="3400">
          <cell r="D3400">
            <v>1208002438</v>
          </cell>
          <cell r="E3400" t="str">
            <v>CHARLOTTE TAYLOR</v>
          </cell>
          <cell r="F3400" t="str">
            <v>D/5 (PS)</v>
          </cell>
          <cell r="H3400" t="str">
            <v>Pinnacle Staffing</v>
          </cell>
          <cell r="I3400">
            <v>0.875</v>
          </cell>
          <cell r="J3400">
            <v>0.3125</v>
          </cell>
          <cell r="K3400">
            <v>10.1666666666667</v>
          </cell>
          <cell r="L3400">
            <v>224.55</v>
          </cell>
          <cell r="O3400" t="str">
            <v>Y</v>
          </cell>
          <cell r="P3400" t="str">
            <v>N</v>
          </cell>
          <cell r="Q3400" t="str">
            <v>Short Term Sick</v>
          </cell>
          <cell r="S3400">
            <v>0.27</v>
          </cell>
        </row>
        <row r="3401">
          <cell r="D3401">
            <v>1108004984</v>
          </cell>
          <cell r="E3401" t="str">
            <v>CHRIS STULAR</v>
          </cell>
          <cell r="F3401" t="str">
            <v>D General (Orio</v>
          </cell>
          <cell r="G3401" t="str">
            <v>Invsd Smt checked</v>
          </cell>
          <cell r="H3401" t="str">
            <v>Orion</v>
          </cell>
          <cell r="I3401">
            <v>0.33333333333333331</v>
          </cell>
          <cell r="J3401">
            <v>0.75</v>
          </cell>
          <cell r="K3401">
            <v>9.5</v>
          </cell>
          <cell r="L3401">
            <v>172.14</v>
          </cell>
          <cell r="O3401" t="str">
            <v>Y</v>
          </cell>
          <cell r="P3401" t="str">
            <v>N</v>
          </cell>
          <cell r="Q3401" t="str">
            <v>Vacancy</v>
          </cell>
          <cell r="S3401">
            <v>0.25</v>
          </cell>
        </row>
        <row r="3402">
          <cell r="D3402">
            <v>1208001178</v>
          </cell>
          <cell r="E3402" t="str">
            <v>DAMILOLA AIKI</v>
          </cell>
          <cell r="F3402" t="str">
            <v>A (Ch)</v>
          </cell>
          <cell r="G3402">
            <v>17517</v>
          </cell>
          <cell r="H3402" t="str">
            <v>Choice</v>
          </cell>
          <cell r="I3402">
            <v>0.3125</v>
          </cell>
          <cell r="J3402">
            <v>0.85416666666666663</v>
          </cell>
          <cell r="K3402">
            <v>12.3333333333333</v>
          </cell>
          <cell r="L3402">
            <v>136.78</v>
          </cell>
          <cell r="O3402" t="str">
            <v>Y</v>
          </cell>
          <cell r="P3402" t="str">
            <v>N</v>
          </cell>
          <cell r="Q3402" t="str">
            <v>Under Established</v>
          </cell>
          <cell r="S3402">
            <v>0.33</v>
          </cell>
        </row>
        <row r="3403">
          <cell r="D3403">
            <v>1208001827</v>
          </cell>
          <cell r="E3403" t="str">
            <v>DENNIS DVENGE</v>
          </cell>
          <cell r="F3403" t="str">
            <v>D (Ch)</v>
          </cell>
          <cell r="G3403">
            <v>17530</v>
          </cell>
          <cell r="H3403" t="str">
            <v>Choice</v>
          </cell>
          <cell r="I3403">
            <v>0.83333333333333337</v>
          </cell>
          <cell r="J3403">
            <v>0.33333333333333331</v>
          </cell>
          <cell r="K3403">
            <v>11.3333333333333</v>
          </cell>
          <cell r="L3403">
            <v>359.05</v>
          </cell>
          <cell r="M3403">
            <v>412.44</v>
          </cell>
          <cell r="O3403" t="str">
            <v>Y</v>
          </cell>
          <cell r="P3403" t="str">
            <v>N</v>
          </cell>
          <cell r="Q3403" t="str">
            <v>Specials</v>
          </cell>
          <cell r="S3403">
            <v>0.3</v>
          </cell>
        </row>
        <row r="3404">
          <cell r="D3404">
            <v>1208000571</v>
          </cell>
          <cell r="E3404" t="str">
            <v>DORICA MUNJERI</v>
          </cell>
          <cell r="F3404" t="str">
            <v>A (Ch)</v>
          </cell>
          <cell r="G3404">
            <v>17536</v>
          </cell>
          <cell r="H3404" t="str">
            <v>Choice</v>
          </cell>
          <cell r="I3404">
            <v>0.3125</v>
          </cell>
          <cell r="J3404">
            <v>0.64583333333333337</v>
          </cell>
          <cell r="K3404">
            <v>7.6666666666666696</v>
          </cell>
          <cell r="L3404">
            <v>85.02</v>
          </cell>
          <cell r="O3404" t="str">
            <v>Y</v>
          </cell>
          <cell r="P3404" t="str">
            <v>N</v>
          </cell>
          <cell r="Q3404" t="str">
            <v>Extra Capacity</v>
          </cell>
          <cell r="S3404">
            <v>0.2</v>
          </cell>
        </row>
        <row r="3405">
          <cell r="D3405">
            <v>1208000573</v>
          </cell>
          <cell r="E3405" t="str">
            <v>DORICA MUNJERI</v>
          </cell>
          <cell r="F3405" t="str">
            <v>A (Ch)</v>
          </cell>
          <cell r="G3405">
            <v>17536</v>
          </cell>
          <cell r="H3405" t="str">
            <v>Choice</v>
          </cell>
          <cell r="I3405">
            <v>0.64583333333333337</v>
          </cell>
          <cell r="J3405">
            <v>0.85416666666666663</v>
          </cell>
          <cell r="K3405">
            <v>5</v>
          </cell>
          <cell r="L3405">
            <v>55.45</v>
          </cell>
          <cell r="O3405" t="str">
            <v>Y</v>
          </cell>
          <cell r="P3405" t="str">
            <v>N</v>
          </cell>
          <cell r="Q3405" t="str">
            <v>Extra Capacity</v>
          </cell>
          <cell r="S3405">
            <v>0.13</v>
          </cell>
        </row>
        <row r="3406">
          <cell r="D3406">
            <v>1208000576</v>
          </cell>
          <cell r="E3406" t="str">
            <v>DOROTHY MUTEMWA</v>
          </cell>
          <cell r="F3406" t="str">
            <v>A (Ch)</v>
          </cell>
          <cell r="G3406">
            <v>17524</v>
          </cell>
          <cell r="H3406" t="str">
            <v>Choice</v>
          </cell>
          <cell r="I3406">
            <v>0.83333333333333337</v>
          </cell>
          <cell r="J3406">
            <v>0.33333333333333331</v>
          </cell>
          <cell r="K3406">
            <v>11.3333333333333</v>
          </cell>
          <cell r="L3406">
            <v>167.58</v>
          </cell>
          <cell r="O3406" t="str">
            <v>Y</v>
          </cell>
          <cell r="P3406" t="str">
            <v>N</v>
          </cell>
          <cell r="Q3406" t="str">
            <v>Extra Capacity</v>
          </cell>
          <cell r="S3406">
            <v>0.3</v>
          </cell>
        </row>
        <row r="3407">
          <cell r="D3407">
            <v>1108005184</v>
          </cell>
          <cell r="E3407" t="str">
            <v>FIONA DURKIN-GREER</v>
          </cell>
          <cell r="F3407" t="str">
            <v>D (MD)</v>
          </cell>
          <cell r="G3407">
            <v>351128</v>
          </cell>
          <cell r="H3407" t="str">
            <v>Mayday</v>
          </cell>
          <cell r="I3407">
            <v>0.5625</v>
          </cell>
          <cell r="J3407">
            <v>0.85416666666666663</v>
          </cell>
          <cell r="K3407">
            <v>6.6666666666666696</v>
          </cell>
          <cell r="L3407">
            <v>215.27</v>
          </cell>
          <cell r="O3407" t="str">
            <v>Y</v>
          </cell>
          <cell r="P3407" t="str">
            <v>N</v>
          </cell>
          <cell r="Q3407" t="str">
            <v>Nurse Moved</v>
          </cell>
          <cell r="S3407">
            <v>0.18</v>
          </cell>
        </row>
        <row r="3408">
          <cell r="D3408">
            <v>1108000334</v>
          </cell>
          <cell r="E3408" t="str">
            <v>GERTHY ALBANO</v>
          </cell>
          <cell r="F3408" t="str">
            <v>D (Ch)</v>
          </cell>
          <cell r="G3408">
            <v>17539</v>
          </cell>
          <cell r="H3408" t="str">
            <v>Choice</v>
          </cell>
          <cell r="I3408">
            <v>0.83333333333333337</v>
          </cell>
          <cell r="J3408">
            <v>0.33333333333333331</v>
          </cell>
          <cell r="K3408">
            <v>11</v>
          </cell>
          <cell r="L3408">
            <v>348.49</v>
          </cell>
          <cell r="O3408" t="str">
            <v>Y</v>
          </cell>
          <cell r="P3408" t="str">
            <v>N</v>
          </cell>
          <cell r="Q3408" t="str">
            <v>Vacancy</v>
          </cell>
          <cell r="S3408">
            <v>0.28999999999999998</v>
          </cell>
        </row>
        <row r="3409">
          <cell r="D3409">
            <v>1208000570</v>
          </cell>
          <cell r="E3409" t="str">
            <v>GRACE MALUPE</v>
          </cell>
          <cell r="F3409" t="str">
            <v>A (Ch)</v>
          </cell>
          <cell r="G3409">
            <v>17524</v>
          </cell>
          <cell r="H3409" t="str">
            <v>Choice</v>
          </cell>
          <cell r="I3409">
            <v>0.3125</v>
          </cell>
          <cell r="J3409">
            <v>0.64583333333333337</v>
          </cell>
          <cell r="K3409">
            <v>7.6666666666666696</v>
          </cell>
          <cell r="L3409">
            <v>85.02</v>
          </cell>
          <cell r="O3409" t="str">
            <v>Y</v>
          </cell>
          <cell r="P3409" t="str">
            <v>N</v>
          </cell>
          <cell r="Q3409" t="str">
            <v>Extra Capacity</v>
          </cell>
          <cell r="S3409">
            <v>0.2</v>
          </cell>
        </row>
        <row r="3410">
          <cell r="D3410">
            <v>1208000574</v>
          </cell>
          <cell r="E3410" t="str">
            <v>GRACE MALUPE</v>
          </cell>
          <cell r="F3410" t="str">
            <v>A (Ch)</v>
          </cell>
          <cell r="G3410">
            <v>17524</v>
          </cell>
          <cell r="H3410" t="str">
            <v>Choice</v>
          </cell>
          <cell r="I3410">
            <v>0.64583333333333337</v>
          </cell>
          <cell r="J3410">
            <v>0.85416666666666663</v>
          </cell>
          <cell r="K3410">
            <v>5</v>
          </cell>
          <cell r="L3410">
            <v>55.45</v>
          </cell>
          <cell r="O3410" t="str">
            <v>Y</v>
          </cell>
          <cell r="P3410" t="str">
            <v>N</v>
          </cell>
          <cell r="Q3410" t="str">
            <v>Extra Capacity</v>
          </cell>
          <cell r="S3410">
            <v>0.13</v>
          </cell>
        </row>
        <row r="3411">
          <cell r="D3411">
            <v>1208000761</v>
          </cell>
          <cell r="E3411" t="str">
            <v>JAMES MCCLEMENTS</v>
          </cell>
          <cell r="F3411" t="str">
            <v>D (MD)</v>
          </cell>
          <cell r="G3411">
            <v>351090</v>
          </cell>
          <cell r="H3411" t="str">
            <v>Mayday</v>
          </cell>
          <cell r="I3411">
            <v>0.3125</v>
          </cell>
          <cell r="J3411">
            <v>0.60416666666666663</v>
          </cell>
          <cell r="K3411">
            <v>6.6666666666666696</v>
          </cell>
          <cell r="L3411">
            <v>215.27</v>
          </cell>
          <cell r="O3411" t="str">
            <v>Y</v>
          </cell>
          <cell r="P3411" t="str">
            <v>N</v>
          </cell>
          <cell r="Q3411" t="str">
            <v>Extra Capacity</v>
          </cell>
          <cell r="S3411">
            <v>0.18</v>
          </cell>
        </row>
        <row r="3412">
          <cell r="D3412">
            <v>1208000763</v>
          </cell>
          <cell r="E3412" t="str">
            <v>JAMES MCCLEMENTS</v>
          </cell>
          <cell r="F3412" t="str">
            <v>D (MD)</v>
          </cell>
          <cell r="G3412">
            <v>351090</v>
          </cell>
          <cell r="H3412" t="str">
            <v>Mayday</v>
          </cell>
          <cell r="I3412">
            <v>0.60416666666666663</v>
          </cell>
          <cell r="J3412">
            <v>0.85416666666666663</v>
          </cell>
          <cell r="K3412">
            <v>5.6666666666666696</v>
          </cell>
          <cell r="L3412">
            <v>182.98</v>
          </cell>
          <cell r="O3412" t="str">
            <v>Y</v>
          </cell>
          <cell r="P3412" t="str">
            <v>N</v>
          </cell>
          <cell r="Q3412" t="str">
            <v>Extra Capacity</v>
          </cell>
          <cell r="S3412">
            <v>0.15</v>
          </cell>
        </row>
        <row r="3413">
          <cell r="D3413">
            <v>1208001660</v>
          </cell>
          <cell r="E3413" t="str">
            <v>JAMES STEEVENSON</v>
          </cell>
          <cell r="F3413" t="str">
            <v>D / 5 General (</v>
          </cell>
          <cell r="G3413" t="str">
            <v>604-160553</v>
          </cell>
          <cell r="H3413" t="str">
            <v>Medacs</v>
          </cell>
          <cell r="I3413">
            <v>0.88541666666666663</v>
          </cell>
          <cell r="J3413">
            <v>0.3125</v>
          </cell>
          <cell r="K3413">
            <v>9.25</v>
          </cell>
          <cell r="L3413">
            <v>202.98</v>
          </cell>
          <cell r="O3413" t="str">
            <v>Y</v>
          </cell>
          <cell r="P3413" t="str">
            <v>N</v>
          </cell>
          <cell r="Q3413" t="str">
            <v>Specials</v>
          </cell>
          <cell r="S3413">
            <v>0.25</v>
          </cell>
        </row>
        <row r="3414">
          <cell r="D3414">
            <v>1208001283</v>
          </cell>
          <cell r="E3414" t="str">
            <v>JANE DUNSMURE</v>
          </cell>
          <cell r="F3414" t="str">
            <v>D/5 (PS)</v>
          </cell>
          <cell r="H3414" t="str">
            <v>Pinnacle Staffing</v>
          </cell>
          <cell r="I3414">
            <v>0.88541666666666663</v>
          </cell>
          <cell r="J3414">
            <v>0.30208333333333331</v>
          </cell>
          <cell r="K3414">
            <v>9</v>
          </cell>
          <cell r="L3414">
            <v>198.78</v>
          </cell>
          <cell r="O3414" t="str">
            <v>Y</v>
          </cell>
          <cell r="P3414" t="str">
            <v>N</v>
          </cell>
          <cell r="Q3414" t="str">
            <v>Vacancy</v>
          </cell>
          <cell r="S3414">
            <v>0.24</v>
          </cell>
        </row>
        <row r="3415">
          <cell r="D3415">
            <v>1208001231</v>
          </cell>
          <cell r="E3415" t="str">
            <v>JASON WENT</v>
          </cell>
          <cell r="F3415" t="str">
            <v>D / 5 General (</v>
          </cell>
          <cell r="G3415" t="str">
            <v>604-160552</v>
          </cell>
          <cell r="H3415" t="str">
            <v>Blue Arrow</v>
          </cell>
          <cell r="I3415">
            <v>0.83333333333333337</v>
          </cell>
          <cell r="J3415">
            <v>0.33333333333333331</v>
          </cell>
          <cell r="K3415">
            <v>11.3333333333333</v>
          </cell>
          <cell r="L3415">
            <v>248.7</v>
          </cell>
          <cell r="O3415" t="str">
            <v>Y</v>
          </cell>
          <cell r="P3415" t="str">
            <v>N</v>
          </cell>
          <cell r="Q3415" t="str">
            <v>Vacancy</v>
          </cell>
          <cell r="S3415">
            <v>0.3</v>
          </cell>
        </row>
        <row r="3416">
          <cell r="D3416">
            <v>1208002390</v>
          </cell>
          <cell r="E3416" t="str">
            <v>JENNIFER FARRAR</v>
          </cell>
          <cell r="F3416" t="str">
            <v>D (MD)</v>
          </cell>
          <cell r="G3416">
            <v>349796</v>
          </cell>
          <cell r="H3416" t="str">
            <v>Mayday</v>
          </cell>
          <cell r="I3416">
            <v>0.3125</v>
          </cell>
          <cell r="J3416">
            <v>0.85416666666666663</v>
          </cell>
          <cell r="K3416">
            <v>12.3333333333333</v>
          </cell>
          <cell r="L3416">
            <v>398.24</v>
          </cell>
          <cell r="O3416" t="str">
            <v>Y</v>
          </cell>
          <cell r="P3416" t="str">
            <v>N</v>
          </cell>
          <cell r="Q3416" t="str">
            <v>Extra Capacity</v>
          </cell>
          <cell r="S3416">
            <v>0.33</v>
          </cell>
        </row>
        <row r="3417">
          <cell r="D3417">
            <v>1208002515</v>
          </cell>
          <cell r="E3417" t="str">
            <v>JESSICA BELLAMY</v>
          </cell>
          <cell r="F3417" t="str">
            <v>D (MD)</v>
          </cell>
          <cell r="G3417">
            <v>349835</v>
          </cell>
          <cell r="H3417" t="str">
            <v>Mayday</v>
          </cell>
          <cell r="I3417">
            <v>0.8125</v>
          </cell>
          <cell r="J3417">
            <v>0.33333333333333331</v>
          </cell>
          <cell r="K3417">
            <v>11.8333333333333</v>
          </cell>
          <cell r="L3417">
            <v>496.73</v>
          </cell>
          <cell r="O3417" t="str">
            <v>Y</v>
          </cell>
          <cell r="P3417" t="str">
            <v>N</v>
          </cell>
          <cell r="Q3417" t="str">
            <v>Vacancy</v>
          </cell>
          <cell r="S3417">
            <v>0.32</v>
          </cell>
        </row>
        <row r="3418">
          <cell r="D3418">
            <v>1108000333</v>
          </cell>
          <cell r="E3418" t="str">
            <v>JOANNE DUCKER</v>
          </cell>
          <cell r="F3418" t="str">
            <v>D / 5 General (</v>
          </cell>
          <cell r="G3418" t="str">
            <v>604-160636</v>
          </cell>
          <cell r="H3418" t="str">
            <v>Blue Arrow</v>
          </cell>
          <cell r="I3418">
            <v>0.625</v>
          </cell>
          <cell r="J3418">
            <v>0.85416666666666663</v>
          </cell>
          <cell r="K3418">
            <v>5.5</v>
          </cell>
          <cell r="L3418">
            <v>92.84</v>
          </cell>
          <cell r="O3418" t="str">
            <v>Y</v>
          </cell>
          <cell r="P3418" t="str">
            <v>N</v>
          </cell>
          <cell r="Q3418" t="str">
            <v>Vacancy</v>
          </cell>
          <cell r="S3418">
            <v>0.15</v>
          </cell>
        </row>
        <row r="3419">
          <cell r="D3419">
            <v>1208002000</v>
          </cell>
          <cell r="E3419" t="str">
            <v>JOELIS PASCUA</v>
          </cell>
          <cell r="F3419" t="str">
            <v>D (Ch)</v>
          </cell>
          <cell r="G3419">
            <v>17536</v>
          </cell>
          <cell r="H3419" t="str">
            <v>Choice</v>
          </cell>
          <cell r="I3419">
            <v>0.83333333333333337</v>
          </cell>
          <cell r="J3419">
            <v>0.33333333333333331</v>
          </cell>
          <cell r="K3419">
            <v>11.3333333333333</v>
          </cell>
          <cell r="L3419">
            <v>359.05</v>
          </cell>
          <cell r="O3419" t="str">
            <v>Y</v>
          </cell>
          <cell r="P3419" t="str">
            <v>N</v>
          </cell>
          <cell r="Q3419" t="str">
            <v>Extra Capacity</v>
          </cell>
          <cell r="S3419">
            <v>0.3</v>
          </cell>
        </row>
        <row r="3420">
          <cell r="D3420">
            <v>1208001998</v>
          </cell>
          <cell r="E3420" t="str">
            <v>JOSEPH BASS</v>
          </cell>
          <cell r="F3420" t="str">
            <v>D (MD)</v>
          </cell>
          <cell r="G3420">
            <v>351423</v>
          </cell>
          <cell r="H3420" t="str">
            <v>Mayday</v>
          </cell>
          <cell r="I3420">
            <v>0.83333333333333337</v>
          </cell>
          <cell r="J3420">
            <v>0.33333333333333331</v>
          </cell>
          <cell r="K3420">
            <v>11.3333333333333</v>
          </cell>
          <cell r="L3420">
            <v>475.74</v>
          </cell>
          <cell r="O3420" t="str">
            <v>Y</v>
          </cell>
          <cell r="P3420" t="str">
            <v>N</v>
          </cell>
          <cell r="Q3420" t="str">
            <v>Extra Capacity</v>
          </cell>
          <cell r="S3420">
            <v>0.3</v>
          </cell>
        </row>
        <row r="3421">
          <cell r="D3421">
            <v>1208001126</v>
          </cell>
          <cell r="E3421" t="str">
            <v>JOSEPHINE MOLLOY</v>
          </cell>
          <cell r="F3421" t="str">
            <v>D (Amb)</v>
          </cell>
          <cell r="G3421">
            <v>766403</v>
          </cell>
          <cell r="H3421" t="str">
            <v>Ambition</v>
          </cell>
          <cell r="I3421">
            <v>0.8125</v>
          </cell>
          <cell r="J3421">
            <v>0.33333333333333331</v>
          </cell>
          <cell r="K3421">
            <v>11.8333333333333</v>
          </cell>
          <cell r="L3421">
            <v>601.49</v>
          </cell>
          <cell r="O3421" t="str">
            <v>Y</v>
          </cell>
          <cell r="P3421" t="str">
            <v>N</v>
          </cell>
          <cell r="Q3421" t="str">
            <v>Vacancy</v>
          </cell>
          <cell r="S3421">
            <v>0.32</v>
          </cell>
        </row>
        <row r="3422">
          <cell r="D3422">
            <v>1208001997</v>
          </cell>
          <cell r="E3422" t="str">
            <v>LETECIA MENIANO</v>
          </cell>
          <cell r="F3422" t="str">
            <v>D (MD)</v>
          </cell>
          <cell r="G3422">
            <v>352139</v>
          </cell>
          <cell r="H3422" t="str">
            <v>Mayday</v>
          </cell>
          <cell r="I3422">
            <v>0.83333333333333337</v>
          </cell>
          <cell r="J3422">
            <v>0.33333333333333331</v>
          </cell>
          <cell r="K3422">
            <v>11.3333333333333</v>
          </cell>
          <cell r="L3422">
            <v>475.74</v>
          </cell>
          <cell r="O3422" t="str">
            <v>Y</v>
          </cell>
          <cell r="P3422" t="str">
            <v>N</v>
          </cell>
          <cell r="Q3422" t="str">
            <v>Extra Capacity</v>
          </cell>
          <cell r="S3422">
            <v>0.3</v>
          </cell>
        </row>
        <row r="3423">
          <cell r="D3423">
            <v>1208002402</v>
          </cell>
          <cell r="E3423" t="str">
            <v>LOUISE SEYMOUR</v>
          </cell>
          <cell r="F3423" t="str">
            <v>D (MD)</v>
          </cell>
          <cell r="G3423">
            <v>349797</v>
          </cell>
          <cell r="H3423" t="str">
            <v>Mayday</v>
          </cell>
          <cell r="I3423">
            <v>0.83333333333333337</v>
          </cell>
          <cell r="J3423">
            <v>0.33333333333333331</v>
          </cell>
          <cell r="K3423">
            <v>11</v>
          </cell>
          <cell r="L3423">
            <v>461.75</v>
          </cell>
          <cell r="O3423" t="str">
            <v>Y</v>
          </cell>
          <cell r="P3423" t="str">
            <v>N</v>
          </cell>
          <cell r="Q3423" t="str">
            <v>Vacancy</v>
          </cell>
          <cell r="S3423">
            <v>0.28999999999999998</v>
          </cell>
        </row>
        <row r="3424">
          <cell r="D3424">
            <v>1208002391</v>
          </cell>
          <cell r="E3424" t="str">
            <v>MARGARET MUKUWIRI</v>
          </cell>
          <cell r="F3424" t="str">
            <v>D (MD)</v>
          </cell>
          <cell r="G3424">
            <v>352186</v>
          </cell>
          <cell r="H3424" t="str">
            <v>Mayday</v>
          </cell>
          <cell r="I3424">
            <v>0.83333333333333337</v>
          </cell>
          <cell r="J3424">
            <v>0.33333333333333331</v>
          </cell>
          <cell r="K3424">
            <v>11</v>
          </cell>
          <cell r="L3424">
            <v>461.75</v>
          </cell>
          <cell r="O3424" t="str">
            <v>Y</v>
          </cell>
          <cell r="P3424" t="str">
            <v>N</v>
          </cell>
          <cell r="Q3424" t="str">
            <v>Extra Capacity</v>
          </cell>
          <cell r="S3424">
            <v>0.28999999999999998</v>
          </cell>
        </row>
        <row r="3425">
          <cell r="D3425">
            <v>1208000572</v>
          </cell>
          <cell r="E3425" t="str">
            <v>MERCY SIBANDA</v>
          </cell>
          <cell r="F3425" t="str">
            <v>A (Ch)</v>
          </cell>
          <cell r="H3425" t="str">
            <v>Choice</v>
          </cell>
          <cell r="I3425">
            <v>0.64583333333333337</v>
          </cell>
          <cell r="J3425">
            <v>0.85416666666666663</v>
          </cell>
          <cell r="K3425">
            <v>5</v>
          </cell>
          <cell r="L3425">
            <v>55.45</v>
          </cell>
          <cell r="O3425" t="str">
            <v>Y</v>
          </cell>
          <cell r="P3425" t="str">
            <v>N</v>
          </cell>
          <cell r="Q3425" t="str">
            <v>Extra Capacity</v>
          </cell>
          <cell r="S3425">
            <v>0.13</v>
          </cell>
        </row>
        <row r="3426">
          <cell r="D3426">
            <v>1208001834</v>
          </cell>
          <cell r="E3426" t="str">
            <v>MICHAEL OKE</v>
          </cell>
          <cell r="F3426" t="str">
            <v>A (Ch)</v>
          </cell>
          <cell r="G3426">
            <v>17524</v>
          </cell>
          <cell r="H3426" t="str">
            <v>Choice</v>
          </cell>
          <cell r="I3426">
            <v>0.3125</v>
          </cell>
          <cell r="J3426">
            <v>0.85416666666666663</v>
          </cell>
          <cell r="K3426">
            <v>12.3333333333333</v>
          </cell>
          <cell r="L3426">
            <v>136.78</v>
          </cell>
          <cell r="O3426" t="str">
            <v>Y</v>
          </cell>
          <cell r="P3426" t="str">
            <v>N</v>
          </cell>
          <cell r="Q3426" t="str">
            <v>Extra Capacity</v>
          </cell>
          <cell r="S3426">
            <v>0.33</v>
          </cell>
        </row>
        <row r="3427">
          <cell r="D3427">
            <v>1108004807</v>
          </cell>
          <cell r="E3427" t="str">
            <v>MIHAELA CHIRIBAU</v>
          </cell>
          <cell r="F3427" t="str">
            <v>D (MD)</v>
          </cell>
          <cell r="G3427">
            <v>352036</v>
          </cell>
          <cell r="H3427" t="str">
            <v>Mayday</v>
          </cell>
          <cell r="I3427">
            <v>0.3125</v>
          </cell>
          <cell r="J3427">
            <v>0.54166666666666663</v>
          </cell>
          <cell r="K3427">
            <v>5.5</v>
          </cell>
          <cell r="L3427">
            <v>177.59</v>
          </cell>
          <cell r="O3427" t="str">
            <v>Y</v>
          </cell>
          <cell r="P3427" t="str">
            <v>N</v>
          </cell>
          <cell r="Q3427" t="str">
            <v>Vacancy</v>
          </cell>
          <cell r="S3427">
            <v>0.15</v>
          </cell>
        </row>
        <row r="3428">
          <cell r="D3428">
            <v>1108004810</v>
          </cell>
          <cell r="E3428" t="str">
            <v>MIHAELA CHIRIBAU</v>
          </cell>
          <cell r="F3428" t="str">
            <v>D (MD)</v>
          </cell>
          <cell r="G3428">
            <v>352036</v>
          </cell>
          <cell r="H3428" t="str">
            <v>Mayday</v>
          </cell>
          <cell r="I3428">
            <v>0.625</v>
          </cell>
          <cell r="J3428">
            <v>0.85416666666666663</v>
          </cell>
          <cell r="K3428">
            <v>5.5</v>
          </cell>
          <cell r="L3428">
            <v>177.59</v>
          </cell>
          <cell r="O3428" t="str">
            <v>Y</v>
          </cell>
          <cell r="P3428" t="str">
            <v>N</v>
          </cell>
          <cell r="Q3428" t="str">
            <v>Vacancy</v>
          </cell>
          <cell r="S3428">
            <v>0.15</v>
          </cell>
        </row>
        <row r="3429">
          <cell r="D3429">
            <v>1208001931</v>
          </cell>
          <cell r="E3429" t="str">
            <v>NKOSI BHEBHE</v>
          </cell>
          <cell r="F3429" t="str">
            <v>D (Amb)</v>
          </cell>
          <cell r="G3429">
            <v>766200</v>
          </cell>
          <cell r="H3429" t="str">
            <v>Ambition</v>
          </cell>
          <cell r="I3429">
            <v>0.3125</v>
          </cell>
          <cell r="J3429">
            <v>0.625</v>
          </cell>
          <cell r="K3429">
            <v>7.1666666666666696</v>
          </cell>
          <cell r="L3429">
            <v>280.22000000000003</v>
          </cell>
          <cell r="O3429" t="str">
            <v>Y</v>
          </cell>
          <cell r="P3429" t="str">
            <v>N</v>
          </cell>
          <cell r="Q3429" t="str">
            <v>Extra Capacity</v>
          </cell>
          <cell r="S3429">
            <v>0.19</v>
          </cell>
        </row>
        <row r="3430">
          <cell r="D3430">
            <v>1208001973</v>
          </cell>
          <cell r="E3430" t="str">
            <v>NKOSI BHEBHE</v>
          </cell>
          <cell r="F3430" t="str">
            <v>D (Amb)</v>
          </cell>
          <cell r="G3430">
            <v>766200</v>
          </cell>
          <cell r="H3430" t="str">
            <v>Ambition</v>
          </cell>
          <cell r="I3430">
            <v>0.625</v>
          </cell>
          <cell r="J3430">
            <v>0.85416666666666663</v>
          </cell>
          <cell r="K3430">
            <v>5.5</v>
          </cell>
          <cell r="L3430">
            <v>215.05</v>
          </cell>
          <cell r="O3430" t="str">
            <v>Y</v>
          </cell>
          <cell r="P3430" t="str">
            <v>N</v>
          </cell>
          <cell r="Q3430" t="str">
            <v>Extra Capacity</v>
          </cell>
          <cell r="S3430">
            <v>0.15</v>
          </cell>
        </row>
        <row r="3431">
          <cell r="D3431">
            <v>1208001996</v>
          </cell>
          <cell r="E3431" t="str">
            <v>OMAR SENGHORE</v>
          </cell>
          <cell r="F3431" t="str">
            <v>D (MD)</v>
          </cell>
          <cell r="G3431">
            <v>352060</v>
          </cell>
          <cell r="H3431" t="str">
            <v>Mayday</v>
          </cell>
          <cell r="I3431">
            <v>0.83333333333333337</v>
          </cell>
          <cell r="J3431">
            <v>0.33333333333333331</v>
          </cell>
          <cell r="K3431">
            <v>11.3333333333333</v>
          </cell>
          <cell r="L3431">
            <v>475.74</v>
          </cell>
          <cell r="O3431" t="str">
            <v>Y</v>
          </cell>
          <cell r="P3431" t="str">
            <v>N</v>
          </cell>
          <cell r="Q3431" t="str">
            <v>Extra Capacity</v>
          </cell>
          <cell r="S3431">
            <v>0.3</v>
          </cell>
        </row>
        <row r="3432">
          <cell r="D3432">
            <v>1108005179</v>
          </cell>
          <cell r="E3432" t="str">
            <v>PEGGY CHIRIKURE</v>
          </cell>
          <cell r="F3432" t="str">
            <v>D (Ch)</v>
          </cell>
          <cell r="G3432">
            <v>17704</v>
          </cell>
          <cell r="H3432" t="str">
            <v>Choice</v>
          </cell>
          <cell r="I3432">
            <v>0.3125</v>
          </cell>
          <cell r="J3432">
            <v>0.5625</v>
          </cell>
          <cell r="K3432">
            <v>5.6666666666666696</v>
          </cell>
          <cell r="L3432">
            <v>138.1</v>
          </cell>
          <cell r="O3432" t="str">
            <v>Y</v>
          </cell>
          <cell r="P3432" t="str">
            <v>N</v>
          </cell>
          <cell r="Q3432" t="str">
            <v>Nurse Moved</v>
          </cell>
          <cell r="S3432">
            <v>0.15</v>
          </cell>
        </row>
        <row r="3433">
          <cell r="D3433">
            <v>1108005183</v>
          </cell>
          <cell r="E3433" t="str">
            <v>PEGGY CHIRIKURE</v>
          </cell>
          <cell r="F3433" t="str">
            <v>D (Ch)</v>
          </cell>
          <cell r="G3433">
            <v>17704</v>
          </cell>
          <cell r="H3433" t="str">
            <v>Choice</v>
          </cell>
          <cell r="I3433">
            <v>0.5625</v>
          </cell>
          <cell r="J3433">
            <v>0.85416666666666663</v>
          </cell>
          <cell r="K3433">
            <v>6.6666666666666696</v>
          </cell>
          <cell r="L3433">
            <v>162.47</v>
          </cell>
          <cell r="O3433" t="str">
            <v>Y</v>
          </cell>
          <cell r="P3433" t="str">
            <v>N</v>
          </cell>
          <cell r="Q3433" t="str">
            <v>Nurse Moved</v>
          </cell>
          <cell r="S3433">
            <v>0.18</v>
          </cell>
        </row>
        <row r="3434">
          <cell r="D3434">
            <v>1208000561</v>
          </cell>
          <cell r="E3434" t="str">
            <v>PEGGY MAPOGO</v>
          </cell>
          <cell r="F3434" t="str">
            <v>D (Ch)</v>
          </cell>
          <cell r="G3434">
            <v>17524</v>
          </cell>
          <cell r="H3434" t="str">
            <v>Choice</v>
          </cell>
          <cell r="I3434">
            <v>0.3125</v>
          </cell>
          <cell r="J3434">
            <v>0.64583333333333337</v>
          </cell>
          <cell r="K3434">
            <v>7.6666666666666696</v>
          </cell>
          <cell r="L3434">
            <v>186.84</v>
          </cell>
          <cell r="O3434" t="str">
            <v>Y</v>
          </cell>
          <cell r="P3434" t="str">
            <v>N</v>
          </cell>
          <cell r="Q3434" t="str">
            <v>Extra Capacity</v>
          </cell>
          <cell r="S3434">
            <v>0.2</v>
          </cell>
        </row>
        <row r="3435">
          <cell r="D3435">
            <v>1208000564</v>
          </cell>
          <cell r="E3435" t="str">
            <v>PEGGY MAPOGO</v>
          </cell>
          <cell r="F3435" t="str">
            <v>D (Ch)</v>
          </cell>
          <cell r="G3435">
            <v>17524</v>
          </cell>
          <cell r="H3435" t="str">
            <v>Choice</v>
          </cell>
          <cell r="I3435">
            <v>0.64583333333333337</v>
          </cell>
          <cell r="J3435">
            <v>0.85416666666666663</v>
          </cell>
          <cell r="K3435">
            <v>5</v>
          </cell>
          <cell r="L3435">
            <v>121.85</v>
          </cell>
          <cell r="O3435" t="str">
            <v>Y</v>
          </cell>
          <cell r="P3435" t="str">
            <v>N</v>
          </cell>
          <cell r="Q3435" t="str">
            <v>Extra Capacity</v>
          </cell>
          <cell r="S3435">
            <v>0.13</v>
          </cell>
        </row>
        <row r="3436">
          <cell r="D3436">
            <v>1208003372</v>
          </cell>
          <cell r="E3436" t="str">
            <v>RACHEL OBERDOFF</v>
          </cell>
          <cell r="F3436" t="str">
            <v>D (MD)</v>
          </cell>
          <cell r="G3436">
            <v>350652</v>
          </cell>
          <cell r="H3436" t="str">
            <v>Mayday</v>
          </cell>
          <cell r="I3436">
            <v>0.60416666666666663</v>
          </cell>
          <cell r="J3436">
            <v>0.85416666666666663</v>
          </cell>
          <cell r="K3436">
            <v>6</v>
          </cell>
          <cell r="L3436">
            <v>193.74</v>
          </cell>
          <cell r="O3436" t="str">
            <v>Y</v>
          </cell>
          <cell r="P3436" t="str">
            <v>N</v>
          </cell>
          <cell r="Q3436" t="str">
            <v>Short Term Sick</v>
          </cell>
          <cell r="S3436">
            <v>0.16</v>
          </cell>
        </row>
        <row r="3437">
          <cell r="D3437">
            <v>1208002337</v>
          </cell>
          <cell r="E3437" t="str">
            <v>RAY THWALA</v>
          </cell>
          <cell r="F3437" t="str">
            <v>A (Ch)</v>
          </cell>
          <cell r="G3437">
            <v>17534</v>
          </cell>
          <cell r="H3437" t="str">
            <v>Choice</v>
          </cell>
          <cell r="I3437">
            <v>0.875</v>
          </cell>
          <cell r="J3437">
            <v>0.32291666666666669</v>
          </cell>
          <cell r="K3437">
            <v>10</v>
          </cell>
          <cell r="L3437">
            <v>147.87</v>
          </cell>
          <cell r="O3437" t="str">
            <v>Y</v>
          </cell>
          <cell r="P3437" t="str">
            <v>N</v>
          </cell>
          <cell r="Q3437" t="str">
            <v>Compassionate Leave</v>
          </cell>
          <cell r="S3437">
            <v>0.27</v>
          </cell>
        </row>
        <row r="3438">
          <cell r="D3438">
            <v>1208001841</v>
          </cell>
          <cell r="E3438" t="str">
            <v>RICHARD PUTLAND</v>
          </cell>
          <cell r="F3438" t="str">
            <v>A /2 General (M</v>
          </cell>
          <cell r="G3438" t="str">
            <v>604-160554</v>
          </cell>
          <cell r="H3438" t="str">
            <v>Medacs</v>
          </cell>
          <cell r="I3438">
            <v>0.83333333333333337</v>
          </cell>
          <cell r="J3438">
            <v>0.33333333333333331</v>
          </cell>
          <cell r="K3438">
            <v>11.3333333333333</v>
          </cell>
          <cell r="L3438">
            <v>147.33000000000001</v>
          </cell>
          <cell r="O3438" t="str">
            <v>Y</v>
          </cell>
          <cell r="P3438" t="str">
            <v>N</v>
          </cell>
          <cell r="Q3438" t="str">
            <v>Extra Capacity</v>
          </cell>
          <cell r="S3438">
            <v>0.3</v>
          </cell>
        </row>
        <row r="3439">
          <cell r="D3439">
            <v>1208001825</v>
          </cell>
          <cell r="E3439" t="str">
            <v>RITCHIE RUBIA</v>
          </cell>
          <cell r="F3439" t="str">
            <v>D (Ch)</v>
          </cell>
          <cell r="G3439">
            <v>17516</v>
          </cell>
          <cell r="H3439" t="str">
            <v>Choice</v>
          </cell>
          <cell r="I3439">
            <v>0.82291666666666663</v>
          </cell>
          <cell r="J3439">
            <v>0.33333333333333331</v>
          </cell>
          <cell r="K3439">
            <v>11.5833333333333</v>
          </cell>
          <cell r="L3439">
            <v>366.97</v>
          </cell>
          <cell r="O3439" t="str">
            <v>Y</v>
          </cell>
          <cell r="P3439" t="str">
            <v>N</v>
          </cell>
          <cell r="Q3439" t="str">
            <v>Extra Capacity</v>
          </cell>
          <cell r="S3439">
            <v>0.31</v>
          </cell>
        </row>
        <row r="3440">
          <cell r="D3440">
            <v>1208000760</v>
          </cell>
          <cell r="E3440" t="str">
            <v>ROHEYATOU NDOW-NJIE</v>
          </cell>
          <cell r="F3440" t="str">
            <v>D (Ch)</v>
          </cell>
          <cell r="G3440">
            <v>17776</v>
          </cell>
          <cell r="H3440" t="str">
            <v>Choice</v>
          </cell>
          <cell r="I3440">
            <v>0.3125</v>
          </cell>
          <cell r="J3440">
            <v>0.60416666666666663</v>
          </cell>
          <cell r="K3440">
            <v>6.6666666666666696</v>
          </cell>
          <cell r="L3440">
            <v>162.47</v>
          </cell>
          <cell r="O3440" t="str">
            <v>Y</v>
          </cell>
          <cell r="P3440" t="str">
            <v>N</v>
          </cell>
          <cell r="Q3440" t="str">
            <v>Extra Capacity</v>
          </cell>
          <cell r="S3440">
            <v>0.18</v>
          </cell>
        </row>
        <row r="3441">
          <cell r="D3441">
            <v>1208000762</v>
          </cell>
          <cell r="E3441" t="str">
            <v>ROHEYATOU NDOW-NJIE</v>
          </cell>
          <cell r="F3441" t="str">
            <v>D (Ch)</v>
          </cell>
          <cell r="G3441">
            <v>17776</v>
          </cell>
          <cell r="H3441" t="str">
            <v>Choice</v>
          </cell>
          <cell r="I3441">
            <v>0.60416666666666663</v>
          </cell>
          <cell r="J3441">
            <v>0.85416666666666663</v>
          </cell>
          <cell r="K3441">
            <v>5.6666666666666696</v>
          </cell>
          <cell r="L3441">
            <v>138.1</v>
          </cell>
          <cell r="O3441" t="str">
            <v>Y</v>
          </cell>
          <cell r="P3441" t="str">
            <v>N</v>
          </cell>
          <cell r="Q3441" t="str">
            <v>Extra Capacity</v>
          </cell>
          <cell r="S3441">
            <v>0.15</v>
          </cell>
        </row>
        <row r="3442">
          <cell r="D3442">
            <v>1208001999</v>
          </cell>
          <cell r="E3442" t="str">
            <v>RUTH NDEGWA</v>
          </cell>
          <cell r="F3442" t="str">
            <v>D (MD)</v>
          </cell>
          <cell r="G3442">
            <v>350480</v>
          </cell>
          <cell r="H3442" t="str">
            <v>Mayday</v>
          </cell>
          <cell r="I3442">
            <v>0.83333333333333337</v>
          </cell>
          <cell r="J3442">
            <v>0.33333333333333331</v>
          </cell>
          <cell r="K3442">
            <v>11.3333333333333</v>
          </cell>
          <cell r="L3442">
            <v>475.74</v>
          </cell>
          <cell r="O3442" t="str">
            <v>Y</v>
          </cell>
          <cell r="P3442" t="str">
            <v>N</v>
          </cell>
          <cell r="Q3442" t="str">
            <v>Extra Capacity</v>
          </cell>
          <cell r="S3442">
            <v>0.3</v>
          </cell>
        </row>
        <row r="3443">
          <cell r="D3443">
            <v>1208000764</v>
          </cell>
          <cell r="E3443" t="str">
            <v>SAM KELEM</v>
          </cell>
          <cell r="F3443" t="str">
            <v>D (Ch)</v>
          </cell>
          <cell r="G3443">
            <v>17522</v>
          </cell>
          <cell r="H3443" t="str">
            <v>Choice</v>
          </cell>
          <cell r="I3443">
            <v>0.83333333333333337</v>
          </cell>
          <cell r="J3443">
            <v>0.33333333333333331</v>
          </cell>
          <cell r="K3443">
            <v>11.3333333333333</v>
          </cell>
          <cell r="L3443">
            <v>359.05</v>
          </cell>
          <cell r="O3443" t="str">
            <v>Y</v>
          </cell>
          <cell r="P3443" t="str">
            <v>N</v>
          </cell>
          <cell r="Q3443" t="str">
            <v>Extra Capacity</v>
          </cell>
          <cell r="S3443">
            <v>0.3</v>
          </cell>
        </row>
        <row r="3444">
          <cell r="D3444">
            <v>1208000765</v>
          </cell>
          <cell r="E3444" t="str">
            <v>SAMSON BARACENA</v>
          </cell>
          <cell r="F3444" t="str">
            <v>D (Ch)</v>
          </cell>
          <cell r="G3444">
            <v>17522</v>
          </cell>
          <cell r="H3444" t="str">
            <v>Choice</v>
          </cell>
          <cell r="I3444">
            <v>0.83333333333333337</v>
          </cell>
          <cell r="J3444">
            <v>0.33333333333333331</v>
          </cell>
          <cell r="K3444">
            <v>11.3333333333333</v>
          </cell>
          <cell r="L3444">
            <v>359.05</v>
          </cell>
          <cell r="O3444" t="str">
            <v>Y</v>
          </cell>
          <cell r="P3444" t="str">
            <v>N</v>
          </cell>
          <cell r="Q3444" t="str">
            <v>Extra Capacity</v>
          </cell>
          <cell r="S3444">
            <v>0.3</v>
          </cell>
        </row>
        <row r="3445">
          <cell r="D3445">
            <v>1208000354</v>
          </cell>
          <cell r="E3445" t="str">
            <v>SHAUN MCKEE</v>
          </cell>
          <cell r="F3445" t="str">
            <v>D (Amb)</v>
          </cell>
          <cell r="G3445">
            <v>774199</v>
          </cell>
          <cell r="H3445" t="str">
            <v>Ambition</v>
          </cell>
          <cell r="I3445">
            <v>0.625</v>
          </cell>
          <cell r="J3445">
            <v>0.875</v>
          </cell>
          <cell r="K3445">
            <v>5.6666666666666696</v>
          </cell>
          <cell r="L3445">
            <v>221.57</v>
          </cell>
          <cell r="O3445" t="str">
            <v>Y</v>
          </cell>
          <cell r="P3445" t="str">
            <v>N</v>
          </cell>
          <cell r="Q3445" t="str">
            <v>Extra Capacity</v>
          </cell>
          <cell r="S3445">
            <v>0.15</v>
          </cell>
        </row>
        <row r="3446">
          <cell r="D3446">
            <v>1208001662</v>
          </cell>
          <cell r="E3446" t="str">
            <v>STANLEY IGWE</v>
          </cell>
          <cell r="F3446" t="str">
            <v>2 General (Adva</v>
          </cell>
          <cell r="G3446">
            <v>1414010</v>
          </cell>
          <cell r="H3446" t="str">
            <v>Advantage</v>
          </cell>
          <cell r="I3446">
            <v>0.88541666666666663</v>
          </cell>
          <cell r="J3446">
            <v>0.3125</v>
          </cell>
          <cell r="K3446">
            <v>9.25</v>
          </cell>
          <cell r="L3446">
            <v>114.33</v>
          </cell>
          <cell r="O3446" t="str">
            <v>Y</v>
          </cell>
          <cell r="P3446" t="str">
            <v>N</v>
          </cell>
          <cell r="Q3446" t="str">
            <v>Specials</v>
          </cell>
          <cell r="S3446">
            <v>0.25</v>
          </cell>
        </row>
        <row r="3447">
          <cell r="D3447">
            <v>1208002389</v>
          </cell>
          <cell r="E3447" t="str">
            <v>STEPHEN FERNANDEZ</v>
          </cell>
          <cell r="F3447" t="str">
            <v>D (MD)</v>
          </cell>
          <cell r="G3447">
            <v>351100</v>
          </cell>
          <cell r="H3447" t="str">
            <v>Mayday</v>
          </cell>
          <cell r="I3447">
            <v>0.3125</v>
          </cell>
          <cell r="J3447">
            <v>0.85416666666666663</v>
          </cell>
          <cell r="K3447">
            <v>12.3333333333333</v>
          </cell>
          <cell r="L3447">
            <v>398.24</v>
          </cell>
          <cell r="O3447" t="str">
            <v>Y</v>
          </cell>
          <cell r="P3447" t="str">
            <v>N</v>
          </cell>
          <cell r="Q3447" t="str">
            <v>Short Term Sick</v>
          </cell>
          <cell r="S3447">
            <v>0.33</v>
          </cell>
        </row>
        <row r="3448">
          <cell r="D3448">
            <v>1208001227</v>
          </cell>
          <cell r="E3448" t="str">
            <v>VICTORIA ANIKINA</v>
          </cell>
          <cell r="F3448" t="str">
            <v>D (Amb)</v>
          </cell>
          <cell r="G3448">
            <v>766207</v>
          </cell>
          <cell r="H3448" t="str">
            <v>Ambition</v>
          </cell>
          <cell r="I3448">
            <v>0.3125</v>
          </cell>
          <cell r="J3448">
            <v>0.85416666666666663</v>
          </cell>
          <cell r="K3448">
            <v>6.1666666666666696</v>
          </cell>
          <cell r="L3448">
            <v>241.12</v>
          </cell>
          <cell r="O3448" t="str">
            <v>Y</v>
          </cell>
          <cell r="P3448" t="str">
            <v>N</v>
          </cell>
          <cell r="Q3448" t="str">
            <v>Vacancy</v>
          </cell>
          <cell r="S3448">
            <v>0.16</v>
          </cell>
        </row>
        <row r="3449">
          <cell r="D3449">
            <v>1108006221</v>
          </cell>
          <cell r="E3449" t="str">
            <v>ALAN CURTIS</v>
          </cell>
          <cell r="F3449" t="str">
            <v>D (MD)</v>
          </cell>
          <cell r="G3449">
            <v>351378</v>
          </cell>
          <cell r="H3449" t="str">
            <v>Mayday</v>
          </cell>
          <cell r="I3449">
            <v>0.3125</v>
          </cell>
          <cell r="J3449">
            <v>0.83333333333333337</v>
          </cell>
          <cell r="K3449">
            <v>11.8333333333333</v>
          </cell>
          <cell r="L3449">
            <v>382.1</v>
          </cell>
          <cell r="O3449" t="str">
            <v>Y</v>
          </cell>
          <cell r="P3449" t="str">
            <v>N</v>
          </cell>
          <cell r="Q3449" t="str">
            <v>Short Term Sick</v>
          </cell>
          <cell r="S3449">
            <v>0.32</v>
          </cell>
        </row>
        <row r="3450">
          <cell r="D3450">
            <v>1108003027</v>
          </cell>
          <cell r="E3450" t="str">
            <v>AMBER PERRY</v>
          </cell>
          <cell r="F3450" t="str">
            <v>D (MD)</v>
          </cell>
          <cell r="G3450">
            <v>351126</v>
          </cell>
          <cell r="H3450" t="str">
            <v>Mayday</v>
          </cell>
          <cell r="I3450">
            <v>0.3125</v>
          </cell>
          <cell r="J3450">
            <v>0.5625</v>
          </cell>
          <cell r="K3450">
            <v>5.6666666666666696</v>
          </cell>
          <cell r="L3450">
            <v>182.98</v>
          </cell>
          <cell r="O3450" t="str">
            <v>Y</v>
          </cell>
          <cell r="P3450" t="str">
            <v>N</v>
          </cell>
          <cell r="Q3450" t="str">
            <v>Under Established</v>
          </cell>
          <cell r="S3450">
            <v>0.15</v>
          </cell>
        </row>
        <row r="3451">
          <cell r="D3451">
            <v>1208002618</v>
          </cell>
          <cell r="E3451" t="str">
            <v>ARJE ZAMBARRANO</v>
          </cell>
          <cell r="F3451" t="str">
            <v>D (MD)</v>
          </cell>
          <cell r="G3451">
            <v>352173</v>
          </cell>
          <cell r="H3451" t="str">
            <v>Mayday</v>
          </cell>
          <cell r="I3451">
            <v>0.88541666666666663</v>
          </cell>
          <cell r="J3451">
            <v>0.3125</v>
          </cell>
          <cell r="K3451">
            <v>9.25</v>
          </cell>
          <cell r="L3451">
            <v>388.29</v>
          </cell>
          <cell r="O3451" t="str">
            <v>Y</v>
          </cell>
          <cell r="P3451" t="str">
            <v>N</v>
          </cell>
          <cell r="Q3451" t="str">
            <v>Extra Capacity</v>
          </cell>
          <cell r="S3451">
            <v>0.25</v>
          </cell>
        </row>
        <row r="3452">
          <cell r="D3452">
            <v>1208002619</v>
          </cell>
          <cell r="E3452" t="str">
            <v>ATINUKE OKE-OLATUNDE</v>
          </cell>
          <cell r="F3452" t="str">
            <v>D (MD)</v>
          </cell>
          <cell r="G3452">
            <v>352987</v>
          </cell>
          <cell r="H3452" t="str">
            <v>Mayday</v>
          </cell>
          <cell r="I3452">
            <v>0.88541666666666663</v>
          </cell>
          <cell r="J3452">
            <v>0.3125</v>
          </cell>
          <cell r="K3452">
            <v>9.25</v>
          </cell>
          <cell r="L3452">
            <v>388.29</v>
          </cell>
          <cell r="O3452" t="str">
            <v>Y</v>
          </cell>
          <cell r="P3452" t="str">
            <v>N</v>
          </cell>
          <cell r="Q3452" t="str">
            <v>Extra Capacity</v>
          </cell>
          <cell r="S3452">
            <v>0.25</v>
          </cell>
        </row>
        <row r="3453">
          <cell r="D3453">
            <v>1108006228</v>
          </cell>
          <cell r="E3453" t="str">
            <v>BRIGHTNESS NDEBELE</v>
          </cell>
          <cell r="F3453" t="str">
            <v>D (MD)</v>
          </cell>
          <cell r="G3453">
            <v>352281</v>
          </cell>
          <cell r="H3453" t="str">
            <v>Mayday</v>
          </cell>
          <cell r="I3453">
            <v>0.3125</v>
          </cell>
          <cell r="J3453">
            <v>0.83333333333333337</v>
          </cell>
          <cell r="K3453">
            <v>11.8333333333333</v>
          </cell>
          <cell r="L3453">
            <v>382.1</v>
          </cell>
          <cell r="O3453" t="str">
            <v>Y</v>
          </cell>
          <cell r="P3453" t="str">
            <v>N</v>
          </cell>
          <cell r="Q3453" t="str">
            <v>Vacancy</v>
          </cell>
          <cell r="S3453">
            <v>0.32</v>
          </cell>
        </row>
        <row r="3454">
          <cell r="D3454">
            <v>1108004989</v>
          </cell>
          <cell r="E3454" t="str">
            <v>CHRIS STULAR</v>
          </cell>
          <cell r="F3454" t="str">
            <v>D General (Orio</v>
          </cell>
          <cell r="G3454" t="str">
            <v>Invsd Smt checked</v>
          </cell>
          <cell r="H3454" t="str">
            <v>Orion</v>
          </cell>
          <cell r="I3454">
            <v>0.33333333333333331</v>
          </cell>
          <cell r="J3454">
            <v>0.75</v>
          </cell>
          <cell r="K3454">
            <v>9.5</v>
          </cell>
          <cell r="L3454">
            <v>172.14</v>
          </cell>
          <cell r="O3454" t="str">
            <v>Y</v>
          </cell>
          <cell r="P3454" t="str">
            <v>N</v>
          </cell>
          <cell r="Q3454" t="str">
            <v>Backfill</v>
          </cell>
          <cell r="S3454">
            <v>0.25</v>
          </cell>
        </row>
        <row r="3455">
          <cell r="D3455">
            <v>1208000587</v>
          </cell>
          <cell r="E3455" t="str">
            <v>DAMILOLA AIKI</v>
          </cell>
          <cell r="F3455" t="str">
            <v>A (Ch)</v>
          </cell>
          <cell r="G3455">
            <v>17524</v>
          </cell>
          <cell r="H3455" t="str">
            <v>Choice</v>
          </cell>
          <cell r="I3455">
            <v>0.3125</v>
          </cell>
          <cell r="J3455">
            <v>0.64583333333333337</v>
          </cell>
          <cell r="K3455">
            <v>7.6666666666666696</v>
          </cell>
          <cell r="L3455">
            <v>85.02</v>
          </cell>
          <cell r="O3455" t="str">
            <v>Y</v>
          </cell>
          <cell r="P3455" t="str">
            <v>N</v>
          </cell>
          <cell r="Q3455" t="str">
            <v>Extra Capacity</v>
          </cell>
          <cell r="S3455">
            <v>0.2</v>
          </cell>
        </row>
        <row r="3456">
          <cell r="D3456">
            <v>1208000590</v>
          </cell>
          <cell r="E3456" t="str">
            <v>DAMILOLA AIKI</v>
          </cell>
          <cell r="F3456" t="str">
            <v>A (Ch)</v>
          </cell>
          <cell r="G3456">
            <v>17524</v>
          </cell>
          <cell r="H3456" t="str">
            <v>Choice</v>
          </cell>
          <cell r="I3456">
            <v>0.64583333333333337</v>
          </cell>
          <cell r="J3456">
            <v>0.85416666666666663</v>
          </cell>
          <cell r="K3456">
            <v>5</v>
          </cell>
          <cell r="L3456">
            <v>55.45</v>
          </cell>
          <cell r="O3456" t="str">
            <v>Y</v>
          </cell>
          <cell r="P3456" t="str">
            <v>N</v>
          </cell>
          <cell r="Q3456" t="str">
            <v>Extra Capacity</v>
          </cell>
          <cell r="S3456">
            <v>0.13</v>
          </cell>
        </row>
        <row r="3457">
          <cell r="D3457">
            <v>1208001944</v>
          </cell>
          <cell r="E3457" t="str">
            <v>EMILY GIKINGO</v>
          </cell>
          <cell r="F3457" t="str">
            <v>D (Amb)</v>
          </cell>
          <cell r="H3457" t="str">
            <v>Ambition</v>
          </cell>
          <cell r="I3457">
            <v>0.3125</v>
          </cell>
          <cell r="J3457">
            <v>0.625</v>
          </cell>
          <cell r="K3457">
            <v>7.1666666666666696</v>
          </cell>
          <cell r="L3457">
            <v>280.22000000000003</v>
          </cell>
          <cell r="O3457" t="str">
            <v>Y</v>
          </cell>
          <cell r="P3457" t="str">
            <v>N</v>
          </cell>
          <cell r="Q3457" t="str">
            <v>Extra Capacity</v>
          </cell>
          <cell r="S3457">
            <v>0.19</v>
          </cell>
        </row>
        <row r="3458">
          <cell r="D3458">
            <v>1208001977</v>
          </cell>
          <cell r="E3458" t="str">
            <v>EMILY GIKINGO</v>
          </cell>
          <cell r="F3458" t="str">
            <v>D (Amb)</v>
          </cell>
          <cell r="H3458" t="str">
            <v>Ambition</v>
          </cell>
          <cell r="I3458">
            <v>0.625</v>
          </cell>
          <cell r="J3458">
            <v>0.85416666666666663</v>
          </cell>
          <cell r="K3458">
            <v>5.5</v>
          </cell>
          <cell r="L3458">
            <v>215.05</v>
          </cell>
          <cell r="O3458" t="str">
            <v>Y</v>
          </cell>
          <cell r="P3458" t="str">
            <v>N</v>
          </cell>
          <cell r="Q3458" t="str">
            <v>Extra Capacity</v>
          </cell>
          <cell r="S3458">
            <v>0.15</v>
          </cell>
        </row>
        <row r="3459">
          <cell r="D3459">
            <v>1208000582</v>
          </cell>
          <cell r="E3459" t="str">
            <v>EUNICE ADEBANJO</v>
          </cell>
          <cell r="F3459" t="str">
            <v>D (Ch)</v>
          </cell>
          <cell r="G3459">
            <v>17524</v>
          </cell>
          <cell r="H3459" t="str">
            <v>Choice</v>
          </cell>
          <cell r="I3459">
            <v>0.83333333333333337</v>
          </cell>
          <cell r="J3459">
            <v>0.33333333333333331</v>
          </cell>
          <cell r="K3459">
            <v>11.3333333333333</v>
          </cell>
          <cell r="L3459">
            <v>359.05</v>
          </cell>
          <cell r="O3459" t="str">
            <v>Y</v>
          </cell>
          <cell r="P3459" t="str">
            <v>N</v>
          </cell>
          <cell r="Q3459" t="str">
            <v>Extra Capacity</v>
          </cell>
          <cell r="S3459">
            <v>0.3</v>
          </cell>
        </row>
        <row r="3460">
          <cell r="D3460">
            <v>1108004245</v>
          </cell>
          <cell r="E3460" t="str">
            <v>FIONA DURKIN-GREER</v>
          </cell>
          <cell r="F3460" t="str">
            <v>D (MD)</v>
          </cell>
          <cell r="G3460">
            <v>351128</v>
          </cell>
          <cell r="H3460" t="str">
            <v>Mayday</v>
          </cell>
          <cell r="I3460">
            <v>0.3125</v>
          </cell>
          <cell r="J3460">
            <v>0.5625</v>
          </cell>
          <cell r="K3460">
            <v>5.6666666666666696</v>
          </cell>
          <cell r="L3460">
            <v>182.98</v>
          </cell>
          <cell r="O3460" t="str">
            <v>Y</v>
          </cell>
          <cell r="P3460" t="str">
            <v>N</v>
          </cell>
          <cell r="Q3460" t="str">
            <v>Vacancy</v>
          </cell>
          <cell r="S3460">
            <v>0.15</v>
          </cell>
        </row>
        <row r="3461">
          <cell r="D3461">
            <v>1008006987</v>
          </cell>
          <cell r="E3461" t="str">
            <v>GALE HARLEY</v>
          </cell>
          <cell r="F3461" t="str">
            <v>D (Amb)</v>
          </cell>
          <cell r="H3461" t="str">
            <v>Ambition</v>
          </cell>
          <cell r="I3461">
            <v>0.32291666666666669</v>
          </cell>
          <cell r="J3461">
            <v>0.84375</v>
          </cell>
          <cell r="K3461">
            <v>11.8333333333333</v>
          </cell>
          <cell r="L3461">
            <v>462.68</v>
          </cell>
          <cell r="O3461" t="str">
            <v>Y</v>
          </cell>
          <cell r="P3461" t="str">
            <v>N</v>
          </cell>
          <cell r="Q3461" t="str">
            <v>Vacancy</v>
          </cell>
          <cell r="S3461">
            <v>0.32</v>
          </cell>
        </row>
        <row r="3462">
          <cell r="D3462">
            <v>1208000586</v>
          </cell>
          <cell r="E3462" t="str">
            <v>GRACE MALUPE</v>
          </cell>
          <cell r="F3462" t="str">
            <v>A (Ch)</v>
          </cell>
          <cell r="G3462">
            <v>17524</v>
          </cell>
          <cell r="H3462" t="str">
            <v>Choice</v>
          </cell>
          <cell r="I3462">
            <v>0.3125</v>
          </cell>
          <cell r="J3462">
            <v>0.64583333333333337</v>
          </cell>
          <cell r="K3462">
            <v>7.6666666666666696</v>
          </cell>
          <cell r="L3462">
            <v>85.02</v>
          </cell>
          <cell r="O3462" t="str">
            <v>Y</v>
          </cell>
          <cell r="P3462" t="str">
            <v>N</v>
          </cell>
          <cell r="Q3462" t="str">
            <v>Extra Capacity</v>
          </cell>
          <cell r="S3462">
            <v>0.2</v>
          </cell>
        </row>
        <row r="3463">
          <cell r="D3463">
            <v>1208000589</v>
          </cell>
          <cell r="E3463" t="str">
            <v>GRACE MALUPE</v>
          </cell>
          <cell r="F3463" t="str">
            <v>A (Ch)</v>
          </cell>
          <cell r="G3463">
            <v>17524</v>
          </cell>
          <cell r="H3463" t="str">
            <v>Choice</v>
          </cell>
          <cell r="I3463">
            <v>0.64583333333333337</v>
          </cell>
          <cell r="J3463">
            <v>0.85416666666666663</v>
          </cell>
          <cell r="K3463">
            <v>5</v>
          </cell>
          <cell r="L3463">
            <v>55.45</v>
          </cell>
          <cell r="O3463" t="str">
            <v>Y</v>
          </cell>
          <cell r="P3463" t="str">
            <v>N</v>
          </cell>
          <cell r="Q3463" t="str">
            <v>Extra Capacity</v>
          </cell>
          <cell r="S3463">
            <v>0.13</v>
          </cell>
        </row>
        <row r="3464">
          <cell r="D3464">
            <v>1108006612</v>
          </cell>
          <cell r="E3464" t="str">
            <v>JAKE BROOKES</v>
          </cell>
          <cell r="F3464" t="str">
            <v>D General (Orio</v>
          </cell>
          <cell r="G3464" t="str">
            <v>Invsd Smt checked</v>
          </cell>
          <cell r="H3464" t="str">
            <v>Orion</v>
          </cell>
          <cell r="I3464">
            <v>0.33333333333333331</v>
          </cell>
          <cell r="J3464">
            <v>0.75</v>
          </cell>
          <cell r="K3464">
            <v>9.6666666666666696</v>
          </cell>
          <cell r="L3464">
            <v>175.16</v>
          </cell>
          <cell r="O3464" t="str">
            <v>Y</v>
          </cell>
          <cell r="P3464" t="str">
            <v>N</v>
          </cell>
          <cell r="Q3464" t="str">
            <v>Long Term Sick</v>
          </cell>
          <cell r="S3464">
            <v>0.26</v>
          </cell>
        </row>
        <row r="3465">
          <cell r="D3465">
            <v>1208000766</v>
          </cell>
          <cell r="E3465" t="str">
            <v>JAMES MCCLEMENTS</v>
          </cell>
          <cell r="F3465" t="str">
            <v>D (MD)</v>
          </cell>
          <cell r="G3465">
            <v>351090</v>
          </cell>
          <cell r="H3465" t="str">
            <v>Mayday</v>
          </cell>
          <cell r="I3465">
            <v>0.3125</v>
          </cell>
          <cell r="J3465">
            <v>0.60416666666666663</v>
          </cell>
          <cell r="K3465">
            <v>6.6666666666666696</v>
          </cell>
          <cell r="L3465">
            <v>215.27</v>
          </cell>
          <cell r="O3465" t="str">
            <v>Y</v>
          </cell>
          <cell r="P3465" t="str">
            <v>N</v>
          </cell>
          <cell r="Q3465" t="str">
            <v>Extra Capacity</v>
          </cell>
          <cell r="S3465">
            <v>0.18</v>
          </cell>
        </row>
        <row r="3466">
          <cell r="D3466">
            <v>1208000769</v>
          </cell>
          <cell r="E3466" t="str">
            <v>JAMES MCCLEMENTS</v>
          </cell>
          <cell r="F3466" t="str">
            <v>D (MD)</v>
          </cell>
          <cell r="G3466">
            <v>351090</v>
          </cell>
          <cell r="H3466" t="str">
            <v>Mayday</v>
          </cell>
          <cell r="I3466">
            <v>0.60416666666666663</v>
          </cell>
          <cell r="J3466">
            <v>0.85416666666666663</v>
          </cell>
          <cell r="K3466">
            <v>5.6666666666666696</v>
          </cell>
          <cell r="L3466">
            <v>182.98</v>
          </cell>
          <cell r="O3466" t="str">
            <v>Y</v>
          </cell>
          <cell r="P3466" t="str">
            <v>N</v>
          </cell>
          <cell r="Q3466" t="str">
            <v>Extra Capacity</v>
          </cell>
          <cell r="S3466">
            <v>0.15</v>
          </cell>
        </row>
        <row r="3467">
          <cell r="D3467">
            <v>1208001674</v>
          </cell>
          <cell r="E3467" t="str">
            <v>JAMES STEEVENSON</v>
          </cell>
          <cell r="F3467" t="str">
            <v>D / 5 General (</v>
          </cell>
          <cell r="G3467" t="str">
            <v>604-160638</v>
          </cell>
          <cell r="H3467" t="str">
            <v>Medacs</v>
          </cell>
          <cell r="I3467">
            <v>0.88541666666666663</v>
          </cell>
          <cell r="J3467">
            <v>0.3125</v>
          </cell>
          <cell r="K3467">
            <v>9.25</v>
          </cell>
          <cell r="L3467">
            <v>202.98</v>
          </cell>
          <cell r="O3467" t="str">
            <v>Y</v>
          </cell>
          <cell r="P3467" t="str">
            <v>N</v>
          </cell>
          <cell r="Q3467" t="str">
            <v>Specials</v>
          </cell>
          <cell r="S3467">
            <v>0.25</v>
          </cell>
        </row>
        <row r="3468">
          <cell r="D3468">
            <v>1208003375</v>
          </cell>
          <cell r="E3468" t="str">
            <v>JANINE NICHOLS</v>
          </cell>
          <cell r="F3468" t="str">
            <v>D (MD)</v>
          </cell>
          <cell r="G3468">
            <v>351462</v>
          </cell>
          <cell r="H3468" t="str">
            <v>Mayday</v>
          </cell>
          <cell r="I3468">
            <v>0.60416666666666663</v>
          </cell>
          <cell r="J3468">
            <v>0.85416666666666663</v>
          </cell>
          <cell r="K3468">
            <v>6</v>
          </cell>
          <cell r="L3468">
            <v>193.74</v>
          </cell>
          <cell r="O3468" t="str">
            <v>Y</v>
          </cell>
          <cell r="P3468" t="str">
            <v>N</v>
          </cell>
          <cell r="Q3468" t="str">
            <v>Short Term Sick</v>
          </cell>
          <cell r="S3468">
            <v>0.16</v>
          </cell>
        </row>
        <row r="3469">
          <cell r="D3469">
            <v>1208001233</v>
          </cell>
          <cell r="E3469" t="str">
            <v>JASON WENT</v>
          </cell>
          <cell r="F3469" t="str">
            <v>D / 5 General (</v>
          </cell>
          <cell r="G3469" t="str">
            <v>604-160637</v>
          </cell>
          <cell r="H3469" t="str">
            <v>Blue Arrow</v>
          </cell>
          <cell r="I3469">
            <v>0.83333333333333337</v>
          </cell>
          <cell r="J3469">
            <v>0.33333333333333331</v>
          </cell>
          <cell r="K3469">
            <v>11.3333333333333</v>
          </cell>
          <cell r="L3469">
            <v>248.7</v>
          </cell>
          <cell r="O3469" t="str">
            <v>Y</v>
          </cell>
          <cell r="P3469" t="str">
            <v>N</v>
          </cell>
          <cell r="Q3469" t="str">
            <v>Vacancy</v>
          </cell>
          <cell r="S3469">
            <v>0.3</v>
          </cell>
        </row>
        <row r="3470">
          <cell r="D3470">
            <v>1108003025</v>
          </cell>
          <cell r="E3470" t="str">
            <v>JEAN NGONA</v>
          </cell>
          <cell r="F3470" t="str">
            <v>D (MD)</v>
          </cell>
          <cell r="G3470">
            <v>351142</v>
          </cell>
          <cell r="H3470" t="str">
            <v>Mayday</v>
          </cell>
          <cell r="I3470">
            <v>0.3125</v>
          </cell>
          <cell r="J3470">
            <v>0.5625</v>
          </cell>
          <cell r="K3470">
            <v>5.6666666666666696</v>
          </cell>
          <cell r="L3470">
            <v>182.98</v>
          </cell>
          <cell r="O3470" t="str">
            <v>Y</v>
          </cell>
          <cell r="P3470" t="str">
            <v>N</v>
          </cell>
          <cell r="Q3470" t="str">
            <v>Under Established</v>
          </cell>
          <cell r="S3470">
            <v>0.15</v>
          </cell>
        </row>
        <row r="3471">
          <cell r="D3471">
            <v>1108003029</v>
          </cell>
          <cell r="E3471" t="str">
            <v>JEAN NGONA</v>
          </cell>
          <cell r="F3471" t="str">
            <v>D (MD)</v>
          </cell>
          <cell r="G3471">
            <v>351142</v>
          </cell>
          <cell r="H3471" t="str">
            <v>Mayday</v>
          </cell>
          <cell r="I3471">
            <v>0.5625</v>
          </cell>
          <cell r="J3471">
            <v>0.85416666666666663</v>
          </cell>
          <cell r="K3471">
            <v>6.6666666666666696</v>
          </cell>
          <cell r="L3471">
            <v>215.27</v>
          </cell>
          <cell r="O3471" t="str">
            <v>Y</v>
          </cell>
          <cell r="P3471" t="str">
            <v>N</v>
          </cell>
          <cell r="Q3471" t="str">
            <v>Under Established</v>
          </cell>
          <cell r="S3471">
            <v>0.18</v>
          </cell>
        </row>
        <row r="3472">
          <cell r="D3472">
            <v>1108006235</v>
          </cell>
          <cell r="E3472" t="str">
            <v>JESSICA BELLAMY</v>
          </cell>
          <cell r="F3472" t="str">
            <v>D (MD)</v>
          </cell>
          <cell r="G3472">
            <v>349835</v>
          </cell>
          <cell r="H3472" t="str">
            <v>Mayday</v>
          </cell>
          <cell r="I3472">
            <v>0.8125</v>
          </cell>
          <cell r="J3472">
            <v>0.33333333333333331</v>
          </cell>
          <cell r="K3472">
            <v>11.8333333333333</v>
          </cell>
          <cell r="L3472">
            <v>496.73</v>
          </cell>
          <cell r="O3472" t="str">
            <v>Y</v>
          </cell>
          <cell r="P3472" t="str">
            <v>N</v>
          </cell>
          <cell r="Q3472" t="str">
            <v>Short Term Sick</v>
          </cell>
          <cell r="S3472">
            <v>0.32</v>
          </cell>
        </row>
        <row r="3473">
          <cell r="D3473">
            <v>1208001127</v>
          </cell>
          <cell r="E3473" t="str">
            <v>JOSEPHINE MOLLOY</v>
          </cell>
          <cell r="F3473" t="str">
            <v>D (Amb)</v>
          </cell>
          <cell r="G3473">
            <v>766415</v>
          </cell>
          <cell r="H3473" t="str">
            <v>Ambition</v>
          </cell>
          <cell r="I3473">
            <v>0.8125</v>
          </cell>
          <cell r="J3473">
            <v>0.33333333333333331</v>
          </cell>
          <cell r="K3473">
            <v>11.8333333333333</v>
          </cell>
          <cell r="L3473">
            <v>601.49</v>
          </cell>
          <cell r="O3473" t="str">
            <v>Y</v>
          </cell>
          <cell r="P3473" t="str">
            <v>N</v>
          </cell>
          <cell r="Q3473" t="str">
            <v>Vacancy</v>
          </cell>
          <cell r="S3473">
            <v>0.32</v>
          </cell>
        </row>
        <row r="3474">
          <cell r="D3474">
            <v>1208001908</v>
          </cell>
          <cell r="E3474" t="str">
            <v>KEN GOORDIN</v>
          </cell>
          <cell r="F3474" t="str">
            <v>D (Ch)</v>
          </cell>
          <cell r="G3474">
            <v>17530</v>
          </cell>
          <cell r="H3474" t="str">
            <v>Choice</v>
          </cell>
          <cell r="I3474">
            <v>0.83333333333333337</v>
          </cell>
          <cell r="J3474">
            <v>0.33333333333333331</v>
          </cell>
          <cell r="K3474">
            <v>11.3333333333333</v>
          </cell>
          <cell r="L3474">
            <v>359.05</v>
          </cell>
          <cell r="M3474">
            <v>378.07</v>
          </cell>
          <cell r="O3474" t="str">
            <v>Y</v>
          </cell>
          <cell r="P3474" t="str">
            <v>N</v>
          </cell>
          <cell r="Q3474" t="str">
            <v>Specials</v>
          </cell>
          <cell r="S3474">
            <v>0.3</v>
          </cell>
        </row>
        <row r="3475">
          <cell r="D3475">
            <v>1208002004</v>
          </cell>
          <cell r="E3475" t="str">
            <v>LETECIA MENIANO</v>
          </cell>
          <cell r="F3475" t="str">
            <v>D (MD)</v>
          </cell>
          <cell r="G3475">
            <v>352138</v>
          </cell>
          <cell r="H3475" t="str">
            <v>Mayday</v>
          </cell>
          <cell r="I3475">
            <v>0.83333333333333337</v>
          </cell>
          <cell r="J3475">
            <v>0.33333333333333331</v>
          </cell>
          <cell r="K3475">
            <v>11.3333333333333</v>
          </cell>
          <cell r="L3475">
            <v>475.74</v>
          </cell>
          <cell r="O3475" t="str">
            <v>Y</v>
          </cell>
          <cell r="P3475" t="str">
            <v>N</v>
          </cell>
          <cell r="Q3475" t="str">
            <v>Extra Capacity</v>
          </cell>
          <cell r="S3475">
            <v>0.3</v>
          </cell>
        </row>
        <row r="3476">
          <cell r="D3476">
            <v>1208000578</v>
          </cell>
          <cell r="E3476" t="str">
            <v>LOUISE CULLEN</v>
          </cell>
          <cell r="F3476" t="str">
            <v>D (Amb)</v>
          </cell>
          <cell r="G3476">
            <v>779407</v>
          </cell>
          <cell r="H3476" t="str">
            <v>Ambition</v>
          </cell>
          <cell r="I3476">
            <v>0.3125</v>
          </cell>
          <cell r="J3476">
            <v>0.64583333333333337</v>
          </cell>
          <cell r="K3476">
            <v>7.6666666666666696</v>
          </cell>
          <cell r="L3476">
            <v>299.77</v>
          </cell>
          <cell r="O3476" t="str">
            <v>Y</v>
          </cell>
          <cell r="P3476" t="str">
            <v>N</v>
          </cell>
          <cell r="Q3476" t="str">
            <v>Extra Capacity</v>
          </cell>
          <cell r="S3476">
            <v>0.2</v>
          </cell>
        </row>
        <row r="3477">
          <cell r="D3477">
            <v>1208002002</v>
          </cell>
          <cell r="E3477" t="str">
            <v>MABEL MNISI</v>
          </cell>
          <cell r="F3477" t="str">
            <v>D (MD)</v>
          </cell>
          <cell r="G3477">
            <v>352006</v>
          </cell>
          <cell r="H3477" t="str">
            <v>Mayday</v>
          </cell>
          <cell r="I3477">
            <v>0.83333333333333337</v>
          </cell>
          <cell r="J3477">
            <v>0.33333333333333331</v>
          </cell>
          <cell r="K3477">
            <v>11.3333333333333</v>
          </cell>
          <cell r="L3477">
            <v>475.74</v>
          </cell>
          <cell r="O3477" t="str">
            <v>Y</v>
          </cell>
          <cell r="P3477" t="str">
            <v>N</v>
          </cell>
          <cell r="Q3477" t="str">
            <v>Extra Capacity</v>
          </cell>
          <cell r="S3477">
            <v>0.3</v>
          </cell>
        </row>
        <row r="3478">
          <cell r="D3478">
            <v>1208003484</v>
          </cell>
          <cell r="E3478" t="str">
            <v>MARGARET MUKUWIRI</v>
          </cell>
          <cell r="F3478" t="str">
            <v>D (MD)</v>
          </cell>
          <cell r="G3478">
            <v>352186</v>
          </cell>
          <cell r="H3478" t="str">
            <v>Mayday</v>
          </cell>
          <cell r="I3478">
            <v>0.83333333333333337</v>
          </cell>
          <cell r="J3478">
            <v>0.33333333333333331</v>
          </cell>
          <cell r="K3478">
            <v>11</v>
          </cell>
          <cell r="L3478">
            <v>461.75</v>
          </cell>
          <cell r="O3478" t="str">
            <v>Y</v>
          </cell>
          <cell r="P3478" t="str">
            <v>N</v>
          </cell>
          <cell r="Q3478" t="str">
            <v>Extra Capacity</v>
          </cell>
          <cell r="S3478">
            <v>0.28999999999999998</v>
          </cell>
        </row>
        <row r="3479">
          <cell r="D3479">
            <v>1208000585</v>
          </cell>
          <cell r="E3479" t="str">
            <v>MARIA MACEIRAS</v>
          </cell>
          <cell r="F3479" t="str">
            <v>A (Ch)</v>
          </cell>
          <cell r="G3479">
            <v>17524</v>
          </cell>
          <cell r="H3479" t="str">
            <v>Choice</v>
          </cell>
          <cell r="I3479">
            <v>0.3125</v>
          </cell>
          <cell r="J3479">
            <v>0.64583333333333337</v>
          </cell>
          <cell r="K3479">
            <v>7.6666666666666696</v>
          </cell>
          <cell r="L3479">
            <v>85.02</v>
          </cell>
          <cell r="O3479" t="str">
            <v>Y</v>
          </cell>
          <cell r="P3479" t="str">
            <v>N</v>
          </cell>
          <cell r="Q3479" t="str">
            <v>Extra Capacity</v>
          </cell>
          <cell r="S3479">
            <v>0.2</v>
          </cell>
        </row>
        <row r="3480">
          <cell r="D3480">
            <v>1208000588</v>
          </cell>
          <cell r="E3480" t="str">
            <v>MARIA MACEIRAS</v>
          </cell>
          <cell r="F3480" t="str">
            <v>A (Ch)</v>
          </cell>
          <cell r="G3480">
            <v>17524</v>
          </cell>
          <cell r="H3480" t="str">
            <v>Choice</v>
          </cell>
          <cell r="I3480">
            <v>0.64583333333333337</v>
          </cell>
          <cell r="J3480">
            <v>0.85416666666666663</v>
          </cell>
          <cell r="K3480">
            <v>5</v>
          </cell>
          <cell r="L3480">
            <v>55.45</v>
          </cell>
          <cell r="O3480" t="str">
            <v>Y</v>
          </cell>
          <cell r="P3480" t="str">
            <v>N</v>
          </cell>
          <cell r="Q3480" t="str">
            <v>Extra Capacity</v>
          </cell>
          <cell r="S3480">
            <v>0.13</v>
          </cell>
        </row>
        <row r="3481">
          <cell r="D3481">
            <v>1208001943</v>
          </cell>
          <cell r="E3481" t="str">
            <v>MERCY AFELE</v>
          </cell>
          <cell r="F3481" t="str">
            <v>D (MD)</v>
          </cell>
          <cell r="G3481">
            <v>352053</v>
          </cell>
          <cell r="H3481" t="str">
            <v>Mayday</v>
          </cell>
          <cell r="I3481">
            <v>0.3125</v>
          </cell>
          <cell r="J3481">
            <v>0.625</v>
          </cell>
          <cell r="K3481">
            <v>7.1666666666666696</v>
          </cell>
          <cell r="L3481">
            <v>231.41</v>
          </cell>
          <cell r="O3481" t="str">
            <v>Y</v>
          </cell>
          <cell r="P3481" t="str">
            <v>N</v>
          </cell>
          <cell r="Q3481" t="str">
            <v>Extra Capacity</v>
          </cell>
          <cell r="S3481">
            <v>0.19</v>
          </cell>
        </row>
        <row r="3482">
          <cell r="D3482">
            <v>1208001976</v>
          </cell>
          <cell r="E3482" t="str">
            <v>MERCY AFELE</v>
          </cell>
          <cell r="F3482" t="str">
            <v>D (MD)</v>
          </cell>
          <cell r="G3482">
            <v>352053</v>
          </cell>
          <cell r="H3482" t="str">
            <v>Mayday</v>
          </cell>
          <cell r="I3482">
            <v>0.625</v>
          </cell>
          <cell r="J3482">
            <v>0.85416666666666663</v>
          </cell>
          <cell r="K3482">
            <v>5.5</v>
          </cell>
          <cell r="L3482">
            <v>177.59</v>
          </cell>
          <cell r="O3482" t="str">
            <v>Y</v>
          </cell>
          <cell r="P3482" t="str">
            <v>N</v>
          </cell>
          <cell r="Q3482" t="str">
            <v>Extra Capacity</v>
          </cell>
          <cell r="S3482">
            <v>0.15</v>
          </cell>
        </row>
        <row r="3483">
          <cell r="D3483">
            <v>1208002005</v>
          </cell>
          <cell r="E3483" t="str">
            <v>METTA SUNDAY</v>
          </cell>
          <cell r="F3483" t="str">
            <v>D (Amb)</v>
          </cell>
          <cell r="G3483">
            <v>766208</v>
          </cell>
          <cell r="H3483" t="str">
            <v>Ambition</v>
          </cell>
          <cell r="I3483">
            <v>0.83333333333333337</v>
          </cell>
          <cell r="J3483">
            <v>0.33333333333333331</v>
          </cell>
          <cell r="K3483">
            <v>11.3333333333333</v>
          </cell>
          <cell r="L3483">
            <v>576.07000000000005</v>
          </cell>
          <cell r="O3483" t="str">
            <v>Y</v>
          </cell>
          <cell r="P3483" t="str">
            <v>N</v>
          </cell>
          <cell r="Q3483" t="str">
            <v>Extra Capacity</v>
          </cell>
          <cell r="S3483">
            <v>0.3</v>
          </cell>
        </row>
        <row r="3484">
          <cell r="D3484">
            <v>1208001845</v>
          </cell>
          <cell r="E3484" t="str">
            <v>MICHAEL OKE</v>
          </cell>
          <cell r="F3484" t="str">
            <v>A (Ch)</v>
          </cell>
          <cell r="G3484">
            <v>17524</v>
          </cell>
          <cell r="H3484" t="str">
            <v>Choice</v>
          </cell>
          <cell r="I3484">
            <v>0.3125</v>
          </cell>
          <cell r="J3484">
            <v>0.64583333333333337</v>
          </cell>
          <cell r="K3484">
            <v>7.6666666666666696</v>
          </cell>
          <cell r="L3484">
            <v>85.02</v>
          </cell>
          <cell r="O3484" t="str">
            <v>Y</v>
          </cell>
          <cell r="P3484" t="str">
            <v>N</v>
          </cell>
          <cell r="Q3484" t="str">
            <v>Extra Capacity</v>
          </cell>
          <cell r="S3484">
            <v>0.2</v>
          </cell>
        </row>
        <row r="3485">
          <cell r="D3485">
            <v>1208001848</v>
          </cell>
          <cell r="E3485" t="str">
            <v>MICHAEL OKE</v>
          </cell>
          <cell r="F3485" t="str">
            <v>A (Ch)</v>
          </cell>
          <cell r="G3485">
            <v>17524</v>
          </cell>
          <cell r="H3485" t="str">
            <v>Choice</v>
          </cell>
          <cell r="I3485">
            <v>0.64583333333333337</v>
          </cell>
          <cell r="J3485">
            <v>0.85416666666666663</v>
          </cell>
          <cell r="K3485">
            <v>5</v>
          </cell>
          <cell r="L3485">
            <v>55.45</v>
          </cell>
          <cell r="O3485" t="str">
            <v>Y</v>
          </cell>
          <cell r="P3485" t="str">
            <v>N</v>
          </cell>
          <cell r="Q3485" t="str">
            <v>Extra Capacity</v>
          </cell>
          <cell r="S3485">
            <v>0.13</v>
          </cell>
        </row>
        <row r="3486">
          <cell r="D3486">
            <v>1108004813</v>
          </cell>
          <cell r="E3486" t="str">
            <v>MIHAELA CHIRIBAU</v>
          </cell>
          <cell r="F3486" t="str">
            <v>D (MD)</v>
          </cell>
          <cell r="G3486">
            <v>352036</v>
          </cell>
          <cell r="H3486" t="str">
            <v>Mayday</v>
          </cell>
          <cell r="I3486">
            <v>0.3125</v>
          </cell>
          <cell r="J3486">
            <v>0.64583333333333337</v>
          </cell>
          <cell r="K3486">
            <v>7.6666666666666696</v>
          </cell>
          <cell r="L3486">
            <v>247.56</v>
          </cell>
          <cell r="O3486" t="str">
            <v>Y</v>
          </cell>
          <cell r="P3486" t="str">
            <v>N</v>
          </cell>
          <cell r="Q3486" t="str">
            <v>Vacancy</v>
          </cell>
          <cell r="S3486">
            <v>0.2</v>
          </cell>
        </row>
        <row r="3487">
          <cell r="D3487">
            <v>1108004814</v>
          </cell>
          <cell r="E3487" t="str">
            <v>MIHAELA CHIRIBAU</v>
          </cell>
          <cell r="F3487" t="str">
            <v>D (MD)</v>
          </cell>
          <cell r="G3487">
            <v>352036</v>
          </cell>
          <cell r="H3487" t="str">
            <v>Mayday</v>
          </cell>
          <cell r="I3487">
            <v>0.64583333333333337</v>
          </cell>
          <cell r="J3487">
            <v>0.85416666666666663</v>
          </cell>
          <cell r="K3487">
            <v>5</v>
          </cell>
          <cell r="L3487">
            <v>161.44999999999999</v>
          </cell>
          <cell r="O3487" t="str">
            <v>Y</v>
          </cell>
          <cell r="P3487" t="str">
            <v>N</v>
          </cell>
          <cell r="Q3487" t="str">
            <v>Vacancy</v>
          </cell>
          <cell r="S3487">
            <v>0.13</v>
          </cell>
        </row>
        <row r="3488">
          <cell r="D3488">
            <v>1208000580</v>
          </cell>
          <cell r="E3488" t="str">
            <v>MMAKOOTANE NGOMANE</v>
          </cell>
          <cell r="F3488" t="str">
            <v>D (Amb)</v>
          </cell>
          <cell r="G3488">
            <v>772150</v>
          </cell>
          <cell r="H3488" t="str">
            <v>Ambition</v>
          </cell>
          <cell r="I3488">
            <v>0.64583333333333337</v>
          </cell>
          <cell r="J3488">
            <v>0.85416666666666663</v>
          </cell>
          <cell r="K3488">
            <v>5</v>
          </cell>
          <cell r="L3488">
            <v>195.5</v>
          </cell>
          <cell r="O3488" t="str">
            <v>Y</v>
          </cell>
          <cell r="P3488" t="str">
            <v>N</v>
          </cell>
          <cell r="Q3488" t="str">
            <v>Extra Capacity</v>
          </cell>
          <cell r="S3488">
            <v>0.13</v>
          </cell>
        </row>
        <row r="3489">
          <cell r="D3489">
            <v>1208001180</v>
          </cell>
          <cell r="E3489" t="str">
            <v>MZUKISI SPEELMAN</v>
          </cell>
          <cell r="F3489" t="str">
            <v>A (Ch)</v>
          </cell>
          <cell r="G3489">
            <v>17517</v>
          </cell>
          <cell r="H3489" t="str">
            <v>Choice</v>
          </cell>
          <cell r="I3489">
            <v>0.3125</v>
          </cell>
          <cell r="J3489">
            <v>0.85416666666666663</v>
          </cell>
          <cell r="K3489">
            <v>12.3333333333333</v>
          </cell>
          <cell r="L3489">
            <v>136.78</v>
          </cell>
          <cell r="O3489" t="str">
            <v>Y</v>
          </cell>
          <cell r="P3489" t="str">
            <v>N</v>
          </cell>
          <cell r="Q3489" t="str">
            <v>Under Established</v>
          </cell>
          <cell r="S3489">
            <v>0.33</v>
          </cell>
        </row>
        <row r="3490">
          <cell r="D3490">
            <v>1208003482</v>
          </cell>
          <cell r="E3490" t="str">
            <v>NIKKI ANDERTON</v>
          </cell>
          <cell r="F3490" t="str">
            <v>D (MD)</v>
          </cell>
          <cell r="G3490">
            <v>350630</v>
          </cell>
          <cell r="H3490" t="str">
            <v>Mayday</v>
          </cell>
          <cell r="I3490">
            <v>0.3125</v>
          </cell>
          <cell r="J3490">
            <v>0.85416666666666663</v>
          </cell>
          <cell r="K3490">
            <v>12.3333333333333</v>
          </cell>
          <cell r="L3490">
            <v>398.24</v>
          </cell>
          <cell r="O3490" t="str">
            <v>Y</v>
          </cell>
          <cell r="P3490" t="str">
            <v>N</v>
          </cell>
          <cell r="Q3490" t="str">
            <v>Extra Capacity</v>
          </cell>
          <cell r="S3490">
            <v>0.33</v>
          </cell>
        </row>
        <row r="3491">
          <cell r="D3491">
            <v>1208002434</v>
          </cell>
          <cell r="E3491" t="str">
            <v>NILO DANUGO</v>
          </cell>
          <cell r="F3491" t="str">
            <v>D (Ch)</v>
          </cell>
          <cell r="G3491">
            <v>17514</v>
          </cell>
          <cell r="H3491" t="str">
            <v>Choice</v>
          </cell>
          <cell r="I3491">
            <v>0.84375</v>
          </cell>
          <cell r="J3491">
            <v>0.3125</v>
          </cell>
          <cell r="K3491">
            <v>10.25</v>
          </cell>
          <cell r="L3491">
            <v>324.73</v>
          </cell>
          <cell r="O3491" t="str">
            <v>Y</v>
          </cell>
          <cell r="P3491" t="str">
            <v>N</v>
          </cell>
          <cell r="Q3491" t="str">
            <v>Under Established</v>
          </cell>
          <cell r="S3491">
            <v>0.27</v>
          </cell>
        </row>
        <row r="3492">
          <cell r="D3492">
            <v>1208002003</v>
          </cell>
          <cell r="E3492" t="str">
            <v>OMAR SENGHORE</v>
          </cell>
          <cell r="F3492" t="str">
            <v>D (MD)</v>
          </cell>
          <cell r="G3492">
            <v>352061</v>
          </cell>
          <cell r="H3492" t="str">
            <v>Mayday</v>
          </cell>
          <cell r="I3492">
            <v>0.83333333333333337</v>
          </cell>
          <cell r="J3492">
            <v>0.33333333333333331</v>
          </cell>
          <cell r="K3492">
            <v>11.3333333333333</v>
          </cell>
          <cell r="L3492">
            <v>475.74</v>
          </cell>
          <cell r="O3492" t="str">
            <v>Y</v>
          </cell>
          <cell r="P3492" t="str">
            <v>N</v>
          </cell>
          <cell r="Q3492" t="str">
            <v>Extra Capacity</v>
          </cell>
          <cell r="S3492">
            <v>0.3</v>
          </cell>
        </row>
        <row r="3493">
          <cell r="D3493">
            <v>1108004615</v>
          </cell>
          <cell r="E3493" t="str">
            <v>PEGGY CHIRIKURE</v>
          </cell>
          <cell r="F3493" t="str">
            <v>D (Ch)</v>
          </cell>
          <cell r="G3493">
            <v>17704</v>
          </cell>
          <cell r="H3493" t="str">
            <v>Choice</v>
          </cell>
          <cell r="I3493">
            <v>0.3125</v>
          </cell>
          <cell r="J3493">
            <v>0.5625</v>
          </cell>
          <cell r="K3493">
            <v>5.6666666666666696</v>
          </cell>
          <cell r="L3493">
            <v>138.1</v>
          </cell>
          <cell r="O3493" t="str">
            <v>Y</v>
          </cell>
          <cell r="P3493" t="str">
            <v>N</v>
          </cell>
          <cell r="Q3493" t="str">
            <v>Long Term Sick</v>
          </cell>
          <cell r="S3493">
            <v>0.15</v>
          </cell>
        </row>
        <row r="3494">
          <cell r="D3494">
            <v>1108005187</v>
          </cell>
          <cell r="E3494" t="str">
            <v>PEGGY CHIRIKURE</v>
          </cell>
          <cell r="F3494" t="str">
            <v>D (Ch)</v>
          </cell>
          <cell r="G3494">
            <v>17704</v>
          </cell>
          <cell r="H3494" t="str">
            <v>Choice</v>
          </cell>
          <cell r="I3494">
            <v>0.5625</v>
          </cell>
          <cell r="J3494">
            <v>0.85416666666666663</v>
          </cell>
          <cell r="K3494">
            <v>6.6666666666666696</v>
          </cell>
          <cell r="L3494">
            <v>162.47</v>
          </cell>
          <cell r="O3494" t="str">
            <v>Y</v>
          </cell>
          <cell r="P3494" t="str">
            <v>N</v>
          </cell>
          <cell r="Q3494" t="str">
            <v>Nurse Moved</v>
          </cell>
          <cell r="S3494">
            <v>0.18</v>
          </cell>
        </row>
        <row r="3495">
          <cell r="D3495">
            <v>1108000790</v>
          </cell>
          <cell r="E3495" t="str">
            <v>PHILILE NDLANGAMANDLA</v>
          </cell>
          <cell r="F3495" t="str">
            <v>D (Ch)</v>
          </cell>
          <cell r="H3495" t="str">
            <v>Choice</v>
          </cell>
          <cell r="I3495">
            <v>0.82291666666666663</v>
          </cell>
          <cell r="J3495">
            <v>0.34375</v>
          </cell>
          <cell r="K3495">
            <v>11.5</v>
          </cell>
          <cell r="L3495">
            <v>364.33</v>
          </cell>
          <cell r="O3495" t="str">
            <v>Y</v>
          </cell>
          <cell r="P3495" t="str">
            <v>N</v>
          </cell>
          <cell r="Q3495" t="str">
            <v>Vacancy</v>
          </cell>
          <cell r="S3495">
            <v>0.31</v>
          </cell>
        </row>
        <row r="3496">
          <cell r="D3496">
            <v>1008006930</v>
          </cell>
          <cell r="E3496" t="str">
            <v>PHILLY NYONI</v>
          </cell>
          <cell r="F3496" t="str">
            <v>D (Amb)</v>
          </cell>
          <cell r="G3496">
            <v>767275</v>
          </cell>
          <cell r="H3496" t="str">
            <v>Ambition</v>
          </cell>
          <cell r="I3496">
            <v>0.625</v>
          </cell>
          <cell r="J3496">
            <v>0.85416666666666663</v>
          </cell>
          <cell r="K3496">
            <v>5.5</v>
          </cell>
          <cell r="L3496">
            <v>215.05</v>
          </cell>
          <cell r="O3496" t="str">
            <v>Y</v>
          </cell>
          <cell r="P3496" t="str">
            <v>N</v>
          </cell>
          <cell r="Q3496" t="str">
            <v>Vacancy</v>
          </cell>
          <cell r="S3496">
            <v>0.15</v>
          </cell>
        </row>
        <row r="3497">
          <cell r="D3497">
            <v>1208000767</v>
          </cell>
          <cell r="E3497" t="str">
            <v>ROHEYATOU NDOW-NJIE</v>
          </cell>
          <cell r="F3497" t="str">
            <v>D (Ch)</v>
          </cell>
          <cell r="G3497">
            <v>17776</v>
          </cell>
          <cell r="H3497" t="str">
            <v>Choice</v>
          </cell>
          <cell r="I3497">
            <v>0.3125</v>
          </cell>
          <cell r="J3497">
            <v>0.60416666666666663</v>
          </cell>
          <cell r="K3497">
            <v>6.6666666666666696</v>
          </cell>
          <cell r="L3497">
            <v>162.47</v>
          </cell>
          <cell r="O3497" t="str">
            <v>Y</v>
          </cell>
          <cell r="P3497" t="str">
            <v>N</v>
          </cell>
          <cell r="Q3497" t="str">
            <v>Extra Capacity</v>
          </cell>
          <cell r="S3497">
            <v>0.18</v>
          </cell>
        </row>
        <row r="3498">
          <cell r="D3498">
            <v>1208000768</v>
          </cell>
          <cell r="E3498" t="str">
            <v>ROHEYATOU NDOW-NJIE</v>
          </cell>
          <cell r="F3498" t="str">
            <v>D (Ch)</v>
          </cell>
          <cell r="G3498">
            <v>17776</v>
          </cell>
          <cell r="H3498" t="str">
            <v>Choice</v>
          </cell>
          <cell r="I3498">
            <v>0.60416666666666663</v>
          </cell>
          <cell r="J3498">
            <v>0.85416666666666663</v>
          </cell>
          <cell r="K3498">
            <v>5.6666666666666696</v>
          </cell>
          <cell r="L3498">
            <v>138.1</v>
          </cell>
          <cell r="O3498" t="str">
            <v>Y</v>
          </cell>
          <cell r="P3498" t="str">
            <v>N</v>
          </cell>
          <cell r="Q3498" t="str">
            <v>Extra Capacity</v>
          </cell>
          <cell r="S3498">
            <v>0.15</v>
          </cell>
        </row>
        <row r="3499">
          <cell r="D3499">
            <v>1208000770</v>
          </cell>
          <cell r="E3499" t="str">
            <v>SAM KELEM</v>
          </cell>
          <cell r="F3499" t="str">
            <v>D (Ch)</v>
          </cell>
          <cell r="G3499">
            <v>17522</v>
          </cell>
          <cell r="H3499" t="str">
            <v>Choice</v>
          </cell>
          <cell r="I3499">
            <v>0.83333333333333337</v>
          </cell>
          <cell r="J3499">
            <v>0.33333333333333331</v>
          </cell>
          <cell r="K3499">
            <v>11.3333333333333</v>
          </cell>
          <cell r="L3499">
            <v>359.05</v>
          </cell>
          <cell r="O3499" t="str">
            <v>Y</v>
          </cell>
          <cell r="P3499" t="str">
            <v>N</v>
          </cell>
          <cell r="Q3499" t="str">
            <v>Extra Capacity</v>
          </cell>
          <cell r="S3499">
            <v>0.3</v>
          </cell>
        </row>
        <row r="3500">
          <cell r="D3500">
            <v>1208000771</v>
          </cell>
          <cell r="E3500" t="str">
            <v>SAMSON BARACENA</v>
          </cell>
          <cell r="F3500" t="str">
            <v>D (Ch)</v>
          </cell>
          <cell r="G3500">
            <v>17522</v>
          </cell>
          <cell r="H3500" t="str">
            <v>Choice</v>
          </cell>
          <cell r="I3500">
            <v>0.83333333333333337</v>
          </cell>
          <cell r="J3500">
            <v>0.33333333333333331</v>
          </cell>
          <cell r="K3500">
            <v>11.3333333333333</v>
          </cell>
          <cell r="L3500">
            <v>359.05</v>
          </cell>
          <cell r="O3500" t="str">
            <v>Y</v>
          </cell>
          <cell r="P3500" t="str">
            <v>N</v>
          </cell>
          <cell r="Q3500" t="str">
            <v>Extra Capacity</v>
          </cell>
          <cell r="S3500">
            <v>0.3</v>
          </cell>
        </row>
        <row r="3501">
          <cell r="D3501">
            <v>1208001906</v>
          </cell>
          <cell r="E3501" t="str">
            <v>SARAH MAKOTORE</v>
          </cell>
          <cell r="F3501" t="str">
            <v>D (Ch)</v>
          </cell>
          <cell r="H3501" t="str">
            <v>Choice</v>
          </cell>
          <cell r="I3501">
            <v>0.3125</v>
          </cell>
          <cell r="J3501">
            <v>0.85416666666666663</v>
          </cell>
          <cell r="K3501">
            <v>12.3333333333333</v>
          </cell>
          <cell r="L3501">
            <v>300.56</v>
          </cell>
          <cell r="O3501" t="str">
            <v>Y</v>
          </cell>
          <cell r="P3501" t="str">
            <v>N</v>
          </cell>
          <cell r="Q3501" t="str">
            <v>Specials</v>
          </cell>
          <cell r="S3501">
            <v>0.33</v>
          </cell>
        </row>
        <row r="3502">
          <cell r="D3502">
            <v>1208001067</v>
          </cell>
          <cell r="E3502" t="str">
            <v>SELINAH BAKASA</v>
          </cell>
          <cell r="F3502" t="str">
            <v>D (Ch)</v>
          </cell>
          <cell r="H3502" t="str">
            <v>Choice</v>
          </cell>
          <cell r="I3502">
            <v>0.625</v>
          </cell>
          <cell r="J3502">
            <v>0.85416666666666663</v>
          </cell>
          <cell r="K3502">
            <v>5.5</v>
          </cell>
          <cell r="L3502">
            <v>134.03</v>
          </cell>
          <cell r="O3502" t="str">
            <v>Y</v>
          </cell>
          <cell r="P3502" t="str">
            <v>N</v>
          </cell>
          <cell r="Q3502" t="str">
            <v>Vacancy</v>
          </cell>
          <cell r="S3502">
            <v>0.15</v>
          </cell>
        </row>
        <row r="3503">
          <cell r="D3503">
            <v>1208000355</v>
          </cell>
          <cell r="E3503" t="str">
            <v>SHAUN MCKEE</v>
          </cell>
          <cell r="F3503" t="str">
            <v>D (Amb)</v>
          </cell>
          <cell r="G3503">
            <v>774200</v>
          </cell>
          <cell r="H3503" t="str">
            <v>Ambition</v>
          </cell>
          <cell r="I3503">
            <v>0.625</v>
          </cell>
          <cell r="J3503">
            <v>0.875</v>
          </cell>
          <cell r="K3503">
            <v>5.6666666666666696</v>
          </cell>
          <cell r="L3503">
            <v>221.57</v>
          </cell>
          <cell r="O3503" t="str">
            <v>Y</v>
          </cell>
          <cell r="P3503" t="str">
            <v>N</v>
          </cell>
          <cell r="Q3503" t="str">
            <v>Extra Capacity</v>
          </cell>
          <cell r="S3503">
            <v>0.15</v>
          </cell>
        </row>
        <row r="3504">
          <cell r="D3504">
            <v>1208001675</v>
          </cell>
          <cell r="E3504" t="str">
            <v>STANLEY IGWE</v>
          </cell>
          <cell r="F3504" t="str">
            <v>2 General (Adva</v>
          </cell>
          <cell r="G3504">
            <v>1414011</v>
          </cell>
          <cell r="H3504" t="str">
            <v>Advantage</v>
          </cell>
          <cell r="I3504">
            <v>0.88541666666666663</v>
          </cell>
          <cell r="J3504">
            <v>0.3125</v>
          </cell>
          <cell r="K3504">
            <v>9.25</v>
          </cell>
          <cell r="L3504">
            <v>114.33</v>
          </cell>
          <cell r="O3504" t="str">
            <v>Y</v>
          </cell>
          <cell r="P3504" t="str">
            <v>N</v>
          </cell>
          <cell r="Q3504" t="str">
            <v>Specials</v>
          </cell>
          <cell r="S3504">
            <v>0.25</v>
          </cell>
        </row>
        <row r="3505">
          <cell r="D3505">
            <v>1208002392</v>
          </cell>
          <cell r="E3505" t="str">
            <v>STEPHEN FERNANDEZ</v>
          </cell>
          <cell r="F3505" t="str">
            <v>D (MD)</v>
          </cell>
          <cell r="H3505" t="str">
            <v>Mayday</v>
          </cell>
          <cell r="I3505">
            <v>0.3125</v>
          </cell>
          <cell r="J3505">
            <v>0.85416666666666663</v>
          </cell>
          <cell r="K3505">
            <v>12.3333333333333</v>
          </cell>
          <cell r="L3505">
            <v>398.24</v>
          </cell>
          <cell r="O3505" t="str">
            <v>Y</v>
          </cell>
          <cell r="P3505" t="str">
            <v>N</v>
          </cell>
          <cell r="Q3505" t="str">
            <v>Extra Capacity</v>
          </cell>
          <cell r="S3505">
            <v>0.33</v>
          </cell>
        </row>
        <row r="3506">
          <cell r="D3506">
            <v>1108002172</v>
          </cell>
          <cell r="E3506" t="str">
            <v>TEMBE NGIDI</v>
          </cell>
          <cell r="F3506" t="str">
            <v>D (MD)</v>
          </cell>
          <cell r="G3506">
            <v>351122</v>
          </cell>
          <cell r="H3506" t="str">
            <v>Mayday</v>
          </cell>
          <cell r="I3506">
            <v>0.84375</v>
          </cell>
          <cell r="J3506">
            <v>0.3125</v>
          </cell>
          <cell r="K3506">
            <v>10.25</v>
          </cell>
          <cell r="L3506">
            <v>430.26</v>
          </cell>
          <cell r="O3506" t="str">
            <v>Y</v>
          </cell>
          <cell r="P3506" t="str">
            <v>N</v>
          </cell>
          <cell r="Q3506" t="str">
            <v>Vacancy</v>
          </cell>
          <cell r="S3506">
            <v>0.27</v>
          </cell>
        </row>
        <row r="3507">
          <cell r="D3507">
            <v>1208000579</v>
          </cell>
          <cell r="E3507" t="str">
            <v>TERESA RADEJKO</v>
          </cell>
          <cell r="F3507" t="str">
            <v>D (Amb)</v>
          </cell>
          <cell r="G3507">
            <v>766421</v>
          </cell>
          <cell r="H3507" t="str">
            <v>Ambition</v>
          </cell>
          <cell r="I3507">
            <v>0.3125</v>
          </cell>
          <cell r="J3507">
            <v>0.64583333333333337</v>
          </cell>
          <cell r="K3507">
            <v>7.6666666666666696</v>
          </cell>
          <cell r="L3507">
            <v>299.77</v>
          </cell>
          <cell r="O3507" t="str">
            <v>Y</v>
          </cell>
          <cell r="P3507" t="str">
            <v>N</v>
          </cell>
          <cell r="Q3507" t="str">
            <v>Extra Capacity</v>
          </cell>
          <cell r="S3507">
            <v>0.2</v>
          </cell>
        </row>
        <row r="3508">
          <cell r="D3508">
            <v>1208000581</v>
          </cell>
          <cell r="E3508" t="str">
            <v>TERESA RADEJKO</v>
          </cell>
          <cell r="F3508" t="str">
            <v>D (Amb)</v>
          </cell>
          <cell r="G3508">
            <v>766421</v>
          </cell>
          <cell r="H3508" t="str">
            <v>Ambition</v>
          </cell>
          <cell r="I3508">
            <v>0.64583333333333337</v>
          </cell>
          <cell r="J3508">
            <v>0.85416666666666663</v>
          </cell>
          <cell r="K3508">
            <v>5</v>
          </cell>
          <cell r="L3508">
            <v>195.5</v>
          </cell>
          <cell r="O3508" t="str">
            <v>Y</v>
          </cell>
          <cell r="P3508" t="str">
            <v>N</v>
          </cell>
          <cell r="Q3508" t="str">
            <v>Extra Capacity</v>
          </cell>
          <cell r="S3508">
            <v>0.13</v>
          </cell>
        </row>
        <row r="3509">
          <cell r="D3509">
            <v>1208002435</v>
          </cell>
          <cell r="E3509" t="str">
            <v>VICTORIA MAESTRANI</v>
          </cell>
          <cell r="F3509" t="str">
            <v>D (MD)</v>
          </cell>
          <cell r="G3509">
            <v>353539</v>
          </cell>
          <cell r="H3509" t="str">
            <v>Mayday</v>
          </cell>
          <cell r="I3509">
            <v>0.3125</v>
          </cell>
          <cell r="J3509">
            <v>0.85416666666666663</v>
          </cell>
          <cell r="K3509">
            <v>12.3333333333333</v>
          </cell>
          <cell r="L3509">
            <v>398.24</v>
          </cell>
          <cell r="O3509" t="str">
            <v>Y</v>
          </cell>
          <cell r="P3509" t="str">
            <v>N</v>
          </cell>
          <cell r="Q3509" t="str">
            <v>Short Term Sick</v>
          </cell>
          <cell r="S3509">
            <v>0.33</v>
          </cell>
        </row>
        <row r="3510">
          <cell r="D3510">
            <v>1208002704</v>
          </cell>
          <cell r="E3510" t="str">
            <v>ZOE SALVEFEN</v>
          </cell>
          <cell r="F3510" t="str">
            <v>D (MD)</v>
          </cell>
          <cell r="G3510">
            <v>351442</v>
          </cell>
          <cell r="H3510" t="str">
            <v>Mayday</v>
          </cell>
          <cell r="I3510">
            <v>0.82291666666666663</v>
          </cell>
          <cell r="J3510">
            <v>0.34375</v>
          </cell>
          <cell r="K3510">
            <v>11.8333333333333</v>
          </cell>
          <cell r="L3510">
            <v>496.73</v>
          </cell>
          <cell r="O3510" t="str">
            <v>Y</v>
          </cell>
          <cell r="P3510" t="str">
            <v>N</v>
          </cell>
          <cell r="Q3510" t="str">
            <v>Short Term Sick</v>
          </cell>
          <cell r="S3510">
            <v>0.32</v>
          </cell>
        </row>
        <row r="3511">
          <cell r="D3511">
            <v>1108006222</v>
          </cell>
          <cell r="E3511" t="str">
            <v>ADEOLA SOGBESAN</v>
          </cell>
          <cell r="F3511" t="str">
            <v>D (MD)</v>
          </cell>
          <cell r="G3511">
            <v>359869</v>
          </cell>
          <cell r="H3511" t="str">
            <v>Mayday</v>
          </cell>
          <cell r="I3511">
            <v>0.3125</v>
          </cell>
          <cell r="J3511">
            <v>0.83333333333333337</v>
          </cell>
          <cell r="K3511">
            <v>11.8333333333333</v>
          </cell>
          <cell r="L3511">
            <v>382.1</v>
          </cell>
          <cell r="O3511" t="str">
            <v>Y</v>
          </cell>
          <cell r="P3511" t="str">
            <v>N</v>
          </cell>
          <cell r="Q3511" t="str">
            <v>Short Term Sick</v>
          </cell>
          <cell r="S3511">
            <v>0.32</v>
          </cell>
        </row>
        <row r="3512">
          <cell r="D3512">
            <v>1208001949</v>
          </cell>
          <cell r="E3512" t="str">
            <v>ALAN ROWLATT-HARROD</v>
          </cell>
          <cell r="F3512" t="str">
            <v>D (Amb)</v>
          </cell>
          <cell r="G3512">
            <v>766166</v>
          </cell>
          <cell r="H3512" t="str">
            <v>Ambition</v>
          </cell>
          <cell r="I3512">
            <v>0.3125</v>
          </cell>
          <cell r="J3512">
            <v>0.625</v>
          </cell>
          <cell r="K3512">
            <v>7.1666666666666696</v>
          </cell>
          <cell r="L3512">
            <v>280.22000000000003</v>
          </cell>
          <cell r="O3512" t="str">
            <v>Y</v>
          </cell>
          <cell r="P3512" t="str">
            <v>N</v>
          </cell>
          <cell r="Q3512" t="str">
            <v>Extra Capacity</v>
          </cell>
          <cell r="S3512">
            <v>0.19</v>
          </cell>
        </row>
        <row r="3513">
          <cell r="D3513">
            <v>1208001981</v>
          </cell>
          <cell r="E3513" t="str">
            <v>ALAN ROWLATT-HARROD</v>
          </cell>
          <cell r="F3513" t="str">
            <v>D (Amb)</v>
          </cell>
          <cell r="G3513">
            <v>766166</v>
          </cell>
          <cell r="H3513" t="str">
            <v>Ambition</v>
          </cell>
          <cell r="I3513">
            <v>0.625</v>
          </cell>
          <cell r="J3513">
            <v>0.85416666666666663</v>
          </cell>
          <cell r="K3513">
            <v>5.5</v>
          </cell>
          <cell r="L3513">
            <v>215.05</v>
          </cell>
          <cell r="O3513" t="str">
            <v>Y</v>
          </cell>
          <cell r="P3513" t="str">
            <v>N</v>
          </cell>
          <cell r="Q3513" t="str">
            <v>Extra Capacity</v>
          </cell>
          <cell r="S3513">
            <v>0.15</v>
          </cell>
        </row>
        <row r="3514">
          <cell r="D3514">
            <v>1208001945</v>
          </cell>
          <cell r="E3514" t="str">
            <v>ALLI SUBRAMANIAM</v>
          </cell>
          <cell r="F3514" t="str">
            <v>D (MD)</v>
          </cell>
          <cell r="G3514">
            <v>352299</v>
          </cell>
          <cell r="H3514" t="str">
            <v>Mayday</v>
          </cell>
          <cell r="I3514">
            <v>0.3125</v>
          </cell>
          <cell r="J3514">
            <v>0.625</v>
          </cell>
          <cell r="K3514">
            <v>7.1666666666666696</v>
          </cell>
          <cell r="L3514">
            <v>231.41</v>
          </cell>
          <cell r="O3514" t="str">
            <v>Y</v>
          </cell>
          <cell r="P3514" t="str">
            <v>N</v>
          </cell>
          <cell r="Q3514" t="str">
            <v>Extra Capacity</v>
          </cell>
          <cell r="S3514">
            <v>0.19</v>
          </cell>
        </row>
        <row r="3515">
          <cell r="D3515">
            <v>1208001979</v>
          </cell>
          <cell r="E3515" t="str">
            <v>ALLI SUBRAMANIAM</v>
          </cell>
          <cell r="F3515" t="str">
            <v>D (MD)</v>
          </cell>
          <cell r="G3515">
            <v>352299</v>
          </cell>
          <cell r="H3515" t="str">
            <v>Mayday</v>
          </cell>
          <cell r="I3515">
            <v>0.625</v>
          </cell>
          <cell r="J3515">
            <v>0.85416666666666663</v>
          </cell>
          <cell r="K3515">
            <v>5.5</v>
          </cell>
          <cell r="L3515">
            <v>177.59</v>
          </cell>
          <cell r="O3515" t="str">
            <v>Y</v>
          </cell>
          <cell r="P3515" t="str">
            <v>N</v>
          </cell>
          <cell r="Q3515" t="str">
            <v>Extra Capacity</v>
          </cell>
          <cell r="S3515">
            <v>0.15</v>
          </cell>
        </row>
        <row r="3516">
          <cell r="D3516">
            <v>1208001367</v>
          </cell>
          <cell r="E3516" t="str">
            <v>ANDREA VENEURELA</v>
          </cell>
          <cell r="F3516" t="str">
            <v>D (Ch)</v>
          </cell>
          <cell r="G3516">
            <v>17713</v>
          </cell>
          <cell r="H3516" t="str">
            <v>Choice</v>
          </cell>
          <cell r="I3516">
            <v>0.875</v>
          </cell>
          <cell r="J3516">
            <v>0.32291666666666669</v>
          </cell>
          <cell r="K3516">
            <v>10</v>
          </cell>
          <cell r="L3516">
            <v>316.81</v>
          </cell>
          <cell r="O3516" t="str">
            <v>Y</v>
          </cell>
          <cell r="P3516" t="str">
            <v>N</v>
          </cell>
          <cell r="Q3516" t="str">
            <v>Specials</v>
          </cell>
          <cell r="S3516">
            <v>0.27</v>
          </cell>
        </row>
        <row r="3517">
          <cell r="D3517">
            <v>1208002737</v>
          </cell>
          <cell r="E3517" t="str">
            <v>ATINUKE OKE-OLATUNDE</v>
          </cell>
          <cell r="F3517" t="str">
            <v>D (MD)</v>
          </cell>
          <cell r="G3517">
            <v>352912</v>
          </cell>
          <cell r="H3517" t="str">
            <v>Mayday</v>
          </cell>
          <cell r="I3517">
            <v>0.83333333333333337</v>
          </cell>
          <cell r="J3517">
            <v>0.33333333333333331</v>
          </cell>
          <cell r="K3517">
            <v>11.8333333333333</v>
          </cell>
          <cell r="L3517">
            <v>496.73</v>
          </cell>
          <cell r="O3517" t="str">
            <v>Y</v>
          </cell>
          <cell r="P3517" t="str">
            <v>N</v>
          </cell>
          <cell r="Q3517" t="str">
            <v>Under Established</v>
          </cell>
          <cell r="S3517">
            <v>0.32</v>
          </cell>
        </row>
        <row r="3518">
          <cell r="D3518">
            <v>1008006934</v>
          </cell>
          <cell r="E3518" t="str">
            <v>BERNADETTE SHINYA-NDUNUWANI</v>
          </cell>
          <cell r="F3518" t="str">
            <v>D (MD)</v>
          </cell>
          <cell r="G3518">
            <v>350052</v>
          </cell>
          <cell r="H3518" t="str">
            <v>Mayday</v>
          </cell>
          <cell r="I3518">
            <v>0.625</v>
          </cell>
          <cell r="J3518">
            <v>0.85416666666666663</v>
          </cell>
          <cell r="K3518">
            <v>5.5</v>
          </cell>
          <cell r="L3518">
            <v>177.59</v>
          </cell>
          <cell r="O3518" t="str">
            <v>Y</v>
          </cell>
          <cell r="P3518" t="str">
            <v>N</v>
          </cell>
          <cell r="Q3518" t="str">
            <v>Vacancy</v>
          </cell>
          <cell r="S3518">
            <v>0.15</v>
          </cell>
        </row>
        <row r="3519">
          <cell r="D3519">
            <v>1108003572</v>
          </cell>
          <cell r="E3519" t="str">
            <v>BERNADETTE SHINYA-NDUNUWANI</v>
          </cell>
          <cell r="F3519" t="str">
            <v>D (MD)</v>
          </cell>
          <cell r="G3519">
            <v>350052</v>
          </cell>
          <cell r="H3519" t="str">
            <v>Mayday</v>
          </cell>
          <cell r="I3519">
            <v>0.3125</v>
          </cell>
          <cell r="J3519">
            <v>0.5625</v>
          </cell>
          <cell r="K3519">
            <v>5.6666666666666696</v>
          </cell>
          <cell r="L3519">
            <v>182.98</v>
          </cell>
          <cell r="O3519" t="str">
            <v>Y</v>
          </cell>
          <cell r="P3519" t="str">
            <v>N</v>
          </cell>
          <cell r="Q3519" t="str">
            <v>Vacancy</v>
          </cell>
          <cell r="S3519">
            <v>0.15</v>
          </cell>
        </row>
        <row r="3520">
          <cell r="D3520">
            <v>1208002008</v>
          </cell>
          <cell r="E3520" t="str">
            <v>BHEENADEVI BASSOO</v>
          </cell>
          <cell r="F3520" t="str">
            <v>D (MD)</v>
          </cell>
          <cell r="G3520">
            <v>354013</v>
          </cell>
          <cell r="H3520" t="str">
            <v>Mayday</v>
          </cell>
          <cell r="I3520">
            <v>0.83333333333333337</v>
          </cell>
          <cell r="J3520">
            <v>0.33333333333333331</v>
          </cell>
          <cell r="K3520">
            <v>11.3333333333333</v>
          </cell>
          <cell r="L3520">
            <v>475.74</v>
          </cell>
          <cell r="O3520" t="str">
            <v>Y</v>
          </cell>
          <cell r="P3520" t="str">
            <v>N</v>
          </cell>
          <cell r="Q3520" t="str">
            <v>Extra Capacity</v>
          </cell>
          <cell r="S3520">
            <v>0.3</v>
          </cell>
        </row>
        <row r="3521">
          <cell r="D3521">
            <v>1208002006</v>
          </cell>
          <cell r="E3521" t="str">
            <v>BONITA BUTLER</v>
          </cell>
          <cell r="F3521" t="str">
            <v>D (MD)</v>
          </cell>
          <cell r="G3521">
            <v>350063</v>
          </cell>
          <cell r="H3521" t="str">
            <v>Mayday</v>
          </cell>
          <cell r="I3521">
            <v>0.83333333333333337</v>
          </cell>
          <cell r="J3521">
            <v>0.33333333333333331</v>
          </cell>
          <cell r="K3521">
            <v>11.3333333333333</v>
          </cell>
          <cell r="L3521">
            <v>475.74</v>
          </cell>
          <cell r="O3521" t="str">
            <v>Y</v>
          </cell>
          <cell r="P3521" t="str">
            <v>N</v>
          </cell>
          <cell r="Q3521" t="str">
            <v>Extra Capacity</v>
          </cell>
          <cell r="S3521">
            <v>0.3</v>
          </cell>
        </row>
        <row r="3522">
          <cell r="D3522">
            <v>1108006229</v>
          </cell>
          <cell r="E3522" t="str">
            <v>BRIGHTNESS NDEBELE</v>
          </cell>
          <cell r="F3522" t="str">
            <v>D (MD)</v>
          </cell>
          <cell r="G3522">
            <v>352279</v>
          </cell>
          <cell r="H3522" t="str">
            <v>Mayday</v>
          </cell>
          <cell r="I3522">
            <v>0.3125</v>
          </cell>
          <cell r="J3522">
            <v>0.83333333333333337</v>
          </cell>
          <cell r="K3522">
            <v>11.8333333333333</v>
          </cell>
          <cell r="L3522">
            <v>382.1</v>
          </cell>
          <cell r="O3522" t="str">
            <v>Y</v>
          </cell>
          <cell r="P3522" t="str">
            <v>N</v>
          </cell>
          <cell r="Q3522" t="str">
            <v>Vacancy</v>
          </cell>
          <cell r="S3522">
            <v>0.32</v>
          </cell>
        </row>
        <row r="3523">
          <cell r="D3523">
            <v>1208000777</v>
          </cell>
          <cell r="E3523" t="str">
            <v>CARL HIBBERT</v>
          </cell>
          <cell r="F3523" t="str">
            <v>D (Ch)</v>
          </cell>
          <cell r="H3523" t="str">
            <v>Choice</v>
          </cell>
          <cell r="I3523">
            <v>0.83333333333333337</v>
          </cell>
          <cell r="J3523">
            <v>0.33333333333333331</v>
          </cell>
          <cell r="K3523">
            <v>11.3333333333333</v>
          </cell>
          <cell r="L3523">
            <v>359.05</v>
          </cell>
          <cell r="O3523" t="str">
            <v>Y</v>
          </cell>
          <cell r="P3523" t="str">
            <v>N</v>
          </cell>
          <cell r="Q3523" t="str">
            <v>Extra Capacity</v>
          </cell>
          <cell r="S3523">
            <v>0.3</v>
          </cell>
        </row>
        <row r="3524">
          <cell r="D3524">
            <v>1108002182</v>
          </cell>
          <cell r="E3524" t="str">
            <v>CATH CHIDAVAYENZI</v>
          </cell>
          <cell r="F3524" t="str">
            <v>D (Ch)</v>
          </cell>
          <cell r="G3524">
            <v>17514</v>
          </cell>
          <cell r="H3524" t="str">
            <v>Choice</v>
          </cell>
          <cell r="I3524">
            <v>0.84375</v>
          </cell>
          <cell r="J3524">
            <v>0.3125</v>
          </cell>
          <cell r="K3524">
            <v>10.25</v>
          </cell>
          <cell r="L3524">
            <v>324.73</v>
          </cell>
          <cell r="O3524" t="str">
            <v>Y</v>
          </cell>
          <cell r="P3524" t="str">
            <v>N</v>
          </cell>
          <cell r="Q3524" t="str">
            <v>Vacancy</v>
          </cell>
          <cell r="S3524">
            <v>0.27</v>
          </cell>
        </row>
        <row r="3525">
          <cell r="D3525">
            <v>1208002777</v>
          </cell>
          <cell r="E3525" t="str">
            <v>COLLEN SIBANDA</v>
          </cell>
          <cell r="F3525" t="str">
            <v>D (Ch)</v>
          </cell>
          <cell r="G3525">
            <v>17524</v>
          </cell>
          <cell r="H3525" t="str">
            <v>Choice</v>
          </cell>
          <cell r="I3525">
            <v>0.3125</v>
          </cell>
          <cell r="J3525">
            <v>0.83333333333333337</v>
          </cell>
          <cell r="K3525">
            <v>12</v>
          </cell>
          <cell r="L3525">
            <v>292.44</v>
          </cell>
          <cell r="O3525" t="str">
            <v>Y</v>
          </cell>
          <cell r="P3525" t="str">
            <v>N</v>
          </cell>
          <cell r="Q3525" t="str">
            <v>Short Term Sick</v>
          </cell>
          <cell r="S3525">
            <v>0.32</v>
          </cell>
        </row>
        <row r="3526">
          <cell r="D3526">
            <v>1108000340</v>
          </cell>
          <cell r="E3526" t="str">
            <v>CYNTHIA DELMO</v>
          </cell>
          <cell r="F3526" t="str">
            <v>D (Ch)</v>
          </cell>
          <cell r="G3526">
            <v>17524</v>
          </cell>
          <cell r="H3526" t="str">
            <v>Choice</v>
          </cell>
          <cell r="I3526">
            <v>0.83333333333333337</v>
          </cell>
          <cell r="J3526">
            <v>0.33333333333333331</v>
          </cell>
          <cell r="K3526">
            <v>11</v>
          </cell>
          <cell r="L3526">
            <v>348.49</v>
          </cell>
          <cell r="O3526" t="str">
            <v>Y</v>
          </cell>
          <cell r="P3526" t="str">
            <v>N</v>
          </cell>
          <cell r="Q3526" t="str">
            <v>Vacancy</v>
          </cell>
          <cell r="S3526">
            <v>0.28999999999999998</v>
          </cell>
        </row>
        <row r="3527">
          <cell r="D3527">
            <v>1208000698</v>
          </cell>
          <cell r="E3527" t="str">
            <v>DAMILOLA AIKI</v>
          </cell>
          <cell r="F3527" t="str">
            <v>A (Ch)</v>
          </cell>
          <cell r="G3527">
            <v>17524</v>
          </cell>
          <cell r="H3527" t="str">
            <v>Choice</v>
          </cell>
          <cell r="I3527">
            <v>0.3125</v>
          </cell>
          <cell r="J3527">
            <v>0.64583333333333337</v>
          </cell>
          <cell r="K3527">
            <v>7.6666666666666696</v>
          </cell>
          <cell r="L3527">
            <v>85.02</v>
          </cell>
          <cell r="O3527" t="str">
            <v>Y</v>
          </cell>
          <cell r="P3527" t="str">
            <v>N</v>
          </cell>
          <cell r="Q3527" t="str">
            <v>Extra Capacity</v>
          </cell>
          <cell r="S3527">
            <v>0.2</v>
          </cell>
        </row>
        <row r="3528">
          <cell r="D3528">
            <v>1208000701</v>
          </cell>
          <cell r="E3528" t="str">
            <v>DAMILOLA AIKI</v>
          </cell>
          <cell r="F3528" t="str">
            <v>A (Ch)</v>
          </cell>
          <cell r="G3528">
            <v>17524</v>
          </cell>
          <cell r="H3528" t="str">
            <v>Choice</v>
          </cell>
          <cell r="I3528">
            <v>0.64583333333333337</v>
          </cell>
          <cell r="J3528">
            <v>0.85416666666666663</v>
          </cell>
          <cell r="K3528">
            <v>5</v>
          </cell>
          <cell r="L3528">
            <v>55.45</v>
          </cell>
          <cell r="O3528" t="str">
            <v>Y</v>
          </cell>
          <cell r="P3528" t="str">
            <v>N</v>
          </cell>
          <cell r="Q3528" t="str">
            <v>Extra Capacity</v>
          </cell>
          <cell r="S3528">
            <v>0.13</v>
          </cell>
        </row>
        <row r="3529">
          <cell r="D3529">
            <v>1208001919</v>
          </cell>
          <cell r="E3529" t="str">
            <v>DENNIS DVENGE</v>
          </cell>
          <cell r="F3529" t="str">
            <v>D (Ch)</v>
          </cell>
          <cell r="H3529" t="str">
            <v>Choice</v>
          </cell>
          <cell r="I3529">
            <v>0.83333333333333337</v>
          </cell>
          <cell r="J3529">
            <v>0.33333333333333331</v>
          </cell>
          <cell r="K3529">
            <v>11.3333333333333</v>
          </cell>
          <cell r="L3529">
            <v>359.05</v>
          </cell>
          <cell r="O3529" t="str">
            <v>Y</v>
          </cell>
          <cell r="P3529" t="str">
            <v>N</v>
          </cell>
          <cell r="Q3529" t="str">
            <v>Specials</v>
          </cell>
          <cell r="S3529">
            <v>0.3</v>
          </cell>
        </row>
        <row r="3530">
          <cell r="D3530">
            <v>1108002180</v>
          </cell>
          <cell r="E3530" t="str">
            <v>EDMA ITALIA</v>
          </cell>
          <cell r="F3530" t="str">
            <v>D (Ch)</v>
          </cell>
          <cell r="G3530">
            <v>17514</v>
          </cell>
          <cell r="H3530" t="str">
            <v>Choice</v>
          </cell>
          <cell r="I3530">
            <v>0.84375</v>
          </cell>
          <cell r="J3530">
            <v>0.3125</v>
          </cell>
          <cell r="K3530">
            <v>10.25</v>
          </cell>
          <cell r="L3530">
            <v>324.73</v>
          </cell>
          <cell r="O3530" t="str">
            <v>Y</v>
          </cell>
          <cell r="P3530" t="str">
            <v>N</v>
          </cell>
          <cell r="Q3530" t="str">
            <v>Vacancy</v>
          </cell>
          <cell r="S3530">
            <v>0.27</v>
          </cell>
        </row>
        <row r="3531">
          <cell r="D3531">
            <v>1208000693</v>
          </cell>
          <cell r="E3531" t="str">
            <v>ELEANOR LEYSO</v>
          </cell>
          <cell r="F3531" t="str">
            <v>D (Amb)</v>
          </cell>
          <cell r="G3531">
            <v>766190</v>
          </cell>
          <cell r="H3531" t="str">
            <v>Ambition</v>
          </cell>
          <cell r="I3531">
            <v>0.52083333333333337</v>
          </cell>
          <cell r="J3531">
            <v>0.85416666666666663</v>
          </cell>
          <cell r="K3531">
            <v>7.6666666666666696</v>
          </cell>
          <cell r="L3531">
            <v>299.77</v>
          </cell>
          <cell r="O3531" t="str">
            <v>Y</v>
          </cell>
          <cell r="P3531" t="str">
            <v>N</v>
          </cell>
          <cell r="Q3531" t="str">
            <v>Extra Capacity</v>
          </cell>
          <cell r="S3531">
            <v>0.2</v>
          </cell>
        </row>
        <row r="3532">
          <cell r="D3532">
            <v>1208002864</v>
          </cell>
          <cell r="E3532" t="str">
            <v>ELLEN HALCROW</v>
          </cell>
          <cell r="F3532" t="str">
            <v>D (Amb)</v>
          </cell>
          <cell r="G3532">
            <v>766164</v>
          </cell>
          <cell r="H3532" t="str">
            <v>Ambition</v>
          </cell>
          <cell r="I3532">
            <v>0.625</v>
          </cell>
          <cell r="J3532">
            <v>0.875</v>
          </cell>
          <cell r="K3532">
            <v>5.6666666666666696</v>
          </cell>
          <cell r="L3532">
            <v>221.57</v>
          </cell>
          <cell r="O3532" t="str">
            <v>Y</v>
          </cell>
          <cell r="P3532" t="str">
            <v>N</v>
          </cell>
          <cell r="Q3532" t="str">
            <v>Short Term Sick</v>
          </cell>
          <cell r="S3532">
            <v>0.15</v>
          </cell>
        </row>
        <row r="3533">
          <cell r="D3533">
            <v>1208000691</v>
          </cell>
          <cell r="E3533" t="str">
            <v>EVELYN PANESA</v>
          </cell>
          <cell r="F3533" t="str">
            <v>D (Ch)</v>
          </cell>
          <cell r="G3533">
            <v>17524</v>
          </cell>
          <cell r="H3533" t="str">
            <v>Choice</v>
          </cell>
          <cell r="I3533">
            <v>0.3125</v>
          </cell>
          <cell r="J3533">
            <v>0.64583333333333337</v>
          </cell>
          <cell r="K3533">
            <v>7.6666666666666696</v>
          </cell>
          <cell r="L3533">
            <v>186.84</v>
          </cell>
          <cell r="O3533" t="str">
            <v>Y</v>
          </cell>
          <cell r="P3533" t="str">
            <v>N</v>
          </cell>
          <cell r="Q3533" t="str">
            <v>Extra Capacity</v>
          </cell>
          <cell r="S3533">
            <v>0.2</v>
          </cell>
        </row>
        <row r="3534">
          <cell r="D3534">
            <v>1208000694</v>
          </cell>
          <cell r="E3534" t="str">
            <v>EVELYN PANESA</v>
          </cell>
          <cell r="F3534" t="str">
            <v>D (Ch)</v>
          </cell>
          <cell r="G3534">
            <v>17524</v>
          </cell>
          <cell r="H3534" t="str">
            <v>Choice</v>
          </cell>
          <cell r="I3534">
            <v>0.64583333333333337</v>
          </cell>
          <cell r="J3534">
            <v>0.85416666666666663</v>
          </cell>
          <cell r="K3534">
            <v>5</v>
          </cell>
          <cell r="L3534">
            <v>121.85</v>
          </cell>
          <cell r="O3534" t="str">
            <v>Y</v>
          </cell>
          <cell r="P3534" t="str">
            <v>N</v>
          </cell>
          <cell r="Q3534" t="str">
            <v>Extra Capacity</v>
          </cell>
          <cell r="S3534">
            <v>0.13</v>
          </cell>
        </row>
        <row r="3535">
          <cell r="D3535">
            <v>1208000700</v>
          </cell>
          <cell r="E3535" t="str">
            <v>FURTHERMORE MUTSINZE</v>
          </cell>
          <cell r="F3535" t="str">
            <v>A (Ch)</v>
          </cell>
          <cell r="G3535">
            <v>17524</v>
          </cell>
          <cell r="H3535" t="str">
            <v>Choice</v>
          </cell>
          <cell r="I3535">
            <v>0.3125</v>
          </cell>
          <cell r="J3535">
            <v>0.64583333333333337</v>
          </cell>
          <cell r="K3535">
            <v>7.6666666666666696</v>
          </cell>
          <cell r="L3535">
            <v>85.02</v>
          </cell>
          <cell r="O3535" t="str">
            <v>Y</v>
          </cell>
          <cell r="P3535" t="str">
            <v>N</v>
          </cell>
          <cell r="Q3535" t="str">
            <v>Extra Capacity</v>
          </cell>
          <cell r="S3535">
            <v>0.2</v>
          </cell>
        </row>
        <row r="3536">
          <cell r="D3536">
            <v>1208000703</v>
          </cell>
          <cell r="E3536" t="str">
            <v>FURTHERMORE MUTSINZE</v>
          </cell>
          <cell r="F3536" t="str">
            <v>A (Ch)</v>
          </cell>
          <cell r="G3536">
            <v>17524</v>
          </cell>
          <cell r="H3536" t="str">
            <v>Choice</v>
          </cell>
          <cell r="I3536">
            <v>0.64583333333333337</v>
          </cell>
          <cell r="J3536">
            <v>0.85416666666666663</v>
          </cell>
          <cell r="K3536">
            <v>5</v>
          </cell>
          <cell r="L3536">
            <v>55.45</v>
          </cell>
          <cell r="O3536" t="str">
            <v>Y</v>
          </cell>
          <cell r="P3536" t="str">
            <v>N</v>
          </cell>
          <cell r="Q3536" t="str">
            <v>Extra Capacity</v>
          </cell>
          <cell r="S3536">
            <v>0.13</v>
          </cell>
        </row>
        <row r="3537">
          <cell r="D3537">
            <v>1008006988</v>
          </cell>
          <cell r="E3537" t="str">
            <v>GALE HARLEY</v>
          </cell>
          <cell r="F3537" t="str">
            <v>D (Amb)</v>
          </cell>
          <cell r="H3537" t="str">
            <v>Ambition</v>
          </cell>
          <cell r="I3537">
            <v>0.32291666666666669</v>
          </cell>
          <cell r="J3537">
            <v>0.84375</v>
          </cell>
          <cell r="K3537">
            <v>11.8333333333333</v>
          </cell>
          <cell r="L3537">
            <v>462.68</v>
          </cell>
          <cell r="O3537" t="str">
            <v>Y</v>
          </cell>
          <cell r="P3537" t="str">
            <v>N</v>
          </cell>
          <cell r="Q3537" t="str">
            <v>Vacancy</v>
          </cell>
          <cell r="S3537">
            <v>0.32</v>
          </cell>
        </row>
        <row r="3538">
          <cell r="D3538">
            <v>1208000696</v>
          </cell>
          <cell r="E3538" t="str">
            <v>GERTHY ALBANO</v>
          </cell>
          <cell r="F3538" t="str">
            <v>D (Ch)</v>
          </cell>
          <cell r="H3538" t="str">
            <v>Choice</v>
          </cell>
          <cell r="I3538">
            <v>0.83333333333333337</v>
          </cell>
          <cell r="J3538">
            <v>0.33333333333333331</v>
          </cell>
          <cell r="K3538">
            <v>11.3333333333333</v>
          </cell>
          <cell r="L3538">
            <v>359.05</v>
          </cell>
          <cell r="O3538" t="str">
            <v>Y</v>
          </cell>
          <cell r="P3538" t="str">
            <v>N</v>
          </cell>
          <cell r="Q3538" t="str">
            <v>Extra Capacity</v>
          </cell>
          <cell r="S3538">
            <v>0.3</v>
          </cell>
        </row>
        <row r="3539">
          <cell r="D3539">
            <v>1108006244</v>
          </cell>
          <cell r="E3539" t="str">
            <v>GLENDA RONA</v>
          </cell>
          <cell r="F3539" t="str">
            <v>D (Ch)</v>
          </cell>
          <cell r="G3539">
            <v>17528</v>
          </cell>
          <cell r="H3539" t="str">
            <v>Choice</v>
          </cell>
          <cell r="I3539">
            <v>0.8125</v>
          </cell>
          <cell r="J3539">
            <v>0.33333333333333331</v>
          </cell>
          <cell r="K3539">
            <v>11.8333333333333</v>
          </cell>
          <cell r="L3539">
            <v>374.89</v>
          </cell>
          <cell r="O3539" t="str">
            <v>Y</v>
          </cell>
          <cell r="P3539" t="str">
            <v>N</v>
          </cell>
          <cell r="Q3539" t="str">
            <v>Vacancy</v>
          </cell>
          <cell r="S3539">
            <v>0.32</v>
          </cell>
        </row>
        <row r="3540">
          <cell r="D3540">
            <v>1108006613</v>
          </cell>
          <cell r="E3540" t="str">
            <v>JAKE BROOKES</v>
          </cell>
          <cell r="F3540" t="str">
            <v>D General (Orio</v>
          </cell>
          <cell r="G3540" t="str">
            <v>Invsd Smt checked</v>
          </cell>
          <cell r="H3540" t="str">
            <v>Orion</v>
          </cell>
          <cell r="I3540">
            <v>0.33333333333333331</v>
          </cell>
          <cell r="J3540">
            <v>0.75</v>
          </cell>
          <cell r="K3540">
            <v>9.6666666666666696</v>
          </cell>
          <cell r="L3540">
            <v>175.16</v>
          </cell>
          <cell r="O3540" t="str">
            <v>Y</v>
          </cell>
          <cell r="P3540" t="str">
            <v>N</v>
          </cell>
          <cell r="Q3540" t="str">
            <v>Long Term Sick</v>
          </cell>
          <cell r="S3540">
            <v>0.26</v>
          </cell>
        </row>
        <row r="3541">
          <cell r="D3541">
            <v>1208000773</v>
          </cell>
          <cell r="E3541" t="str">
            <v>JAMES MCCLEMENTS</v>
          </cell>
          <cell r="F3541" t="str">
            <v>D (MD)</v>
          </cell>
          <cell r="G3541">
            <v>351090</v>
          </cell>
          <cell r="H3541" t="str">
            <v>Mayday</v>
          </cell>
          <cell r="I3541">
            <v>0.3125</v>
          </cell>
          <cell r="J3541">
            <v>0.60416666666666663</v>
          </cell>
          <cell r="K3541">
            <v>6.6666666666666696</v>
          </cell>
          <cell r="L3541">
            <v>215.27</v>
          </cell>
          <cell r="O3541" t="str">
            <v>Y</v>
          </cell>
          <cell r="P3541" t="str">
            <v>N</v>
          </cell>
          <cell r="Q3541" t="str">
            <v>Extra Capacity</v>
          </cell>
          <cell r="S3541">
            <v>0.18</v>
          </cell>
        </row>
        <row r="3542">
          <cell r="D3542">
            <v>1208000776</v>
          </cell>
          <cell r="E3542" t="str">
            <v>JAMES MCCLEMENTS</v>
          </cell>
          <cell r="F3542" t="str">
            <v>D (MD)</v>
          </cell>
          <cell r="G3542">
            <v>351090</v>
          </cell>
          <cell r="H3542" t="str">
            <v>Mayday</v>
          </cell>
          <cell r="I3542">
            <v>0.60416666666666663</v>
          </cell>
          <cell r="J3542">
            <v>0.85416666666666663</v>
          </cell>
          <cell r="K3542">
            <v>5.6666666666666696</v>
          </cell>
          <cell r="L3542">
            <v>182.98</v>
          </cell>
          <cell r="O3542" t="str">
            <v>Y</v>
          </cell>
          <cell r="P3542" t="str">
            <v>N</v>
          </cell>
          <cell r="Q3542" t="str">
            <v>Extra Capacity</v>
          </cell>
          <cell r="S3542">
            <v>0.15</v>
          </cell>
        </row>
        <row r="3543">
          <cell r="D3543">
            <v>1208003379</v>
          </cell>
          <cell r="E3543" t="str">
            <v>JANINE NICHOLS</v>
          </cell>
          <cell r="F3543" t="str">
            <v>D (MD)</v>
          </cell>
          <cell r="G3543">
            <v>351462</v>
          </cell>
          <cell r="H3543" t="str">
            <v>Mayday</v>
          </cell>
          <cell r="I3543">
            <v>0.3125</v>
          </cell>
          <cell r="J3543">
            <v>0.5625</v>
          </cell>
          <cell r="K3543">
            <v>5.6666666666666696</v>
          </cell>
          <cell r="L3543">
            <v>182.98</v>
          </cell>
          <cell r="O3543" t="str">
            <v>Y</v>
          </cell>
          <cell r="P3543" t="str">
            <v>N</v>
          </cell>
          <cell r="Q3543" t="str">
            <v>Acuity</v>
          </cell>
          <cell r="S3543">
            <v>0.15</v>
          </cell>
        </row>
        <row r="3544">
          <cell r="D3544">
            <v>1108006236</v>
          </cell>
          <cell r="E3544" t="str">
            <v>JASMINE ESGUERRA</v>
          </cell>
          <cell r="F3544" t="str">
            <v>D (Ch)</v>
          </cell>
          <cell r="G3544">
            <v>17520</v>
          </cell>
          <cell r="H3544" t="str">
            <v>Choice</v>
          </cell>
          <cell r="I3544">
            <v>0.8125</v>
          </cell>
          <cell r="J3544">
            <v>0.33333333333333331</v>
          </cell>
          <cell r="K3544">
            <v>11.8333333333333</v>
          </cell>
          <cell r="L3544">
            <v>374.89</v>
          </cell>
          <cell r="O3544" t="str">
            <v>Y</v>
          </cell>
          <cell r="P3544" t="str">
            <v>N</v>
          </cell>
          <cell r="Q3544" t="str">
            <v>Short Term Sick</v>
          </cell>
          <cell r="S3544">
            <v>0.32</v>
          </cell>
        </row>
        <row r="3545">
          <cell r="D3545">
            <v>1108002175</v>
          </cell>
          <cell r="E3545" t="str">
            <v>JOANNE BUSS</v>
          </cell>
          <cell r="F3545" t="str">
            <v>D (MD)</v>
          </cell>
          <cell r="G3545">
            <v>351138</v>
          </cell>
          <cell r="H3545" t="str">
            <v>Mayday</v>
          </cell>
          <cell r="I3545">
            <v>0.3125</v>
          </cell>
          <cell r="J3545">
            <v>0.85416666666666663</v>
          </cell>
          <cell r="K3545">
            <v>12.5</v>
          </cell>
          <cell r="L3545">
            <v>403.63</v>
          </cell>
          <cell r="O3545" t="str">
            <v>Y</v>
          </cell>
          <cell r="P3545" t="str">
            <v>N</v>
          </cell>
          <cell r="Q3545" t="str">
            <v>Vacancy</v>
          </cell>
          <cell r="S3545">
            <v>0.33</v>
          </cell>
        </row>
        <row r="3546">
          <cell r="D3546">
            <v>1208001128</v>
          </cell>
          <cell r="E3546" t="str">
            <v>JOSEPHINE MOLLOY</v>
          </cell>
          <cell r="F3546" t="str">
            <v>D (Amb)</v>
          </cell>
          <cell r="G3546">
            <v>766411</v>
          </cell>
          <cell r="H3546" t="str">
            <v>Ambition</v>
          </cell>
          <cell r="I3546">
            <v>0.8125</v>
          </cell>
          <cell r="J3546">
            <v>0.33333333333333331</v>
          </cell>
          <cell r="K3546">
            <v>11.8333333333333</v>
          </cell>
          <cell r="L3546">
            <v>601.49</v>
          </cell>
          <cell r="O3546" t="str">
            <v>Y</v>
          </cell>
          <cell r="P3546" t="str">
            <v>N</v>
          </cell>
          <cell r="Q3546" t="str">
            <v>Vacancy</v>
          </cell>
          <cell r="S3546">
            <v>0.32</v>
          </cell>
        </row>
        <row r="3547">
          <cell r="D3547">
            <v>1208003483</v>
          </cell>
          <cell r="E3547" t="str">
            <v>KATH WILDREDGE</v>
          </cell>
          <cell r="F3547" t="str">
            <v>D (MD)</v>
          </cell>
          <cell r="G3547">
            <v>351098</v>
          </cell>
          <cell r="H3547" t="str">
            <v>Mayday</v>
          </cell>
          <cell r="I3547">
            <v>0.83333333333333337</v>
          </cell>
          <cell r="J3547">
            <v>0.33333333333333331</v>
          </cell>
          <cell r="K3547">
            <v>11</v>
          </cell>
          <cell r="L3547">
            <v>461.75</v>
          </cell>
          <cell r="O3547" t="str">
            <v>Y</v>
          </cell>
          <cell r="P3547" t="str">
            <v>N</v>
          </cell>
          <cell r="Q3547" t="str">
            <v>Extra Capacity</v>
          </cell>
          <cell r="S3547">
            <v>0.28999999999999998</v>
          </cell>
        </row>
        <row r="3548">
          <cell r="D3548">
            <v>1208001933</v>
          </cell>
          <cell r="E3548" t="str">
            <v>KEITH GARRISON</v>
          </cell>
          <cell r="F3548" t="str">
            <v>D Spec (Amb)</v>
          </cell>
          <cell r="G3548">
            <v>766206</v>
          </cell>
          <cell r="H3548" t="str">
            <v>Ambition</v>
          </cell>
          <cell r="I3548">
            <v>0.625</v>
          </cell>
          <cell r="J3548">
            <v>0.88541666666666663</v>
          </cell>
          <cell r="K3548">
            <v>5.9166666666666696</v>
          </cell>
          <cell r="L3548">
            <v>275.13</v>
          </cell>
          <cell r="O3548" t="str">
            <v>Y</v>
          </cell>
          <cell r="P3548" t="str">
            <v>N</v>
          </cell>
          <cell r="Q3548" t="str">
            <v>Specials</v>
          </cell>
          <cell r="S3548">
            <v>0.16</v>
          </cell>
        </row>
        <row r="3549">
          <cell r="D3549">
            <v>1208002917</v>
          </cell>
          <cell r="E3549" t="str">
            <v>KRISHENDAI DOOKIE</v>
          </cell>
          <cell r="F3549" t="str">
            <v>D (Amb)</v>
          </cell>
          <cell r="G3549">
            <v>766333</v>
          </cell>
          <cell r="H3549" t="str">
            <v>Ambition</v>
          </cell>
          <cell r="I3549">
            <v>0.85416666666666663</v>
          </cell>
          <cell r="J3549">
            <v>0.29166666666666669</v>
          </cell>
          <cell r="K3549">
            <v>10.1666666666667</v>
          </cell>
          <cell r="L3549">
            <v>516.77</v>
          </cell>
          <cell r="O3549" t="str">
            <v>Y</v>
          </cell>
          <cell r="P3549" t="str">
            <v>N</v>
          </cell>
          <cell r="Q3549" t="str">
            <v>Short Term Sick</v>
          </cell>
          <cell r="S3549">
            <v>0.27</v>
          </cell>
        </row>
        <row r="3550">
          <cell r="D3550">
            <v>1208002007</v>
          </cell>
          <cell r="E3550" t="str">
            <v>LETECIA MENIANO</v>
          </cell>
          <cell r="F3550" t="str">
            <v>D (MD)</v>
          </cell>
          <cell r="G3550">
            <v>351973</v>
          </cell>
          <cell r="H3550" t="str">
            <v>Mayday</v>
          </cell>
          <cell r="I3550">
            <v>0.83333333333333337</v>
          </cell>
          <cell r="J3550">
            <v>0.33333333333333331</v>
          </cell>
          <cell r="K3550">
            <v>11.3333333333333</v>
          </cell>
          <cell r="L3550">
            <v>475.74</v>
          </cell>
          <cell r="O3550" t="str">
            <v>Y</v>
          </cell>
          <cell r="P3550" t="str">
            <v>N</v>
          </cell>
          <cell r="Q3550" t="str">
            <v>Extra Capacity</v>
          </cell>
          <cell r="S3550">
            <v>0.3</v>
          </cell>
        </row>
        <row r="3551">
          <cell r="D3551">
            <v>1208001857</v>
          </cell>
          <cell r="E3551" t="str">
            <v>LINDIWE DUBE</v>
          </cell>
          <cell r="F3551" t="str">
            <v>D (Amb)</v>
          </cell>
          <cell r="G3551">
            <v>766419</v>
          </cell>
          <cell r="H3551" t="str">
            <v>Ambition</v>
          </cell>
          <cell r="I3551">
            <v>0.3125</v>
          </cell>
          <cell r="J3551">
            <v>0.64583333333333337</v>
          </cell>
          <cell r="K3551">
            <v>7.6666666666666696</v>
          </cell>
          <cell r="L3551">
            <v>299.77</v>
          </cell>
          <cell r="O3551" t="str">
            <v>Y</v>
          </cell>
          <cell r="P3551" t="str">
            <v>N</v>
          </cell>
          <cell r="Q3551" t="str">
            <v>Extra Capacity</v>
          </cell>
          <cell r="S3551">
            <v>0.2</v>
          </cell>
        </row>
        <row r="3552">
          <cell r="D3552">
            <v>1208001861</v>
          </cell>
          <cell r="E3552" t="str">
            <v>LINDIWE DUBE</v>
          </cell>
          <cell r="F3552" t="str">
            <v>D (Amb)</v>
          </cell>
          <cell r="G3552">
            <v>766419</v>
          </cell>
          <cell r="H3552" t="str">
            <v>Ambition</v>
          </cell>
          <cell r="I3552">
            <v>0.64583333333333337</v>
          </cell>
          <cell r="J3552">
            <v>0.85416666666666663</v>
          </cell>
          <cell r="K3552">
            <v>5</v>
          </cell>
          <cell r="L3552">
            <v>195.5</v>
          </cell>
          <cell r="O3552" t="str">
            <v>Y</v>
          </cell>
          <cell r="P3552" t="str">
            <v>N</v>
          </cell>
          <cell r="Q3552" t="str">
            <v>Extra Capacity</v>
          </cell>
          <cell r="S3552">
            <v>0.13</v>
          </cell>
        </row>
        <row r="3553">
          <cell r="D3553">
            <v>1208002009</v>
          </cell>
          <cell r="E3553" t="str">
            <v>MABEL MNISI</v>
          </cell>
          <cell r="F3553" t="str">
            <v>D (MD)</v>
          </cell>
          <cell r="G3553">
            <v>352009</v>
          </cell>
          <cell r="H3553" t="str">
            <v>Mayday</v>
          </cell>
          <cell r="I3553">
            <v>0.83333333333333337</v>
          </cell>
          <cell r="J3553">
            <v>0.33333333333333331</v>
          </cell>
          <cell r="K3553">
            <v>11.3333333333333</v>
          </cell>
          <cell r="L3553">
            <v>475.74</v>
          </cell>
          <cell r="O3553" t="str">
            <v>Y</v>
          </cell>
          <cell r="P3553" t="str">
            <v>N</v>
          </cell>
          <cell r="Q3553" t="str">
            <v>Extra Capacity</v>
          </cell>
          <cell r="S3553">
            <v>0.3</v>
          </cell>
        </row>
        <row r="3554">
          <cell r="D3554">
            <v>1208001948</v>
          </cell>
          <cell r="E3554" t="str">
            <v>MERCY AFELE</v>
          </cell>
          <cell r="F3554" t="str">
            <v>D (MD)</v>
          </cell>
          <cell r="G3554">
            <v>352052</v>
          </cell>
          <cell r="H3554" t="str">
            <v>Mayday</v>
          </cell>
          <cell r="I3554">
            <v>0.3125</v>
          </cell>
          <cell r="J3554">
            <v>0.625</v>
          </cell>
          <cell r="K3554">
            <v>7.1666666666666696</v>
          </cell>
          <cell r="L3554">
            <v>231.41</v>
          </cell>
          <cell r="O3554" t="str">
            <v>Y</v>
          </cell>
          <cell r="P3554" t="str">
            <v>N</v>
          </cell>
          <cell r="Q3554" t="str">
            <v>Extra Capacity</v>
          </cell>
          <cell r="S3554">
            <v>0.19</v>
          </cell>
        </row>
        <row r="3555">
          <cell r="D3555">
            <v>1208001980</v>
          </cell>
          <cell r="E3555" t="str">
            <v>MERCY AFELE</v>
          </cell>
          <cell r="F3555" t="str">
            <v>D (MD)</v>
          </cell>
          <cell r="G3555">
            <v>352052</v>
          </cell>
          <cell r="H3555" t="str">
            <v>Mayday</v>
          </cell>
          <cell r="I3555">
            <v>0.625</v>
          </cell>
          <cell r="J3555">
            <v>0.85416666666666663</v>
          </cell>
          <cell r="K3555">
            <v>5.5</v>
          </cell>
          <cell r="L3555">
            <v>177.59</v>
          </cell>
          <cell r="O3555" t="str">
            <v>Y</v>
          </cell>
          <cell r="P3555" t="str">
            <v>N</v>
          </cell>
          <cell r="Q3555" t="str">
            <v>Extra Capacity</v>
          </cell>
          <cell r="S3555">
            <v>0.15</v>
          </cell>
        </row>
        <row r="3556">
          <cell r="D3556">
            <v>1208001859</v>
          </cell>
          <cell r="E3556" t="str">
            <v>MICHAEL OKE</v>
          </cell>
          <cell r="F3556" t="str">
            <v>A (Ch)</v>
          </cell>
          <cell r="G3556">
            <v>17524</v>
          </cell>
          <cell r="H3556" t="str">
            <v>Choice</v>
          </cell>
          <cell r="I3556">
            <v>0.3125</v>
          </cell>
          <cell r="J3556">
            <v>0.64583333333333337</v>
          </cell>
          <cell r="K3556">
            <v>7.6666666666666696</v>
          </cell>
          <cell r="L3556">
            <v>85.02</v>
          </cell>
          <cell r="O3556" t="str">
            <v>Y</v>
          </cell>
          <cell r="P3556" t="str">
            <v>N</v>
          </cell>
          <cell r="Q3556" t="str">
            <v>Extra Capacity</v>
          </cell>
          <cell r="S3556">
            <v>0.2</v>
          </cell>
        </row>
        <row r="3557">
          <cell r="D3557">
            <v>1208001862</v>
          </cell>
          <cell r="E3557" t="str">
            <v>MICHAEL OKE</v>
          </cell>
          <cell r="F3557" t="str">
            <v>A (Ch)</v>
          </cell>
          <cell r="G3557">
            <v>17524</v>
          </cell>
          <cell r="H3557" t="str">
            <v>Choice</v>
          </cell>
          <cell r="I3557">
            <v>0.64583333333333337</v>
          </cell>
          <cell r="J3557">
            <v>0.85416666666666663</v>
          </cell>
          <cell r="K3557">
            <v>5</v>
          </cell>
          <cell r="L3557">
            <v>55.45</v>
          </cell>
          <cell r="O3557" t="str">
            <v>Y</v>
          </cell>
          <cell r="P3557" t="str">
            <v>N</v>
          </cell>
          <cell r="Q3557" t="str">
            <v>Extra Capacity</v>
          </cell>
          <cell r="S3557">
            <v>0.13</v>
          </cell>
        </row>
        <row r="3558">
          <cell r="D3558">
            <v>1108005806</v>
          </cell>
          <cell r="E3558" t="str">
            <v>MIHAELA CHIRIBAU</v>
          </cell>
          <cell r="F3558" t="str">
            <v>D (MD)</v>
          </cell>
          <cell r="G3558">
            <v>352035</v>
          </cell>
          <cell r="H3558" t="str">
            <v>Mayday</v>
          </cell>
          <cell r="I3558">
            <v>0.3125</v>
          </cell>
          <cell r="J3558">
            <v>0.54166666666666663</v>
          </cell>
          <cell r="K3558">
            <v>5.5</v>
          </cell>
          <cell r="L3558">
            <v>177.59</v>
          </cell>
          <cell r="O3558" t="str">
            <v>Y</v>
          </cell>
          <cell r="P3558" t="str">
            <v>N</v>
          </cell>
          <cell r="Q3558" t="str">
            <v>Short Term Sick</v>
          </cell>
          <cell r="S3558">
            <v>0.15</v>
          </cell>
        </row>
        <row r="3559">
          <cell r="D3559">
            <v>1108005808</v>
          </cell>
          <cell r="E3559" t="str">
            <v>MIHAELA CHIRIBAU</v>
          </cell>
          <cell r="F3559" t="str">
            <v>D (MD)</v>
          </cell>
          <cell r="G3559">
            <v>352035</v>
          </cell>
          <cell r="H3559" t="str">
            <v>Mayday</v>
          </cell>
          <cell r="I3559">
            <v>0.625</v>
          </cell>
          <cell r="J3559">
            <v>0.85416666666666663</v>
          </cell>
          <cell r="K3559">
            <v>5.5</v>
          </cell>
          <cell r="L3559">
            <v>177.59</v>
          </cell>
          <cell r="O3559" t="str">
            <v>Y</v>
          </cell>
          <cell r="P3559" t="str">
            <v>N</v>
          </cell>
          <cell r="Q3559" t="str">
            <v>Extra Capacity</v>
          </cell>
          <cell r="S3559">
            <v>0.15</v>
          </cell>
        </row>
        <row r="3560">
          <cell r="D3560">
            <v>1208000699</v>
          </cell>
          <cell r="E3560" t="str">
            <v>MZUKISI SPEELMAN</v>
          </cell>
          <cell r="F3560" t="str">
            <v>A (Ch)</v>
          </cell>
          <cell r="G3560">
            <v>17514</v>
          </cell>
          <cell r="H3560" t="str">
            <v>Choice</v>
          </cell>
          <cell r="I3560">
            <v>0.3125</v>
          </cell>
          <cell r="J3560">
            <v>0.64583333333333337</v>
          </cell>
          <cell r="K3560">
            <v>7.6666666666666696</v>
          </cell>
          <cell r="L3560">
            <v>85.02</v>
          </cell>
          <cell r="O3560" t="str">
            <v>Y</v>
          </cell>
          <cell r="P3560" t="str">
            <v>N</v>
          </cell>
          <cell r="Q3560" t="str">
            <v>Extra Capacity</v>
          </cell>
          <cell r="S3560">
            <v>0.2</v>
          </cell>
        </row>
        <row r="3561">
          <cell r="D3561">
            <v>1208000702</v>
          </cell>
          <cell r="E3561" t="str">
            <v>MZUKISI SPEELMAN</v>
          </cell>
          <cell r="F3561" t="str">
            <v>A (Ch)</v>
          </cell>
          <cell r="G3561">
            <v>17514</v>
          </cell>
          <cell r="H3561" t="str">
            <v>Choice</v>
          </cell>
          <cell r="I3561">
            <v>0.64583333333333337</v>
          </cell>
          <cell r="J3561">
            <v>0.85416666666666663</v>
          </cell>
          <cell r="K3561">
            <v>5</v>
          </cell>
          <cell r="L3561">
            <v>55.45</v>
          </cell>
          <cell r="O3561" t="str">
            <v>Y</v>
          </cell>
          <cell r="P3561" t="str">
            <v>N</v>
          </cell>
          <cell r="Q3561" t="str">
            <v>Extra Capacity</v>
          </cell>
          <cell r="S3561">
            <v>0.13</v>
          </cell>
        </row>
        <row r="3562">
          <cell r="D3562">
            <v>1208003748</v>
          </cell>
          <cell r="E3562" t="str">
            <v>NIKKI ANDERTON</v>
          </cell>
          <cell r="F3562" t="str">
            <v>D (MD)</v>
          </cell>
          <cell r="G3562">
            <v>350057</v>
          </cell>
          <cell r="H3562" t="str">
            <v>Mayday</v>
          </cell>
          <cell r="I3562">
            <v>0.3125</v>
          </cell>
          <cell r="J3562">
            <v>0.83333333333333337</v>
          </cell>
          <cell r="K3562">
            <v>11.8333333333333</v>
          </cell>
          <cell r="L3562">
            <v>382.1</v>
          </cell>
          <cell r="O3562" t="str">
            <v>Y</v>
          </cell>
          <cell r="P3562" t="str">
            <v>N</v>
          </cell>
          <cell r="Q3562" t="str">
            <v>Short Term Sick</v>
          </cell>
          <cell r="S3562">
            <v>0.32</v>
          </cell>
        </row>
        <row r="3563">
          <cell r="D3563">
            <v>1208000778</v>
          </cell>
          <cell r="E3563" t="str">
            <v>NILO DANUGO</v>
          </cell>
          <cell r="F3563" t="str">
            <v>D (Ch)</v>
          </cell>
          <cell r="H3563" t="str">
            <v>Choice</v>
          </cell>
          <cell r="I3563">
            <v>0.83333333333333337</v>
          </cell>
          <cell r="J3563">
            <v>0.33333333333333331</v>
          </cell>
          <cell r="K3563">
            <v>11.3333333333333</v>
          </cell>
          <cell r="L3563">
            <v>359.05</v>
          </cell>
          <cell r="O3563" t="str">
            <v>Y</v>
          </cell>
          <cell r="P3563" t="str">
            <v>N</v>
          </cell>
          <cell r="Q3563" t="str">
            <v>Extra Capacity</v>
          </cell>
          <cell r="S3563">
            <v>0.3</v>
          </cell>
        </row>
        <row r="3564">
          <cell r="D3564">
            <v>1208000690</v>
          </cell>
          <cell r="E3564" t="str">
            <v>PEGGY MAPOGO</v>
          </cell>
          <cell r="F3564" t="str">
            <v>D (Ch)</v>
          </cell>
          <cell r="G3564">
            <v>17516</v>
          </cell>
          <cell r="H3564" t="str">
            <v>Choice</v>
          </cell>
          <cell r="I3564">
            <v>0.3125</v>
          </cell>
          <cell r="J3564">
            <v>0.64583333333333337</v>
          </cell>
          <cell r="K3564">
            <v>7.6666666666666696</v>
          </cell>
          <cell r="L3564">
            <v>186.84</v>
          </cell>
          <cell r="O3564" t="str">
            <v>Y</v>
          </cell>
          <cell r="P3564" t="str">
            <v>N</v>
          </cell>
          <cell r="Q3564" t="str">
            <v>Extra Capacity</v>
          </cell>
          <cell r="S3564">
            <v>0.2</v>
          </cell>
        </row>
        <row r="3565">
          <cell r="D3565">
            <v>1208000692</v>
          </cell>
          <cell r="E3565" t="str">
            <v>PEGGY MAPOGO</v>
          </cell>
          <cell r="F3565" t="str">
            <v>D (Ch)</v>
          </cell>
          <cell r="G3565">
            <v>17516</v>
          </cell>
          <cell r="H3565" t="str">
            <v>Choice</v>
          </cell>
          <cell r="I3565">
            <v>0.64583333333333337</v>
          </cell>
          <cell r="J3565">
            <v>0.85416666666666663</v>
          </cell>
          <cell r="K3565">
            <v>5</v>
          </cell>
          <cell r="L3565">
            <v>121.85</v>
          </cell>
          <cell r="O3565" t="str">
            <v>Y</v>
          </cell>
          <cell r="P3565" t="str">
            <v>N</v>
          </cell>
          <cell r="Q3565" t="str">
            <v>Extra Capacity</v>
          </cell>
          <cell r="S3565">
            <v>0.13</v>
          </cell>
        </row>
        <row r="3566">
          <cell r="D3566">
            <v>1208002263</v>
          </cell>
          <cell r="E3566" t="str">
            <v>PHILLY NYONI</v>
          </cell>
          <cell r="F3566" t="str">
            <v>D (Amb)</v>
          </cell>
          <cell r="G3566">
            <v>766183</v>
          </cell>
          <cell r="H3566" t="str">
            <v>Ambition</v>
          </cell>
          <cell r="I3566">
            <v>0.63541666666666663</v>
          </cell>
          <cell r="J3566">
            <v>0.85416666666666663</v>
          </cell>
          <cell r="K3566">
            <v>5.25</v>
          </cell>
          <cell r="L3566">
            <v>205.28</v>
          </cell>
          <cell r="O3566" t="str">
            <v>Y</v>
          </cell>
          <cell r="P3566" t="str">
            <v>N</v>
          </cell>
          <cell r="Q3566" t="str">
            <v>Vacancy</v>
          </cell>
          <cell r="S3566">
            <v>0.14000000000000001</v>
          </cell>
        </row>
        <row r="3567">
          <cell r="D3567">
            <v>1208003665</v>
          </cell>
          <cell r="E3567" t="str">
            <v>RACHEL OBERDOFF</v>
          </cell>
          <cell r="F3567" t="str">
            <v>D (MD)</v>
          </cell>
          <cell r="G3567">
            <v>351439</v>
          </cell>
          <cell r="H3567" t="str">
            <v>Mayday</v>
          </cell>
          <cell r="I3567">
            <v>0.3125</v>
          </cell>
          <cell r="J3567">
            <v>0.83333333333333337</v>
          </cell>
          <cell r="K3567">
            <v>11.8333333333333</v>
          </cell>
          <cell r="L3567">
            <v>382.1</v>
          </cell>
          <cell r="O3567" t="str">
            <v>Y</v>
          </cell>
          <cell r="P3567" t="str">
            <v>N</v>
          </cell>
          <cell r="Q3567" t="str">
            <v>Vacancy</v>
          </cell>
          <cell r="S3567">
            <v>0.32</v>
          </cell>
        </row>
        <row r="3568">
          <cell r="D3568">
            <v>1208000772</v>
          </cell>
          <cell r="E3568" t="str">
            <v>ROHEYATOU NDOW-NJIE</v>
          </cell>
          <cell r="F3568" t="str">
            <v>D (Ch)</v>
          </cell>
          <cell r="G3568">
            <v>17776</v>
          </cell>
          <cell r="H3568" t="str">
            <v>Choice</v>
          </cell>
          <cell r="I3568">
            <v>0.3125</v>
          </cell>
          <cell r="J3568">
            <v>0.60416666666666663</v>
          </cell>
          <cell r="K3568">
            <v>6.6666666666666696</v>
          </cell>
          <cell r="L3568">
            <v>162.47</v>
          </cell>
          <cell r="O3568" t="str">
            <v>Y</v>
          </cell>
          <cell r="P3568" t="str">
            <v>N</v>
          </cell>
          <cell r="Q3568" t="str">
            <v>Extra Capacity</v>
          </cell>
          <cell r="S3568">
            <v>0.18</v>
          </cell>
        </row>
        <row r="3569">
          <cell r="D3569">
            <v>1208000775</v>
          </cell>
          <cell r="E3569" t="str">
            <v>ROHEYATOU NDOW-NJIE</v>
          </cell>
          <cell r="F3569" t="str">
            <v>D (Ch)</v>
          </cell>
          <cell r="G3569">
            <v>17776</v>
          </cell>
          <cell r="H3569" t="str">
            <v>Choice</v>
          </cell>
          <cell r="I3569">
            <v>0.60416666666666663</v>
          </cell>
          <cell r="J3569">
            <v>0.85416666666666663</v>
          </cell>
          <cell r="K3569">
            <v>5.6666666666666696</v>
          </cell>
          <cell r="L3569">
            <v>138.1</v>
          </cell>
          <cell r="O3569" t="str">
            <v>Y</v>
          </cell>
          <cell r="P3569" t="str">
            <v>N</v>
          </cell>
          <cell r="Q3569" t="str">
            <v>Extra Capacity</v>
          </cell>
          <cell r="S3569">
            <v>0.15</v>
          </cell>
        </row>
        <row r="3570">
          <cell r="D3570">
            <v>1208001950</v>
          </cell>
          <cell r="E3570" t="str">
            <v>ROXANNE GEORGE-MCDONALD</v>
          </cell>
          <cell r="F3570" t="str">
            <v>D (MD)</v>
          </cell>
          <cell r="H3570" t="str">
            <v>Mayday</v>
          </cell>
          <cell r="I3570">
            <v>0.88541666666666663</v>
          </cell>
          <cell r="J3570">
            <v>0.3125</v>
          </cell>
          <cell r="K3570">
            <v>9.25</v>
          </cell>
          <cell r="L3570">
            <v>388.29</v>
          </cell>
          <cell r="O3570" t="str">
            <v>Y</v>
          </cell>
          <cell r="P3570" t="str">
            <v>N</v>
          </cell>
          <cell r="Q3570" t="str">
            <v>Specials</v>
          </cell>
          <cell r="S3570">
            <v>0.25</v>
          </cell>
        </row>
        <row r="3571">
          <cell r="D3571">
            <v>1208001952</v>
          </cell>
          <cell r="E3571" t="str">
            <v>RUTA KAIRYTE</v>
          </cell>
          <cell r="F3571" t="str">
            <v>D (Amb)</v>
          </cell>
          <cell r="G3571">
            <v>766171</v>
          </cell>
          <cell r="H3571" t="str">
            <v>Ambition</v>
          </cell>
          <cell r="I3571">
            <v>0.3125</v>
          </cell>
          <cell r="J3571">
            <v>0.625</v>
          </cell>
          <cell r="K3571">
            <v>7.1666666666666696</v>
          </cell>
          <cell r="L3571">
            <v>280.22000000000003</v>
          </cell>
          <cell r="O3571" t="str">
            <v>Y</v>
          </cell>
          <cell r="P3571" t="str">
            <v>N</v>
          </cell>
          <cell r="Q3571" t="str">
            <v>Extra Capacity</v>
          </cell>
          <cell r="S3571">
            <v>0.19</v>
          </cell>
        </row>
        <row r="3572">
          <cell r="D3572">
            <v>1108004815</v>
          </cell>
          <cell r="E3572" t="str">
            <v>SELINAH BAKASA</v>
          </cell>
          <cell r="F3572" t="str">
            <v>D (Ch)</v>
          </cell>
          <cell r="G3572">
            <v>17527</v>
          </cell>
          <cell r="H3572" t="str">
            <v>Choice</v>
          </cell>
          <cell r="I3572">
            <v>0.3125</v>
          </cell>
          <cell r="J3572">
            <v>0.54166666666666663</v>
          </cell>
          <cell r="K3572">
            <v>5.5</v>
          </cell>
          <cell r="L3572">
            <v>134.03</v>
          </cell>
          <cell r="O3572" t="str">
            <v>Y</v>
          </cell>
          <cell r="P3572" t="str">
            <v>N</v>
          </cell>
          <cell r="Q3572" t="str">
            <v>Vacancy</v>
          </cell>
          <cell r="S3572">
            <v>0.15</v>
          </cell>
        </row>
        <row r="3573">
          <cell r="D3573">
            <v>1108004816</v>
          </cell>
          <cell r="E3573" t="str">
            <v>SELINAH BAKASA</v>
          </cell>
          <cell r="F3573" t="str">
            <v>D (Ch)</v>
          </cell>
          <cell r="G3573">
            <v>17527</v>
          </cell>
          <cell r="H3573" t="str">
            <v>Choice</v>
          </cell>
          <cell r="I3573">
            <v>0.625</v>
          </cell>
          <cell r="J3573">
            <v>0.85416666666666663</v>
          </cell>
          <cell r="K3573">
            <v>5.5</v>
          </cell>
          <cell r="L3573">
            <v>134.03</v>
          </cell>
          <cell r="O3573" t="str">
            <v>Y</v>
          </cell>
          <cell r="P3573" t="str">
            <v>N</v>
          </cell>
          <cell r="Q3573" t="str">
            <v>Vacancy</v>
          </cell>
          <cell r="S3573">
            <v>0.15</v>
          </cell>
        </row>
        <row r="3574">
          <cell r="D3574">
            <v>1208000356</v>
          </cell>
          <cell r="E3574" t="str">
            <v>SHAUN MCKEE</v>
          </cell>
          <cell r="F3574" t="str">
            <v>D (Amb)</v>
          </cell>
          <cell r="G3574">
            <v>774201</v>
          </cell>
          <cell r="H3574" t="str">
            <v>Ambition</v>
          </cell>
          <cell r="I3574">
            <v>0.29166666666666669</v>
          </cell>
          <cell r="J3574">
            <v>0.54166666666666663</v>
          </cell>
          <cell r="K3574">
            <v>5.6666666666666696</v>
          </cell>
          <cell r="L3574">
            <v>221.57</v>
          </cell>
          <cell r="O3574" t="str">
            <v>Y</v>
          </cell>
          <cell r="P3574" t="str">
            <v>N</v>
          </cell>
          <cell r="Q3574" t="str">
            <v>Extra Capacity</v>
          </cell>
          <cell r="S3574">
            <v>0.15</v>
          </cell>
        </row>
        <row r="3575">
          <cell r="D3575">
            <v>1208001951</v>
          </cell>
          <cell r="E3575" t="str">
            <v>SIBO NISIWE</v>
          </cell>
          <cell r="F3575" t="str">
            <v>D (Amb)</v>
          </cell>
          <cell r="H3575" t="str">
            <v>Ambition</v>
          </cell>
          <cell r="I3575">
            <v>0.3125</v>
          </cell>
          <cell r="J3575">
            <v>0.625</v>
          </cell>
          <cell r="K3575">
            <v>7.1666666666666696</v>
          </cell>
          <cell r="L3575">
            <v>280.22000000000003</v>
          </cell>
          <cell r="O3575" t="str">
            <v>Y</v>
          </cell>
          <cell r="P3575" t="str">
            <v>N</v>
          </cell>
          <cell r="Q3575" t="str">
            <v>Extra Capacity</v>
          </cell>
          <cell r="S3575">
            <v>0.19</v>
          </cell>
        </row>
        <row r="3576">
          <cell r="D3576">
            <v>1208002388</v>
          </cell>
          <cell r="E3576" t="str">
            <v>SIBO NISIWE</v>
          </cell>
          <cell r="F3576" t="str">
            <v>D (Amb)</v>
          </cell>
          <cell r="H3576" t="str">
            <v>Ambition</v>
          </cell>
          <cell r="I3576">
            <v>0.625</v>
          </cell>
          <cell r="J3576">
            <v>0.85416666666666663</v>
          </cell>
          <cell r="K3576">
            <v>5.5</v>
          </cell>
          <cell r="L3576">
            <v>215.05</v>
          </cell>
          <cell r="O3576" t="str">
            <v>Y</v>
          </cell>
          <cell r="P3576" t="str">
            <v>N</v>
          </cell>
          <cell r="Q3576" t="str">
            <v>Vacancy</v>
          </cell>
          <cell r="S3576">
            <v>0.15</v>
          </cell>
        </row>
        <row r="3577">
          <cell r="D3577">
            <v>1208003381</v>
          </cell>
          <cell r="E3577" t="str">
            <v>STEPHEN FERNANDEZ</v>
          </cell>
          <cell r="F3577" t="str">
            <v>D (MD)</v>
          </cell>
          <cell r="G3577">
            <v>350623</v>
          </cell>
          <cell r="H3577" t="str">
            <v>Mayday</v>
          </cell>
          <cell r="I3577">
            <v>0.83333333333333337</v>
          </cell>
          <cell r="J3577">
            <v>0.33333333333333331</v>
          </cell>
          <cell r="K3577">
            <v>11</v>
          </cell>
          <cell r="L3577">
            <v>461.75</v>
          </cell>
          <cell r="O3577" t="str">
            <v>Y</v>
          </cell>
          <cell r="P3577" t="str">
            <v>N</v>
          </cell>
          <cell r="Q3577" t="str">
            <v>Acuity</v>
          </cell>
          <cell r="S3577">
            <v>0.28999999999999998</v>
          </cell>
        </row>
        <row r="3578">
          <cell r="D3578">
            <v>1208001516</v>
          </cell>
          <cell r="E3578" t="str">
            <v>TARA MASSIE</v>
          </cell>
          <cell r="F3578" t="str">
            <v>D (MD)</v>
          </cell>
          <cell r="G3578">
            <v>352092</v>
          </cell>
          <cell r="H3578" t="str">
            <v>Mayday</v>
          </cell>
          <cell r="I3578">
            <v>0.3125</v>
          </cell>
          <cell r="J3578">
            <v>0.5625</v>
          </cell>
          <cell r="K3578">
            <v>5.6666666666666696</v>
          </cell>
          <cell r="L3578">
            <v>182.98</v>
          </cell>
          <cell r="O3578" t="str">
            <v>Y</v>
          </cell>
          <cell r="P3578" t="str">
            <v>N</v>
          </cell>
          <cell r="Q3578" t="str">
            <v>Under Established</v>
          </cell>
          <cell r="S3578">
            <v>0.15</v>
          </cell>
        </row>
        <row r="3579">
          <cell r="D3579">
            <v>1208001922</v>
          </cell>
          <cell r="E3579" t="str">
            <v>TREVOR SCALES</v>
          </cell>
          <cell r="F3579" t="str">
            <v>D (Amb)</v>
          </cell>
          <cell r="G3579">
            <v>766191</v>
          </cell>
          <cell r="H3579" t="str">
            <v>Ambition</v>
          </cell>
          <cell r="I3579">
            <v>0.29166666666666669</v>
          </cell>
          <cell r="J3579">
            <v>0.625</v>
          </cell>
          <cell r="K3579">
            <v>7.6666666666666696</v>
          </cell>
          <cell r="L3579">
            <v>299.77</v>
          </cell>
          <cell r="O3579" t="str">
            <v>Y</v>
          </cell>
          <cell r="P3579" t="str">
            <v>N</v>
          </cell>
          <cell r="Q3579" t="str">
            <v>Specials</v>
          </cell>
          <cell r="S3579">
            <v>0.2</v>
          </cell>
        </row>
        <row r="3580">
          <cell r="D3580">
            <v>1208002865</v>
          </cell>
          <cell r="E3580" t="str">
            <v>TRUDY BRENNAN</v>
          </cell>
          <cell r="F3580" t="str">
            <v>D (Amb)</v>
          </cell>
          <cell r="G3580">
            <v>766167</v>
          </cell>
          <cell r="H3580" t="str">
            <v>Ambition</v>
          </cell>
          <cell r="I3580">
            <v>0.875</v>
          </cell>
          <cell r="J3580">
            <v>0.3125</v>
          </cell>
          <cell r="K3580">
            <v>10.1666666666667</v>
          </cell>
          <cell r="L3580">
            <v>516.77</v>
          </cell>
          <cell r="O3580" t="str">
            <v>Y</v>
          </cell>
          <cell r="P3580" t="str">
            <v>N</v>
          </cell>
          <cell r="Q3580" t="str">
            <v>Short Term Sick</v>
          </cell>
          <cell r="S3580">
            <v>0.27</v>
          </cell>
        </row>
        <row r="3581">
          <cell r="D3581">
            <v>1208002266</v>
          </cell>
          <cell r="E3581" t="str">
            <v>VANESSA GOULD</v>
          </cell>
          <cell r="F3581" t="str">
            <v>A /2 General (M</v>
          </cell>
          <cell r="G3581" t="str">
            <v>604-160943</v>
          </cell>
          <cell r="H3581" t="str">
            <v>Medacs</v>
          </cell>
          <cell r="I3581">
            <v>0.63541666666666663</v>
          </cell>
          <cell r="J3581">
            <v>0.85416666666666663</v>
          </cell>
          <cell r="K3581">
            <v>5.25</v>
          </cell>
          <cell r="L3581">
            <v>51.19</v>
          </cell>
          <cell r="O3581" t="str">
            <v>Y</v>
          </cell>
          <cell r="P3581" t="str">
            <v>N</v>
          </cell>
          <cell r="Q3581" t="str">
            <v>Vacancy</v>
          </cell>
          <cell r="S3581">
            <v>0.14000000000000001</v>
          </cell>
        </row>
        <row r="3582">
          <cell r="D3582">
            <v>1208001855</v>
          </cell>
          <cell r="E3582" t="str">
            <v>VICTORIA MAESTRANI</v>
          </cell>
          <cell r="F3582" t="str">
            <v>D (MD)</v>
          </cell>
          <cell r="H3582" t="str">
            <v>Mayday</v>
          </cell>
          <cell r="I3582">
            <v>0.3125</v>
          </cell>
          <cell r="J3582">
            <v>0.64583333333333337</v>
          </cell>
          <cell r="K3582">
            <v>7.6666666666666696</v>
          </cell>
          <cell r="L3582">
            <v>247.56</v>
          </cell>
          <cell r="O3582" t="str">
            <v>Y</v>
          </cell>
          <cell r="P3582" t="str">
            <v>N</v>
          </cell>
          <cell r="Q3582" t="str">
            <v>Extra Capacity</v>
          </cell>
          <cell r="S3582">
            <v>0.2</v>
          </cell>
        </row>
        <row r="3583">
          <cell r="D3583">
            <v>1208003322</v>
          </cell>
          <cell r="E3583" t="str">
            <v>VICTORIA VALETE</v>
          </cell>
          <cell r="F3583" t="str">
            <v>D (MD)</v>
          </cell>
          <cell r="G3583">
            <v>351093</v>
          </cell>
          <cell r="H3583" t="str">
            <v>Mayday</v>
          </cell>
          <cell r="I3583">
            <v>0.83333333333333337</v>
          </cell>
          <cell r="J3583">
            <v>0.33333333333333331</v>
          </cell>
          <cell r="K3583">
            <v>11</v>
          </cell>
          <cell r="L3583">
            <v>461.75</v>
          </cell>
          <cell r="O3583" t="str">
            <v>Y</v>
          </cell>
          <cell r="P3583" t="str">
            <v>N</v>
          </cell>
          <cell r="Q3583" t="str">
            <v>Extra Capacity</v>
          </cell>
          <cell r="S3583">
            <v>0.28999999999999998</v>
          </cell>
        </row>
        <row r="3584">
          <cell r="D3584">
            <v>1108006223</v>
          </cell>
          <cell r="E3584" t="str">
            <v>ALAN CURTIS</v>
          </cell>
          <cell r="F3584" t="str">
            <v>D (MD)</v>
          </cell>
          <cell r="G3584">
            <v>351378</v>
          </cell>
          <cell r="H3584" t="str">
            <v>Mayday</v>
          </cell>
          <cell r="I3584">
            <v>0.3125</v>
          </cell>
          <cell r="J3584">
            <v>0.83333333333333337</v>
          </cell>
          <cell r="K3584">
            <v>11.8333333333333</v>
          </cell>
          <cell r="L3584">
            <v>382.1</v>
          </cell>
          <cell r="O3584" t="str">
            <v>Y</v>
          </cell>
          <cell r="P3584" t="str">
            <v>N</v>
          </cell>
          <cell r="Q3584" t="str">
            <v>Short Term Sick</v>
          </cell>
          <cell r="S3584">
            <v>0.32</v>
          </cell>
        </row>
        <row r="3585">
          <cell r="D3585">
            <v>1208001953</v>
          </cell>
          <cell r="E3585" t="str">
            <v>ALLI SUBRAMANIAM</v>
          </cell>
          <cell r="F3585" t="str">
            <v>D (MD)</v>
          </cell>
          <cell r="G3585">
            <v>352300</v>
          </cell>
          <cell r="H3585" t="str">
            <v>Mayday</v>
          </cell>
          <cell r="I3585">
            <v>0.3125</v>
          </cell>
          <cell r="J3585">
            <v>0.625</v>
          </cell>
          <cell r="K3585">
            <v>7.1666666666666696</v>
          </cell>
          <cell r="L3585">
            <v>231.41</v>
          </cell>
          <cell r="O3585" t="str">
            <v>Y</v>
          </cell>
          <cell r="P3585" t="str">
            <v>N</v>
          </cell>
          <cell r="Q3585" t="str">
            <v>Extra Capacity</v>
          </cell>
          <cell r="S3585">
            <v>0.19</v>
          </cell>
        </row>
        <row r="3586">
          <cell r="D3586">
            <v>1208001982</v>
          </cell>
          <cell r="E3586" t="str">
            <v>ALLI SUBRAMANIAM</v>
          </cell>
          <cell r="F3586" t="str">
            <v>D (MD)</v>
          </cell>
          <cell r="G3586">
            <v>352300</v>
          </cell>
          <cell r="H3586" t="str">
            <v>Mayday</v>
          </cell>
          <cell r="I3586">
            <v>0.625</v>
          </cell>
          <cell r="J3586">
            <v>0.85416666666666663</v>
          </cell>
          <cell r="K3586">
            <v>5.5</v>
          </cell>
          <cell r="L3586">
            <v>177.59</v>
          </cell>
          <cell r="O3586" t="str">
            <v>Y</v>
          </cell>
          <cell r="P3586" t="str">
            <v>N</v>
          </cell>
          <cell r="Q3586" t="str">
            <v>Extra Capacity</v>
          </cell>
          <cell r="S3586">
            <v>0.15</v>
          </cell>
        </row>
        <row r="3587">
          <cell r="D3587">
            <v>1108003046</v>
          </cell>
          <cell r="E3587" t="str">
            <v>AMBER PERRY</v>
          </cell>
          <cell r="F3587" t="str">
            <v>D (MD)</v>
          </cell>
          <cell r="G3587">
            <v>351126</v>
          </cell>
          <cell r="H3587" t="str">
            <v>Mayday</v>
          </cell>
          <cell r="I3587">
            <v>0.3125</v>
          </cell>
          <cell r="J3587">
            <v>0.5625</v>
          </cell>
          <cell r="K3587">
            <v>5.6666666666666696</v>
          </cell>
          <cell r="L3587">
            <v>182.98</v>
          </cell>
          <cell r="O3587" t="str">
            <v>Y</v>
          </cell>
          <cell r="P3587" t="str">
            <v>N</v>
          </cell>
          <cell r="Q3587" t="str">
            <v>Under Established</v>
          </cell>
          <cell r="S3587">
            <v>0.15</v>
          </cell>
        </row>
        <row r="3588">
          <cell r="D3588">
            <v>1208000707</v>
          </cell>
          <cell r="E3588" t="str">
            <v>BERNADETTE SHINYA-NDUNUWANI</v>
          </cell>
          <cell r="F3588" t="str">
            <v>D (MD)</v>
          </cell>
          <cell r="G3588">
            <v>350054</v>
          </cell>
          <cell r="H3588" t="str">
            <v>Mayday</v>
          </cell>
          <cell r="I3588">
            <v>0.3125</v>
          </cell>
          <cell r="J3588">
            <v>0.64583333333333337</v>
          </cell>
          <cell r="K3588">
            <v>7.6666666666666696</v>
          </cell>
          <cell r="L3588">
            <v>247.56</v>
          </cell>
          <cell r="O3588" t="str">
            <v>Y</v>
          </cell>
          <cell r="P3588" t="str">
            <v>N</v>
          </cell>
          <cell r="Q3588" t="str">
            <v>Extra Capacity</v>
          </cell>
          <cell r="S3588">
            <v>0.2</v>
          </cell>
        </row>
        <row r="3589">
          <cell r="D3589">
            <v>1208000710</v>
          </cell>
          <cell r="E3589" t="str">
            <v>BERNADETTE SHINYA-NDUNUWANI</v>
          </cell>
          <cell r="F3589" t="str">
            <v>D (MD)</v>
          </cell>
          <cell r="G3589">
            <v>350054</v>
          </cell>
          <cell r="H3589" t="str">
            <v>Mayday</v>
          </cell>
          <cell r="I3589">
            <v>0.64583333333333337</v>
          </cell>
          <cell r="J3589">
            <v>0.85416666666666663</v>
          </cell>
          <cell r="K3589">
            <v>5</v>
          </cell>
          <cell r="L3589">
            <v>161.44999999999999</v>
          </cell>
          <cell r="O3589" t="str">
            <v>Y</v>
          </cell>
          <cell r="P3589" t="str">
            <v>N</v>
          </cell>
          <cell r="Q3589" t="str">
            <v>Extra Capacity</v>
          </cell>
          <cell r="S3589">
            <v>0.13</v>
          </cell>
        </row>
        <row r="3590">
          <cell r="D3590">
            <v>1208002896</v>
          </cell>
          <cell r="E3590" t="str">
            <v>BERTHA CHITABO</v>
          </cell>
          <cell r="F3590" t="str">
            <v>D (Ch)</v>
          </cell>
          <cell r="G3590">
            <v>17534</v>
          </cell>
          <cell r="H3590" t="str">
            <v>Choice</v>
          </cell>
          <cell r="I3590">
            <v>0.875</v>
          </cell>
          <cell r="J3590">
            <v>0.32291666666666669</v>
          </cell>
          <cell r="K3590">
            <v>10</v>
          </cell>
          <cell r="L3590">
            <v>316.81</v>
          </cell>
          <cell r="O3590" t="str">
            <v>Y</v>
          </cell>
          <cell r="P3590" t="str">
            <v>N</v>
          </cell>
          <cell r="Q3590" t="str">
            <v>Short Term Sick</v>
          </cell>
          <cell r="S3590">
            <v>0.27</v>
          </cell>
        </row>
        <row r="3591">
          <cell r="D3591">
            <v>1208002012</v>
          </cell>
          <cell r="E3591" t="str">
            <v>BHEENADEVI BASSOO</v>
          </cell>
          <cell r="F3591" t="str">
            <v>D (MD)</v>
          </cell>
          <cell r="G3591">
            <v>354001</v>
          </cell>
          <cell r="H3591" t="str">
            <v>Mayday</v>
          </cell>
          <cell r="I3591">
            <v>0.83333333333333337</v>
          </cell>
          <cell r="J3591">
            <v>0.33333333333333331</v>
          </cell>
          <cell r="K3591">
            <v>11.3333333333333</v>
          </cell>
          <cell r="L3591">
            <v>475.74</v>
          </cell>
          <cell r="O3591" t="str">
            <v>Y</v>
          </cell>
          <cell r="P3591" t="str">
            <v>N</v>
          </cell>
          <cell r="Q3591" t="str">
            <v>Extra Capacity</v>
          </cell>
          <cell r="S3591">
            <v>0.3</v>
          </cell>
        </row>
        <row r="3592">
          <cell r="D3592">
            <v>1208002015</v>
          </cell>
          <cell r="E3592" t="str">
            <v>BONITA BUTLER</v>
          </cell>
          <cell r="F3592" t="str">
            <v>D (MD)</v>
          </cell>
          <cell r="G3592">
            <v>350669</v>
          </cell>
          <cell r="H3592" t="str">
            <v>Mayday</v>
          </cell>
          <cell r="I3592">
            <v>0.83333333333333337</v>
          </cell>
          <cell r="J3592">
            <v>0.33333333333333331</v>
          </cell>
          <cell r="K3592">
            <v>11.3333333333333</v>
          </cell>
          <cell r="L3592">
            <v>475.74</v>
          </cell>
          <cell r="O3592" t="str">
            <v>Y</v>
          </cell>
          <cell r="P3592" t="str">
            <v>N</v>
          </cell>
          <cell r="Q3592" t="str">
            <v>Extra Capacity</v>
          </cell>
          <cell r="S3592">
            <v>0.3</v>
          </cell>
        </row>
        <row r="3593">
          <cell r="D3593">
            <v>1108006230</v>
          </cell>
          <cell r="E3593" t="str">
            <v>BRIGHTNESS NDEBELE</v>
          </cell>
          <cell r="F3593" t="str">
            <v>D (MD)</v>
          </cell>
          <cell r="H3593" t="str">
            <v>Mayday</v>
          </cell>
          <cell r="I3593">
            <v>0.3125</v>
          </cell>
          <cell r="J3593">
            <v>0.83333333333333337</v>
          </cell>
          <cell r="K3593">
            <v>11.8333333333333</v>
          </cell>
          <cell r="L3593">
            <v>382.1</v>
          </cell>
          <cell r="O3593" t="str">
            <v>Y</v>
          </cell>
          <cell r="P3593" t="str">
            <v>N</v>
          </cell>
          <cell r="Q3593" t="str">
            <v>Vacancy</v>
          </cell>
          <cell r="S3593">
            <v>0.32</v>
          </cell>
        </row>
        <row r="3594">
          <cell r="D3594">
            <v>1108002169</v>
          </cell>
          <cell r="E3594" t="str">
            <v>CATH CHIDAVAYENZI</v>
          </cell>
          <cell r="F3594" t="str">
            <v>D (Ch)</v>
          </cell>
          <cell r="G3594">
            <v>17514</v>
          </cell>
          <cell r="H3594" t="str">
            <v>Choice</v>
          </cell>
          <cell r="I3594">
            <v>0.84375</v>
          </cell>
          <cell r="J3594">
            <v>0.3125</v>
          </cell>
          <cell r="K3594">
            <v>10.25</v>
          </cell>
          <cell r="L3594">
            <v>324.73</v>
          </cell>
          <cell r="O3594" t="str">
            <v>Y</v>
          </cell>
          <cell r="P3594" t="str">
            <v>N</v>
          </cell>
          <cell r="Q3594" t="str">
            <v>Vacancy</v>
          </cell>
          <cell r="S3594">
            <v>0.27</v>
          </cell>
        </row>
        <row r="3595">
          <cell r="D3595">
            <v>1208000714</v>
          </cell>
          <cell r="E3595" t="str">
            <v>DAMILOLA AIKI</v>
          </cell>
          <cell r="F3595" t="str">
            <v>A (Ch)</v>
          </cell>
          <cell r="G3595">
            <v>17524</v>
          </cell>
          <cell r="H3595" t="str">
            <v>Choice</v>
          </cell>
          <cell r="I3595">
            <v>0.3125</v>
          </cell>
          <cell r="J3595">
            <v>0.64583333333333337</v>
          </cell>
          <cell r="K3595">
            <v>7.6666666666666696</v>
          </cell>
          <cell r="L3595">
            <v>85.02</v>
          </cell>
          <cell r="O3595" t="str">
            <v>Y</v>
          </cell>
          <cell r="P3595" t="str">
            <v>N</v>
          </cell>
          <cell r="Q3595" t="str">
            <v>Extra Capacity</v>
          </cell>
          <cell r="S3595">
            <v>0.2</v>
          </cell>
        </row>
        <row r="3596">
          <cell r="D3596">
            <v>1208000717</v>
          </cell>
          <cell r="E3596" t="str">
            <v>DAMILOLA AIKI</v>
          </cell>
          <cell r="F3596" t="str">
            <v>A (Ch)</v>
          </cell>
          <cell r="G3596">
            <v>17524</v>
          </cell>
          <cell r="H3596" t="str">
            <v>Choice</v>
          </cell>
          <cell r="I3596">
            <v>0.64583333333333337</v>
          </cell>
          <cell r="J3596">
            <v>0.85416666666666663</v>
          </cell>
          <cell r="K3596">
            <v>5</v>
          </cell>
          <cell r="L3596">
            <v>55.45</v>
          </cell>
          <cell r="O3596" t="str">
            <v>Y</v>
          </cell>
          <cell r="P3596" t="str">
            <v>N</v>
          </cell>
          <cell r="Q3596" t="str">
            <v>Extra Capacity</v>
          </cell>
          <cell r="S3596">
            <v>0.13</v>
          </cell>
        </row>
        <row r="3597">
          <cell r="D3597">
            <v>1208001819</v>
          </cell>
          <cell r="E3597" t="str">
            <v>DENNIS HEBRON</v>
          </cell>
          <cell r="F3597" t="str">
            <v>D (Ch)</v>
          </cell>
          <cell r="G3597">
            <v>17526</v>
          </cell>
          <cell r="H3597" t="str">
            <v>Choice</v>
          </cell>
          <cell r="I3597">
            <v>0.83333333333333337</v>
          </cell>
          <cell r="J3597">
            <v>0.33333333333333331</v>
          </cell>
          <cell r="K3597">
            <v>11.3333333333333</v>
          </cell>
          <cell r="L3597">
            <v>359.05</v>
          </cell>
          <cell r="O3597" t="str">
            <v>Y</v>
          </cell>
          <cell r="P3597" t="str">
            <v>N</v>
          </cell>
          <cell r="Q3597" t="str">
            <v>Emergency Leave</v>
          </cell>
          <cell r="S3597">
            <v>0.3</v>
          </cell>
        </row>
        <row r="3598">
          <cell r="D3598">
            <v>1208001872</v>
          </cell>
          <cell r="E3598" t="str">
            <v>DESIREE DOMINGO</v>
          </cell>
          <cell r="F3598" t="str">
            <v>D (Amb)</v>
          </cell>
          <cell r="G3598">
            <v>766401</v>
          </cell>
          <cell r="H3598" t="str">
            <v>Ambition</v>
          </cell>
          <cell r="I3598">
            <v>0.64583333333333337</v>
          </cell>
          <cell r="J3598">
            <v>0.85416666666666663</v>
          </cell>
          <cell r="K3598">
            <v>5</v>
          </cell>
          <cell r="L3598">
            <v>195.5</v>
          </cell>
          <cell r="O3598" t="str">
            <v>Y</v>
          </cell>
          <cell r="P3598" t="str">
            <v>N</v>
          </cell>
          <cell r="Q3598" t="str">
            <v>Extra Capacity</v>
          </cell>
          <cell r="S3598">
            <v>0.13</v>
          </cell>
        </row>
        <row r="3599">
          <cell r="D3599">
            <v>1208001957</v>
          </cell>
          <cell r="E3599" t="str">
            <v>DESIREE DOMINGO</v>
          </cell>
          <cell r="F3599" t="str">
            <v>D (Amb)</v>
          </cell>
          <cell r="G3599">
            <v>766168</v>
          </cell>
          <cell r="H3599" t="str">
            <v>Ambition</v>
          </cell>
          <cell r="I3599">
            <v>0.3125</v>
          </cell>
          <cell r="J3599">
            <v>0.625</v>
          </cell>
          <cell r="K3599">
            <v>7.1666666666666696</v>
          </cell>
          <cell r="L3599">
            <v>280.22000000000003</v>
          </cell>
          <cell r="O3599" t="str">
            <v>Y</v>
          </cell>
          <cell r="P3599" t="str">
            <v>N</v>
          </cell>
          <cell r="Q3599" t="str">
            <v>Extra Capacity</v>
          </cell>
          <cell r="S3599">
            <v>0.19</v>
          </cell>
        </row>
        <row r="3600">
          <cell r="D3600">
            <v>1208003317</v>
          </cell>
          <cell r="E3600" t="str">
            <v>DOROTHY MUTEMWA</v>
          </cell>
          <cell r="F3600" t="str">
            <v>A (Ch)</v>
          </cell>
          <cell r="G3600">
            <v>17526</v>
          </cell>
          <cell r="H3600" t="str">
            <v>Choice</v>
          </cell>
          <cell r="I3600">
            <v>0.83333333333333337</v>
          </cell>
          <cell r="J3600">
            <v>0.33333333333333331</v>
          </cell>
          <cell r="K3600">
            <v>11.3333333333333</v>
          </cell>
          <cell r="L3600">
            <v>167.58</v>
          </cell>
          <cell r="O3600" t="str">
            <v>Y</v>
          </cell>
          <cell r="P3600" t="str">
            <v>N</v>
          </cell>
          <cell r="Q3600" t="str">
            <v>Short Term Sick</v>
          </cell>
          <cell r="S3600">
            <v>0.3</v>
          </cell>
        </row>
        <row r="3601">
          <cell r="D3601">
            <v>1208000708</v>
          </cell>
          <cell r="E3601" t="str">
            <v>ELEANOR LEYSO</v>
          </cell>
          <cell r="F3601" t="str">
            <v>D (Amb)</v>
          </cell>
          <cell r="G3601">
            <v>766400</v>
          </cell>
          <cell r="H3601" t="str">
            <v>Ambition</v>
          </cell>
          <cell r="I3601">
            <v>0.3125</v>
          </cell>
          <cell r="J3601">
            <v>0.64583333333333337</v>
          </cell>
          <cell r="K3601">
            <v>7.6666666666666696</v>
          </cell>
          <cell r="L3601">
            <v>299.77</v>
          </cell>
          <cell r="O3601" t="str">
            <v>Y</v>
          </cell>
          <cell r="P3601" t="str">
            <v>N</v>
          </cell>
          <cell r="Q3601" t="str">
            <v>Extra Capacity</v>
          </cell>
          <cell r="S3601">
            <v>0.2</v>
          </cell>
        </row>
        <row r="3602">
          <cell r="D3602">
            <v>1208000711</v>
          </cell>
          <cell r="E3602" t="str">
            <v>ELEANOR LEYSO</v>
          </cell>
          <cell r="F3602" t="str">
            <v>D (Amb)</v>
          </cell>
          <cell r="G3602">
            <v>766400</v>
          </cell>
          <cell r="H3602" t="str">
            <v>Ambition</v>
          </cell>
          <cell r="I3602">
            <v>0.64583333333333337</v>
          </cell>
          <cell r="J3602">
            <v>0.85416666666666663</v>
          </cell>
          <cell r="K3602">
            <v>5</v>
          </cell>
          <cell r="L3602">
            <v>195.5</v>
          </cell>
          <cell r="O3602" t="str">
            <v>Y</v>
          </cell>
          <cell r="P3602" t="str">
            <v>N</v>
          </cell>
          <cell r="Q3602" t="str">
            <v>Extra Capacity</v>
          </cell>
          <cell r="S3602">
            <v>0.13</v>
          </cell>
        </row>
        <row r="3603">
          <cell r="D3603">
            <v>1208001954</v>
          </cell>
          <cell r="E3603" t="str">
            <v>EMMANUEL SALAKO</v>
          </cell>
          <cell r="F3603" t="str">
            <v>D (MD)</v>
          </cell>
          <cell r="G3603">
            <v>350055</v>
          </cell>
          <cell r="H3603" t="str">
            <v>Mayday</v>
          </cell>
          <cell r="I3603">
            <v>0.3125</v>
          </cell>
          <cell r="J3603">
            <v>0.625</v>
          </cell>
          <cell r="K3603">
            <v>7.1666666666666696</v>
          </cell>
          <cell r="L3603">
            <v>231.41</v>
          </cell>
          <cell r="O3603" t="str">
            <v>Y</v>
          </cell>
          <cell r="P3603" t="str">
            <v>N</v>
          </cell>
          <cell r="Q3603" t="str">
            <v>Extra Capacity</v>
          </cell>
          <cell r="S3603">
            <v>0.19</v>
          </cell>
        </row>
        <row r="3604">
          <cell r="D3604">
            <v>1208001983</v>
          </cell>
          <cell r="E3604" t="str">
            <v>EMMANUEL SALAKO</v>
          </cell>
          <cell r="F3604" t="str">
            <v>D (MD)</v>
          </cell>
          <cell r="G3604">
            <v>350055</v>
          </cell>
          <cell r="H3604" t="str">
            <v>Mayday</v>
          </cell>
          <cell r="I3604">
            <v>0.625</v>
          </cell>
          <cell r="J3604">
            <v>0.85416666666666663</v>
          </cell>
          <cell r="K3604">
            <v>5.5</v>
          </cell>
          <cell r="L3604">
            <v>177.59</v>
          </cell>
          <cell r="O3604" t="str">
            <v>Y</v>
          </cell>
          <cell r="P3604" t="str">
            <v>N</v>
          </cell>
          <cell r="Q3604" t="str">
            <v>Extra Capacity</v>
          </cell>
          <cell r="S3604">
            <v>0.15</v>
          </cell>
        </row>
        <row r="3605">
          <cell r="D3605">
            <v>1208001877</v>
          </cell>
          <cell r="E3605" t="str">
            <v>EUNICE ADEBANJO</v>
          </cell>
          <cell r="F3605" t="str">
            <v>D (Ch)</v>
          </cell>
          <cell r="H3605" t="str">
            <v>Choice</v>
          </cell>
          <cell r="I3605">
            <v>0.83333333333333337</v>
          </cell>
          <cell r="J3605">
            <v>0.33333333333333331</v>
          </cell>
          <cell r="K3605">
            <v>11.3333333333333</v>
          </cell>
          <cell r="L3605">
            <v>359.05</v>
          </cell>
          <cell r="O3605" t="str">
            <v>Y</v>
          </cell>
          <cell r="P3605" t="str">
            <v>N</v>
          </cell>
          <cell r="Q3605" t="str">
            <v>Extra Capacity</v>
          </cell>
          <cell r="S3605">
            <v>0.3</v>
          </cell>
        </row>
        <row r="3606">
          <cell r="D3606">
            <v>1208000779</v>
          </cell>
          <cell r="E3606" t="str">
            <v>FIONA DURKIN-GREER</v>
          </cell>
          <cell r="F3606" t="str">
            <v>D (MD)</v>
          </cell>
          <cell r="G3606">
            <v>351130</v>
          </cell>
          <cell r="H3606" t="str">
            <v>Mayday</v>
          </cell>
          <cell r="I3606">
            <v>0.3125</v>
          </cell>
          <cell r="J3606">
            <v>0.60416666666666663</v>
          </cell>
          <cell r="K3606">
            <v>6.6666666666666696</v>
          </cell>
          <cell r="L3606">
            <v>215.27</v>
          </cell>
          <cell r="O3606" t="str">
            <v>Y</v>
          </cell>
          <cell r="P3606" t="str">
            <v>N</v>
          </cell>
          <cell r="Q3606" t="str">
            <v>Extra Capacity</v>
          </cell>
          <cell r="S3606">
            <v>0.18</v>
          </cell>
        </row>
        <row r="3607">
          <cell r="D3607">
            <v>1208000716</v>
          </cell>
          <cell r="E3607" t="str">
            <v>FURTHERMORE MUTSINZE</v>
          </cell>
          <cell r="F3607" t="str">
            <v>A (Ch)</v>
          </cell>
          <cell r="G3607">
            <v>17524</v>
          </cell>
          <cell r="H3607" t="str">
            <v>Choice</v>
          </cell>
          <cell r="I3607">
            <v>0.3125</v>
          </cell>
          <cell r="J3607">
            <v>0.64583333333333337</v>
          </cell>
          <cell r="K3607">
            <v>7.6666666666666696</v>
          </cell>
          <cell r="L3607">
            <v>85.02</v>
          </cell>
          <cell r="O3607" t="str">
            <v>Y</v>
          </cell>
          <cell r="P3607" t="str">
            <v>N</v>
          </cell>
          <cell r="Q3607" t="str">
            <v>Extra Capacity</v>
          </cell>
          <cell r="S3607">
            <v>0.2</v>
          </cell>
        </row>
        <row r="3608">
          <cell r="D3608">
            <v>1208000719</v>
          </cell>
          <cell r="E3608" t="str">
            <v>FURTHERMORE MUTSINZE</v>
          </cell>
          <cell r="F3608" t="str">
            <v>A (Ch)</v>
          </cell>
          <cell r="G3608">
            <v>17524</v>
          </cell>
          <cell r="H3608" t="str">
            <v>Choice</v>
          </cell>
          <cell r="I3608">
            <v>0.64583333333333337</v>
          </cell>
          <cell r="J3608">
            <v>0.85416666666666663</v>
          </cell>
          <cell r="K3608">
            <v>5</v>
          </cell>
          <cell r="L3608">
            <v>55.45</v>
          </cell>
          <cell r="O3608" t="str">
            <v>Y</v>
          </cell>
          <cell r="P3608" t="str">
            <v>N</v>
          </cell>
          <cell r="Q3608" t="str">
            <v>Extra Capacity</v>
          </cell>
          <cell r="S3608">
            <v>0.13</v>
          </cell>
        </row>
        <row r="3609">
          <cell r="D3609">
            <v>1108006237</v>
          </cell>
          <cell r="E3609" t="str">
            <v>GLENDA RONA</v>
          </cell>
          <cell r="F3609" t="str">
            <v>D (Ch)</v>
          </cell>
          <cell r="G3609">
            <v>17520</v>
          </cell>
          <cell r="H3609" t="str">
            <v>Choice</v>
          </cell>
          <cell r="I3609">
            <v>0.8125</v>
          </cell>
          <cell r="J3609">
            <v>0.33333333333333331</v>
          </cell>
          <cell r="K3609">
            <v>11.8333333333333</v>
          </cell>
          <cell r="L3609">
            <v>374.89</v>
          </cell>
          <cell r="O3609" t="str">
            <v>Y</v>
          </cell>
          <cell r="P3609" t="str">
            <v>N</v>
          </cell>
          <cell r="Q3609" t="str">
            <v>Short Term Sick</v>
          </cell>
          <cell r="S3609">
            <v>0.32</v>
          </cell>
        </row>
        <row r="3610">
          <cell r="D3610">
            <v>1208002579</v>
          </cell>
          <cell r="E3610" t="str">
            <v>JAMES MAKONI</v>
          </cell>
          <cell r="F3610" t="str">
            <v>D (Amb)</v>
          </cell>
          <cell r="G3610">
            <v>766163</v>
          </cell>
          <cell r="H3610" t="str">
            <v>Ambition</v>
          </cell>
          <cell r="I3610">
            <v>0.29166666666666669</v>
          </cell>
          <cell r="J3610">
            <v>0.625</v>
          </cell>
          <cell r="K3610">
            <v>7.6666666666666696</v>
          </cell>
          <cell r="L3610">
            <v>299.77</v>
          </cell>
          <cell r="O3610" t="str">
            <v>Y</v>
          </cell>
          <cell r="P3610" t="str">
            <v>N</v>
          </cell>
          <cell r="Q3610" t="str">
            <v>Specials</v>
          </cell>
          <cell r="S3610">
            <v>0.2</v>
          </cell>
        </row>
        <row r="3611">
          <cell r="D3611">
            <v>1208002581</v>
          </cell>
          <cell r="E3611" t="str">
            <v>JAMES MAKONI</v>
          </cell>
          <cell r="F3611" t="str">
            <v>D (Amb)</v>
          </cell>
          <cell r="G3611">
            <v>766163</v>
          </cell>
          <cell r="H3611" t="str">
            <v>Ambition</v>
          </cell>
          <cell r="I3611">
            <v>0.625</v>
          </cell>
          <cell r="J3611">
            <v>0.88541666666666663</v>
          </cell>
          <cell r="K3611">
            <v>5.9166666666666696</v>
          </cell>
          <cell r="L3611">
            <v>231.34</v>
          </cell>
          <cell r="O3611" t="str">
            <v>Y</v>
          </cell>
          <cell r="P3611" t="str">
            <v>N</v>
          </cell>
          <cell r="Q3611" t="str">
            <v>Specials</v>
          </cell>
          <cell r="S3611">
            <v>0.16</v>
          </cell>
        </row>
        <row r="3612">
          <cell r="D3612">
            <v>1208000780</v>
          </cell>
          <cell r="E3612" t="str">
            <v>JAMES MCCLEMENTS</v>
          </cell>
          <cell r="F3612" t="str">
            <v>D (MD)</v>
          </cell>
          <cell r="G3612">
            <v>351090</v>
          </cell>
          <cell r="H3612" t="str">
            <v>Mayday</v>
          </cell>
          <cell r="I3612">
            <v>0.3125</v>
          </cell>
          <cell r="J3612">
            <v>0.60416666666666663</v>
          </cell>
          <cell r="K3612">
            <v>6.6666666666666696</v>
          </cell>
          <cell r="L3612">
            <v>215.27</v>
          </cell>
          <cell r="O3612" t="str">
            <v>Y</v>
          </cell>
          <cell r="P3612" t="str">
            <v>N</v>
          </cell>
          <cell r="Q3612" t="str">
            <v>Extra Capacity</v>
          </cell>
          <cell r="S3612">
            <v>0.18</v>
          </cell>
        </row>
        <row r="3613">
          <cell r="D3613">
            <v>1208000782</v>
          </cell>
          <cell r="E3613" t="str">
            <v>JAMES MCCLEMENTS</v>
          </cell>
          <cell r="F3613" t="str">
            <v>D (MD)</v>
          </cell>
          <cell r="G3613">
            <v>351090</v>
          </cell>
          <cell r="H3613" t="str">
            <v>Mayday</v>
          </cell>
          <cell r="I3613">
            <v>0.60416666666666663</v>
          </cell>
          <cell r="J3613">
            <v>0.85416666666666663</v>
          </cell>
          <cell r="K3613">
            <v>5.6666666666666696</v>
          </cell>
          <cell r="L3613">
            <v>182.98</v>
          </cell>
          <cell r="O3613" t="str">
            <v>Y</v>
          </cell>
          <cell r="P3613" t="str">
            <v>N</v>
          </cell>
          <cell r="Q3613" t="str">
            <v>Extra Capacity</v>
          </cell>
          <cell r="S3613">
            <v>0.15</v>
          </cell>
        </row>
        <row r="3614">
          <cell r="D3614">
            <v>1108006245</v>
          </cell>
          <cell r="E3614" t="str">
            <v>JASMINE ESGUERRA</v>
          </cell>
          <cell r="F3614" t="str">
            <v>D (Ch)</v>
          </cell>
          <cell r="G3614">
            <v>17520</v>
          </cell>
          <cell r="H3614" t="str">
            <v>Choice</v>
          </cell>
          <cell r="I3614">
            <v>0.8125</v>
          </cell>
          <cell r="J3614">
            <v>0.33333333333333331</v>
          </cell>
          <cell r="K3614">
            <v>11.8333333333333</v>
          </cell>
          <cell r="L3614">
            <v>374.89</v>
          </cell>
          <cell r="O3614" t="str">
            <v>Y</v>
          </cell>
          <cell r="P3614" t="str">
            <v>N</v>
          </cell>
          <cell r="Q3614" t="str">
            <v>Vacancy</v>
          </cell>
          <cell r="S3614">
            <v>0.32</v>
          </cell>
        </row>
        <row r="3615">
          <cell r="D3615">
            <v>1208000342</v>
          </cell>
          <cell r="E3615" t="str">
            <v>JASON WENT</v>
          </cell>
          <cell r="F3615" t="str">
            <v>D / 5 General (</v>
          </cell>
          <cell r="G3615" t="str">
            <v>604-160939</v>
          </cell>
          <cell r="H3615" t="str">
            <v>Blue Arrow</v>
          </cell>
          <cell r="I3615">
            <v>0.83333333333333337</v>
          </cell>
          <cell r="J3615">
            <v>0.33333333333333331</v>
          </cell>
          <cell r="K3615">
            <v>11</v>
          </cell>
          <cell r="L3615">
            <v>241.38</v>
          </cell>
          <cell r="O3615" t="str">
            <v>Y</v>
          </cell>
          <cell r="P3615" t="str">
            <v>N</v>
          </cell>
          <cell r="Q3615" t="str">
            <v>Extra Capacity</v>
          </cell>
          <cell r="S3615">
            <v>0.28999999999999998</v>
          </cell>
        </row>
        <row r="3616">
          <cell r="D3616">
            <v>1208001789</v>
          </cell>
          <cell r="E3616" t="str">
            <v>JOANNE BUSS</v>
          </cell>
          <cell r="F3616" t="str">
            <v>D (MD)</v>
          </cell>
          <cell r="G3616">
            <v>351138</v>
          </cell>
          <cell r="H3616" t="str">
            <v>Mayday</v>
          </cell>
          <cell r="I3616">
            <v>0.54166666666666663</v>
          </cell>
          <cell r="J3616">
            <v>0.85416666666666663</v>
          </cell>
          <cell r="K3616">
            <v>7.1666666666666696</v>
          </cell>
          <cell r="L3616">
            <v>231.41</v>
          </cell>
          <cell r="O3616" t="str">
            <v>Y</v>
          </cell>
          <cell r="P3616" t="str">
            <v>N</v>
          </cell>
          <cell r="Q3616" t="str">
            <v>Vacancy</v>
          </cell>
          <cell r="S3616">
            <v>0.19</v>
          </cell>
        </row>
        <row r="3617">
          <cell r="D3617">
            <v>1208002014</v>
          </cell>
          <cell r="E3617" t="str">
            <v>JOSEPH BASS</v>
          </cell>
          <cell r="F3617" t="str">
            <v>D (MD)</v>
          </cell>
          <cell r="G3617">
            <v>352129</v>
          </cell>
          <cell r="H3617" t="str">
            <v>Mayday</v>
          </cell>
          <cell r="I3617">
            <v>0.83333333333333337</v>
          </cell>
          <cell r="J3617">
            <v>0.33333333333333331</v>
          </cell>
          <cell r="K3617">
            <v>11.3333333333333</v>
          </cell>
          <cell r="L3617">
            <v>475.74</v>
          </cell>
          <cell r="O3617" t="str">
            <v>Y</v>
          </cell>
          <cell r="P3617" t="str">
            <v>N</v>
          </cell>
          <cell r="Q3617" t="str">
            <v>Extra Capacity</v>
          </cell>
          <cell r="S3617">
            <v>0.3</v>
          </cell>
        </row>
        <row r="3618">
          <cell r="D3618">
            <v>1208003161</v>
          </cell>
          <cell r="E3618" t="str">
            <v>JOSEPHINE MOLLOY</v>
          </cell>
          <cell r="F3618" t="str">
            <v>D (Amb)</v>
          </cell>
          <cell r="G3618">
            <v>766414</v>
          </cell>
          <cell r="H3618" t="str">
            <v>Ambition</v>
          </cell>
          <cell r="I3618">
            <v>0.8125</v>
          </cell>
          <cell r="J3618">
            <v>0.33333333333333331</v>
          </cell>
          <cell r="K3618">
            <v>11.8333333333333</v>
          </cell>
          <cell r="L3618">
            <v>601.49</v>
          </cell>
          <cell r="O3618" t="str">
            <v>Y</v>
          </cell>
          <cell r="P3618" t="str">
            <v>N</v>
          </cell>
          <cell r="Q3618" t="str">
            <v>Vacancy</v>
          </cell>
          <cell r="S3618">
            <v>0.32</v>
          </cell>
        </row>
        <row r="3619">
          <cell r="D3619">
            <v>1108005815</v>
          </cell>
          <cell r="E3619" t="str">
            <v>KAREN COOMBE</v>
          </cell>
          <cell r="F3619" t="str">
            <v>D (Amb)</v>
          </cell>
          <cell r="G3619">
            <v>769600</v>
          </cell>
          <cell r="H3619" t="str">
            <v>Ambition</v>
          </cell>
          <cell r="I3619">
            <v>0.625</v>
          </cell>
          <cell r="J3619">
            <v>0.85416666666666663</v>
          </cell>
          <cell r="K3619">
            <v>5.5</v>
          </cell>
          <cell r="L3619">
            <v>215.05</v>
          </cell>
          <cell r="O3619" t="str">
            <v>Y</v>
          </cell>
          <cell r="P3619" t="str">
            <v>N</v>
          </cell>
          <cell r="Q3619" t="str">
            <v>Extra Capacity</v>
          </cell>
          <cell r="S3619">
            <v>0.15</v>
          </cell>
        </row>
        <row r="3620">
          <cell r="D3620">
            <v>1208003485</v>
          </cell>
          <cell r="E3620" t="str">
            <v>KATH WILDREDGE</v>
          </cell>
          <cell r="F3620" t="str">
            <v>D (MD)</v>
          </cell>
          <cell r="G3620">
            <v>351096</v>
          </cell>
          <cell r="H3620" t="str">
            <v>Mayday</v>
          </cell>
          <cell r="I3620">
            <v>0.83333333333333337</v>
          </cell>
          <cell r="J3620">
            <v>0.33333333333333331</v>
          </cell>
          <cell r="K3620">
            <v>11</v>
          </cell>
          <cell r="L3620">
            <v>461.75</v>
          </cell>
          <cell r="O3620" t="str">
            <v>Y</v>
          </cell>
          <cell r="P3620" t="str">
            <v>N</v>
          </cell>
          <cell r="Q3620" t="str">
            <v>Extra Capacity</v>
          </cell>
          <cell r="S3620">
            <v>0.28999999999999998</v>
          </cell>
        </row>
        <row r="3621">
          <cell r="D3621">
            <v>1208002583</v>
          </cell>
          <cell r="E3621" t="str">
            <v>LETECIA LIWANE</v>
          </cell>
          <cell r="F3621" t="str">
            <v>D (Ch)</v>
          </cell>
          <cell r="H3621" t="str">
            <v>Choice</v>
          </cell>
          <cell r="I3621">
            <v>0.88541666666666663</v>
          </cell>
          <cell r="J3621">
            <v>0.3125</v>
          </cell>
          <cell r="K3621">
            <v>9.25</v>
          </cell>
          <cell r="L3621">
            <v>293.05</v>
          </cell>
          <cell r="O3621" t="str">
            <v>Y</v>
          </cell>
          <cell r="P3621" t="str">
            <v>N</v>
          </cell>
          <cell r="Q3621" t="str">
            <v>Specials</v>
          </cell>
          <cell r="S3621">
            <v>0.25</v>
          </cell>
        </row>
        <row r="3622">
          <cell r="D3622">
            <v>1208002013</v>
          </cell>
          <cell r="E3622" t="str">
            <v>LETECIA MENIANO</v>
          </cell>
          <cell r="F3622" t="str">
            <v>D (MD)</v>
          </cell>
          <cell r="G3622">
            <v>351972</v>
          </cell>
          <cell r="H3622" t="str">
            <v>Mayday</v>
          </cell>
          <cell r="I3622">
            <v>0.83333333333333337</v>
          </cell>
          <cell r="J3622">
            <v>0.33333333333333331</v>
          </cell>
          <cell r="K3622">
            <v>11.3333333333333</v>
          </cell>
          <cell r="L3622">
            <v>475.74</v>
          </cell>
          <cell r="O3622" t="str">
            <v>Y</v>
          </cell>
          <cell r="P3622" t="str">
            <v>N</v>
          </cell>
          <cell r="Q3622" t="str">
            <v>Extra Capacity</v>
          </cell>
          <cell r="S3622">
            <v>0.3</v>
          </cell>
        </row>
        <row r="3623">
          <cell r="D3623">
            <v>1108005814</v>
          </cell>
          <cell r="E3623" t="str">
            <v>LINDIWE DUBE</v>
          </cell>
          <cell r="F3623" t="str">
            <v>D (Amb)</v>
          </cell>
          <cell r="H3623" t="str">
            <v>Ambition</v>
          </cell>
          <cell r="I3623">
            <v>0.625</v>
          </cell>
          <cell r="J3623">
            <v>0.85416666666666663</v>
          </cell>
          <cell r="K3623">
            <v>5.5</v>
          </cell>
          <cell r="L3623">
            <v>215.05</v>
          </cell>
          <cell r="O3623" t="str">
            <v>Y</v>
          </cell>
          <cell r="P3623" t="str">
            <v>N</v>
          </cell>
          <cell r="Q3623" t="str">
            <v>Vacancy</v>
          </cell>
          <cell r="S3623">
            <v>0.15</v>
          </cell>
        </row>
        <row r="3624">
          <cell r="D3624">
            <v>1208002584</v>
          </cell>
          <cell r="E3624" t="str">
            <v>LIZ BAGGIO</v>
          </cell>
          <cell r="F3624" t="str">
            <v>A/2 (PS)</v>
          </cell>
          <cell r="H3624" t="str">
            <v>Pinnacle Staffing</v>
          </cell>
          <cell r="I3624">
            <v>0.88541666666666663</v>
          </cell>
          <cell r="J3624">
            <v>0.3125</v>
          </cell>
          <cell r="K3624">
            <v>9.25</v>
          </cell>
          <cell r="L3624">
            <v>115.69</v>
          </cell>
          <cell r="O3624" t="str">
            <v>Y</v>
          </cell>
          <cell r="P3624" t="str">
            <v>N</v>
          </cell>
          <cell r="Q3624" t="str">
            <v>Specials</v>
          </cell>
          <cell r="S3624">
            <v>0.25</v>
          </cell>
        </row>
        <row r="3625">
          <cell r="D3625">
            <v>1208003226</v>
          </cell>
          <cell r="E3625" t="str">
            <v>MARGARET MUKUWIRI</v>
          </cell>
          <cell r="F3625" t="str">
            <v>D (MD)</v>
          </cell>
          <cell r="G3625">
            <v>352188</v>
          </cell>
          <cell r="H3625" t="str">
            <v>Mayday</v>
          </cell>
          <cell r="I3625">
            <v>0.83333333333333337</v>
          </cell>
          <cell r="J3625">
            <v>0.33333333333333331</v>
          </cell>
          <cell r="K3625">
            <v>11</v>
          </cell>
          <cell r="L3625">
            <v>461.75</v>
          </cell>
          <cell r="O3625" t="str">
            <v>Y</v>
          </cell>
          <cell r="P3625" t="str">
            <v>N</v>
          </cell>
          <cell r="Q3625" t="str">
            <v>Extra Capacity</v>
          </cell>
          <cell r="S3625">
            <v>0.28999999999999998</v>
          </cell>
        </row>
        <row r="3626">
          <cell r="D3626">
            <v>1208001955</v>
          </cell>
          <cell r="E3626" t="str">
            <v>MERCY AFELE</v>
          </cell>
          <cell r="F3626" t="str">
            <v>D (MD)</v>
          </cell>
          <cell r="G3626">
            <v>352054</v>
          </cell>
          <cell r="H3626" t="str">
            <v>Mayday</v>
          </cell>
          <cell r="I3626">
            <v>0.3125</v>
          </cell>
          <cell r="J3626">
            <v>0.625</v>
          </cell>
          <cell r="K3626">
            <v>7.1666666666666696</v>
          </cell>
          <cell r="L3626">
            <v>231.41</v>
          </cell>
          <cell r="O3626" t="str">
            <v>Y</v>
          </cell>
          <cell r="P3626" t="str">
            <v>N</v>
          </cell>
          <cell r="Q3626" t="str">
            <v>Extra Capacity</v>
          </cell>
          <cell r="S3626">
            <v>0.19</v>
          </cell>
        </row>
        <row r="3627">
          <cell r="D3627">
            <v>1208001984</v>
          </cell>
          <cell r="E3627" t="str">
            <v>MERCY AFELE</v>
          </cell>
          <cell r="F3627" t="str">
            <v>D (MD)</v>
          </cell>
          <cell r="G3627">
            <v>352054</v>
          </cell>
          <cell r="H3627" t="str">
            <v>Mayday</v>
          </cell>
          <cell r="I3627">
            <v>0.625</v>
          </cell>
          <cell r="J3627">
            <v>0.85416666666666663</v>
          </cell>
          <cell r="K3627">
            <v>5.5</v>
          </cell>
          <cell r="L3627">
            <v>177.59</v>
          </cell>
          <cell r="O3627" t="str">
            <v>Y</v>
          </cell>
          <cell r="P3627" t="str">
            <v>N</v>
          </cell>
          <cell r="Q3627" t="str">
            <v>Extra Capacity</v>
          </cell>
          <cell r="S3627">
            <v>0.15</v>
          </cell>
        </row>
        <row r="3628">
          <cell r="D3628">
            <v>1208001871</v>
          </cell>
          <cell r="E3628" t="str">
            <v>MICHAEL OKE</v>
          </cell>
          <cell r="F3628" t="str">
            <v>A (Ch)</v>
          </cell>
          <cell r="G3628">
            <v>17524</v>
          </cell>
          <cell r="H3628" t="str">
            <v>Choice</v>
          </cell>
          <cell r="I3628">
            <v>0.3125</v>
          </cell>
          <cell r="J3628">
            <v>0.64583333333333337</v>
          </cell>
          <cell r="K3628">
            <v>7.6666666666666696</v>
          </cell>
          <cell r="L3628">
            <v>85.02</v>
          </cell>
          <cell r="O3628" t="str">
            <v>Y</v>
          </cell>
          <cell r="P3628" t="str">
            <v>N</v>
          </cell>
          <cell r="Q3628" t="str">
            <v>Extra Capacity</v>
          </cell>
          <cell r="S3628">
            <v>0.2</v>
          </cell>
        </row>
        <row r="3629">
          <cell r="D3629">
            <v>1208001874</v>
          </cell>
          <cell r="E3629" t="str">
            <v>MICHAEL OKE</v>
          </cell>
          <cell r="F3629" t="str">
            <v>A (Ch)</v>
          </cell>
          <cell r="G3629">
            <v>17524</v>
          </cell>
          <cell r="H3629" t="str">
            <v>Choice</v>
          </cell>
          <cell r="I3629">
            <v>0.64583333333333337</v>
          </cell>
          <cell r="J3629">
            <v>0.85416666666666663</v>
          </cell>
          <cell r="K3629">
            <v>5</v>
          </cell>
          <cell r="L3629">
            <v>55.45</v>
          </cell>
          <cell r="O3629" t="str">
            <v>Y</v>
          </cell>
          <cell r="P3629" t="str">
            <v>N</v>
          </cell>
          <cell r="Q3629" t="str">
            <v>Extra Capacity</v>
          </cell>
          <cell r="S3629">
            <v>0.13</v>
          </cell>
        </row>
        <row r="3630">
          <cell r="D3630">
            <v>1208000715</v>
          </cell>
          <cell r="E3630" t="str">
            <v>MZUKISI SPEELMAN</v>
          </cell>
          <cell r="F3630" t="str">
            <v>A (Ch)</v>
          </cell>
          <cell r="G3630">
            <v>17524</v>
          </cell>
          <cell r="H3630" t="str">
            <v>Choice</v>
          </cell>
          <cell r="I3630">
            <v>0.3125</v>
          </cell>
          <cell r="J3630">
            <v>0.64583333333333337</v>
          </cell>
          <cell r="K3630">
            <v>7.6666666666666696</v>
          </cell>
          <cell r="L3630">
            <v>85.02</v>
          </cell>
          <cell r="O3630" t="str">
            <v>Y</v>
          </cell>
          <cell r="P3630" t="str">
            <v>N</v>
          </cell>
          <cell r="Q3630" t="str">
            <v>Extra Capacity</v>
          </cell>
          <cell r="S3630">
            <v>0.2</v>
          </cell>
        </row>
        <row r="3631">
          <cell r="D3631">
            <v>1208000718</v>
          </cell>
          <cell r="E3631" t="str">
            <v>MZUKISI SPEELMAN</v>
          </cell>
          <cell r="F3631" t="str">
            <v>A (Ch)</v>
          </cell>
          <cell r="G3631">
            <v>17524</v>
          </cell>
          <cell r="H3631" t="str">
            <v>Choice</v>
          </cell>
          <cell r="I3631">
            <v>0.64583333333333337</v>
          </cell>
          <cell r="J3631">
            <v>0.85416666666666663</v>
          </cell>
          <cell r="K3631">
            <v>5</v>
          </cell>
          <cell r="L3631">
            <v>55.45</v>
          </cell>
          <cell r="O3631" t="str">
            <v>Y</v>
          </cell>
          <cell r="P3631" t="str">
            <v>N</v>
          </cell>
          <cell r="Q3631" t="str">
            <v>Extra Capacity</v>
          </cell>
          <cell r="S3631">
            <v>0.13</v>
          </cell>
        </row>
        <row r="3632">
          <cell r="D3632">
            <v>1208003225</v>
          </cell>
          <cell r="E3632" t="str">
            <v>NIKKI ANDERTON</v>
          </cell>
          <cell r="F3632" t="str">
            <v>D (MD)</v>
          </cell>
          <cell r="H3632" t="str">
            <v>Mayday</v>
          </cell>
          <cell r="I3632">
            <v>0.3125</v>
          </cell>
          <cell r="J3632">
            <v>0.83333333333333337</v>
          </cell>
          <cell r="K3632">
            <v>11.8333333333333</v>
          </cell>
          <cell r="L3632">
            <v>382.1</v>
          </cell>
          <cell r="O3632" t="str">
            <v>Y</v>
          </cell>
          <cell r="P3632" t="str">
            <v>N</v>
          </cell>
          <cell r="Q3632" t="str">
            <v>Vacancy</v>
          </cell>
          <cell r="S3632">
            <v>0.32</v>
          </cell>
        </row>
        <row r="3633">
          <cell r="D3633">
            <v>1108002170</v>
          </cell>
          <cell r="E3633" t="str">
            <v>NILO DANUGO</v>
          </cell>
          <cell r="F3633" t="str">
            <v>D (Ch)</v>
          </cell>
          <cell r="G3633">
            <v>17514</v>
          </cell>
          <cell r="H3633" t="str">
            <v>Choice</v>
          </cell>
          <cell r="I3633">
            <v>0.84375</v>
          </cell>
          <cell r="J3633">
            <v>0.3125</v>
          </cell>
          <cell r="K3633">
            <v>10.25</v>
          </cell>
          <cell r="L3633">
            <v>324.73</v>
          </cell>
          <cell r="O3633" t="str">
            <v>Y</v>
          </cell>
          <cell r="P3633" t="str">
            <v>N</v>
          </cell>
          <cell r="Q3633" t="str">
            <v>Vacancy</v>
          </cell>
          <cell r="S3633">
            <v>0.27</v>
          </cell>
        </row>
        <row r="3634">
          <cell r="D3634">
            <v>1208002011</v>
          </cell>
          <cell r="E3634" t="str">
            <v>OMAR SENGHORE</v>
          </cell>
          <cell r="F3634" t="str">
            <v>D (MD)</v>
          </cell>
          <cell r="G3634">
            <v>352059</v>
          </cell>
          <cell r="H3634" t="str">
            <v>Mayday</v>
          </cell>
          <cell r="I3634">
            <v>0.83333333333333337</v>
          </cell>
          <cell r="J3634">
            <v>0.33333333333333331</v>
          </cell>
          <cell r="K3634">
            <v>11.3333333333333</v>
          </cell>
          <cell r="L3634">
            <v>475.74</v>
          </cell>
          <cell r="O3634" t="str">
            <v>Y</v>
          </cell>
          <cell r="P3634" t="str">
            <v>N</v>
          </cell>
          <cell r="Q3634" t="str">
            <v>Extra Capacity</v>
          </cell>
          <cell r="S3634">
            <v>0.3</v>
          </cell>
        </row>
        <row r="3635">
          <cell r="D3635">
            <v>1108004818</v>
          </cell>
          <cell r="E3635" t="str">
            <v>PEGGY MAPOGO</v>
          </cell>
          <cell r="F3635" t="str">
            <v>D (Ch)</v>
          </cell>
          <cell r="G3635">
            <v>17527</v>
          </cell>
          <cell r="H3635" t="str">
            <v>Choice</v>
          </cell>
          <cell r="I3635">
            <v>0.3125</v>
          </cell>
          <cell r="J3635">
            <v>0.54166666666666663</v>
          </cell>
          <cell r="K3635">
            <v>5.5</v>
          </cell>
          <cell r="L3635">
            <v>134.03</v>
          </cell>
          <cell r="O3635" t="str">
            <v>Y</v>
          </cell>
          <cell r="P3635" t="str">
            <v>N</v>
          </cell>
          <cell r="Q3635" t="str">
            <v>Vacancy</v>
          </cell>
          <cell r="S3635">
            <v>0.15</v>
          </cell>
        </row>
        <row r="3636">
          <cell r="D3636">
            <v>1108004819</v>
          </cell>
          <cell r="E3636" t="str">
            <v>PEGGY MAPOGO</v>
          </cell>
          <cell r="F3636" t="str">
            <v>D (Ch)</v>
          </cell>
          <cell r="G3636">
            <v>17527</v>
          </cell>
          <cell r="H3636" t="str">
            <v>Choice</v>
          </cell>
          <cell r="I3636">
            <v>0.625</v>
          </cell>
          <cell r="J3636">
            <v>0.85416666666666663</v>
          </cell>
          <cell r="K3636">
            <v>5.5</v>
          </cell>
          <cell r="L3636">
            <v>134.03</v>
          </cell>
          <cell r="O3636" t="str">
            <v>Y</v>
          </cell>
          <cell r="P3636" t="str">
            <v>N</v>
          </cell>
          <cell r="Q3636" t="str">
            <v>Vacancy</v>
          </cell>
          <cell r="S3636">
            <v>0.15</v>
          </cell>
        </row>
        <row r="3637">
          <cell r="D3637">
            <v>1108003573</v>
          </cell>
          <cell r="E3637" t="str">
            <v>PHILLY NYONI</v>
          </cell>
          <cell r="F3637" t="str">
            <v>D (Amb)</v>
          </cell>
          <cell r="G3637">
            <v>766161</v>
          </cell>
          <cell r="H3637" t="str">
            <v>Ambition</v>
          </cell>
          <cell r="I3637">
            <v>0.3125</v>
          </cell>
          <cell r="J3637">
            <v>0.5625</v>
          </cell>
          <cell r="K3637">
            <v>5.6666666666666696</v>
          </cell>
          <cell r="L3637">
            <v>221.57</v>
          </cell>
          <cell r="O3637" t="str">
            <v>Y</v>
          </cell>
          <cell r="P3637" t="str">
            <v>N</v>
          </cell>
          <cell r="Q3637" t="str">
            <v>Vacancy</v>
          </cell>
          <cell r="S3637">
            <v>0.15</v>
          </cell>
        </row>
        <row r="3638">
          <cell r="D3638">
            <v>1208003247</v>
          </cell>
          <cell r="E3638" t="str">
            <v>ROBERT DELACOUR</v>
          </cell>
          <cell r="F3638" t="str">
            <v>D (Amb)</v>
          </cell>
          <cell r="H3638" t="str">
            <v>Ambition</v>
          </cell>
          <cell r="I3638">
            <v>0.32291666666666669</v>
          </cell>
          <cell r="J3638">
            <v>0.84375</v>
          </cell>
          <cell r="K3638">
            <v>11.5</v>
          </cell>
          <cell r="L3638">
            <v>449.65</v>
          </cell>
          <cell r="O3638" t="str">
            <v>Y</v>
          </cell>
          <cell r="P3638" t="str">
            <v>N</v>
          </cell>
          <cell r="Q3638" t="str">
            <v>Extra Capacity</v>
          </cell>
          <cell r="S3638">
            <v>0.31</v>
          </cell>
        </row>
        <row r="3639">
          <cell r="D3639">
            <v>1208001869</v>
          </cell>
          <cell r="E3639" t="str">
            <v>RUTA KAIRYTE</v>
          </cell>
          <cell r="F3639" t="str">
            <v>D (Amb)</v>
          </cell>
          <cell r="G3639">
            <v>766413</v>
          </cell>
          <cell r="H3639" t="str">
            <v>Ambition</v>
          </cell>
          <cell r="I3639">
            <v>0.3125</v>
          </cell>
          <cell r="J3639">
            <v>0.64583333333333337</v>
          </cell>
          <cell r="K3639">
            <v>7.6666666666666696</v>
          </cell>
          <cell r="L3639">
            <v>299.77</v>
          </cell>
          <cell r="O3639" t="str">
            <v>Y</v>
          </cell>
          <cell r="P3639" t="str">
            <v>N</v>
          </cell>
          <cell r="Q3639" t="str">
            <v>Extra Capacity</v>
          </cell>
          <cell r="S3639">
            <v>0.2</v>
          </cell>
        </row>
        <row r="3640">
          <cell r="D3640">
            <v>1208000784</v>
          </cell>
          <cell r="E3640" t="str">
            <v>SAM KELEM</v>
          </cell>
          <cell r="F3640" t="str">
            <v>D (Ch)</v>
          </cell>
          <cell r="G3640">
            <v>17522</v>
          </cell>
          <cell r="H3640" t="str">
            <v>Choice</v>
          </cell>
          <cell r="I3640">
            <v>0.83333333333333337</v>
          </cell>
          <cell r="J3640">
            <v>0.33333333333333331</v>
          </cell>
          <cell r="K3640">
            <v>11.3333333333333</v>
          </cell>
          <cell r="L3640">
            <v>359.05</v>
          </cell>
          <cell r="O3640" t="str">
            <v>Y</v>
          </cell>
          <cell r="P3640" t="str">
            <v>N</v>
          </cell>
          <cell r="Q3640" t="str">
            <v>Extra Capacity</v>
          </cell>
          <cell r="S3640">
            <v>0.3</v>
          </cell>
        </row>
        <row r="3641">
          <cell r="D3641">
            <v>1208000420</v>
          </cell>
          <cell r="E3641" t="str">
            <v>SAMSON BARACENA</v>
          </cell>
          <cell r="F3641" t="str">
            <v>D (Ch)</v>
          </cell>
          <cell r="G3641">
            <v>17533</v>
          </cell>
          <cell r="H3641" t="str">
            <v>Choice</v>
          </cell>
          <cell r="I3641">
            <v>0.83333333333333337</v>
          </cell>
          <cell r="J3641">
            <v>0.33333333333333331</v>
          </cell>
          <cell r="K3641">
            <v>11.3333333333333</v>
          </cell>
          <cell r="L3641">
            <v>359.05</v>
          </cell>
          <cell r="O3641" t="str">
            <v>Y</v>
          </cell>
          <cell r="P3641" t="str">
            <v>N</v>
          </cell>
          <cell r="Q3641" t="str">
            <v>Vacancy</v>
          </cell>
          <cell r="S3641">
            <v>0.3</v>
          </cell>
        </row>
        <row r="3642">
          <cell r="D3642">
            <v>1208003403</v>
          </cell>
          <cell r="E3642" t="str">
            <v>SINCENGA GULU</v>
          </cell>
          <cell r="F3642" t="str">
            <v>D (Amb)</v>
          </cell>
          <cell r="H3642" t="str">
            <v>Ambition</v>
          </cell>
          <cell r="I3642">
            <v>0.84375</v>
          </cell>
          <cell r="J3642">
            <v>0.32291666666666669</v>
          </cell>
          <cell r="K3642">
            <v>10.5</v>
          </cell>
          <cell r="L3642">
            <v>533.72</v>
          </cell>
          <cell r="O3642" t="str">
            <v>Y</v>
          </cell>
          <cell r="P3642" t="str">
            <v>N</v>
          </cell>
          <cell r="Q3642" t="str">
            <v>Acuity</v>
          </cell>
          <cell r="S3642">
            <v>0.28000000000000003</v>
          </cell>
        </row>
        <row r="3643">
          <cell r="D3643">
            <v>1208003386</v>
          </cell>
          <cell r="E3643" t="str">
            <v>STEPHEN FERNANDEZ</v>
          </cell>
          <cell r="F3643" t="str">
            <v>D (MD)</v>
          </cell>
          <cell r="G3643">
            <v>350650</v>
          </cell>
          <cell r="H3643" t="str">
            <v>Mayday</v>
          </cell>
          <cell r="I3643">
            <v>0.83333333333333337</v>
          </cell>
          <cell r="J3643">
            <v>0.33333333333333331</v>
          </cell>
          <cell r="K3643">
            <v>11</v>
          </cell>
          <cell r="L3643">
            <v>461.75</v>
          </cell>
          <cell r="O3643" t="str">
            <v>Y</v>
          </cell>
          <cell r="P3643" t="str">
            <v>N</v>
          </cell>
          <cell r="Q3643" t="str">
            <v>Acuity</v>
          </cell>
          <cell r="S3643">
            <v>0.28999999999999998</v>
          </cell>
        </row>
        <row r="3644">
          <cell r="D3644">
            <v>1208002894</v>
          </cell>
          <cell r="E3644" t="str">
            <v>TAEL MHANGO</v>
          </cell>
          <cell r="F3644" t="str">
            <v>D (Ch)</v>
          </cell>
          <cell r="G3644">
            <v>17514</v>
          </cell>
          <cell r="H3644" t="str">
            <v>Choice</v>
          </cell>
          <cell r="I3644">
            <v>0.8125</v>
          </cell>
          <cell r="J3644">
            <v>0.3125</v>
          </cell>
          <cell r="K3644">
            <v>11.3333333333333</v>
          </cell>
          <cell r="L3644">
            <v>359.05</v>
          </cell>
          <cell r="O3644" t="str">
            <v>Y</v>
          </cell>
          <cell r="P3644" t="str">
            <v>N</v>
          </cell>
          <cell r="Q3644" t="str">
            <v>Extra Capacity</v>
          </cell>
          <cell r="S3644">
            <v>0.3</v>
          </cell>
        </row>
        <row r="3645">
          <cell r="D3645">
            <v>1208000709</v>
          </cell>
          <cell r="E3645" t="str">
            <v>TAMBU JENA</v>
          </cell>
          <cell r="F3645" t="str">
            <v>D (Ch)</v>
          </cell>
          <cell r="G3645">
            <v>17524</v>
          </cell>
          <cell r="H3645" t="str">
            <v>Choice</v>
          </cell>
          <cell r="I3645">
            <v>0.64583333333333337</v>
          </cell>
          <cell r="J3645">
            <v>0.85416666666666663</v>
          </cell>
          <cell r="K3645">
            <v>5</v>
          </cell>
          <cell r="L3645">
            <v>121.85</v>
          </cell>
          <cell r="O3645" t="str">
            <v>Y</v>
          </cell>
          <cell r="P3645" t="str">
            <v>N</v>
          </cell>
          <cell r="Q3645" t="str">
            <v>Extra Capacity</v>
          </cell>
          <cell r="S3645">
            <v>0.13</v>
          </cell>
        </row>
        <row r="3646">
          <cell r="D3646">
            <v>1008005134</v>
          </cell>
          <cell r="E3646" t="str">
            <v>TANYA SMITH</v>
          </cell>
          <cell r="F3646" t="str">
            <v>D (Amb)</v>
          </cell>
          <cell r="G3646">
            <v>766398</v>
          </cell>
          <cell r="H3646" t="str">
            <v>Ambition</v>
          </cell>
          <cell r="I3646">
            <v>0.8125</v>
          </cell>
          <cell r="J3646">
            <v>0.33333333333333331</v>
          </cell>
          <cell r="K3646">
            <v>11.8333333333333</v>
          </cell>
          <cell r="L3646">
            <v>601.49</v>
          </cell>
          <cell r="O3646" t="str">
            <v>Y</v>
          </cell>
          <cell r="P3646" t="str">
            <v>N</v>
          </cell>
          <cell r="Q3646" t="str">
            <v>Long Term Sick</v>
          </cell>
          <cell r="S3646">
            <v>0.32</v>
          </cell>
        </row>
        <row r="3647">
          <cell r="D3647">
            <v>1108006499</v>
          </cell>
          <cell r="E3647" t="str">
            <v>TARA MASSIE</v>
          </cell>
          <cell r="F3647" t="str">
            <v>D (MD)</v>
          </cell>
          <cell r="G3647">
            <v>352091</v>
          </cell>
          <cell r="H3647" t="str">
            <v>Mayday</v>
          </cell>
          <cell r="I3647">
            <v>0.5625</v>
          </cell>
          <cell r="J3647">
            <v>0.85416666666666663</v>
          </cell>
          <cell r="K3647">
            <v>6.6666666666666696</v>
          </cell>
          <cell r="L3647">
            <v>215.27</v>
          </cell>
          <cell r="O3647" t="str">
            <v>Y</v>
          </cell>
          <cell r="P3647" t="str">
            <v>N</v>
          </cell>
          <cell r="Q3647" t="str">
            <v>Under Established</v>
          </cell>
          <cell r="S3647">
            <v>0.18</v>
          </cell>
        </row>
        <row r="3648">
          <cell r="D3648">
            <v>1208001024</v>
          </cell>
          <cell r="E3648" t="str">
            <v>TARA MASSIE</v>
          </cell>
          <cell r="F3648" t="str">
            <v>D (MD)</v>
          </cell>
          <cell r="G3648">
            <v>352091</v>
          </cell>
          <cell r="H3648" t="str">
            <v>Mayday</v>
          </cell>
          <cell r="I3648">
            <v>0.3125</v>
          </cell>
          <cell r="J3648">
            <v>0.5625</v>
          </cell>
          <cell r="K3648">
            <v>5.6666666666666696</v>
          </cell>
          <cell r="L3648">
            <v>182.98</v>
          </cell>
          <cell r="O3648" t="str">
            <v>Y</v>
          </cell>
          <cell r="P3648" t="str">
            <v>N</v>
          </cell>
          <cell r="Q3648" t="str">
            <v>Study Leave</v>
          </cell>
          <cell r="S3648">
            <v>0.15</v>
          </cell>
        </row>
        <row r="3649">
          <cell r="D3649">
            <v>1208002582</v>
          </cell>
          <cell r="E3649" t="str">
            <v>VANESSA GOULD</v>
          </cell>
          <cell r="F3649" t="str">
            <v>A /2 General (M</v>
          </cell>
          <cell r="G3649" t="str">
            <v>604-160942</v>
          </cell>
          <cell r="H3649" t="str">
            <v>Medacs</v>
          </cell>
          <cell r="I3649">
            <v>0.625</v>
          </cell>
          <cell r="J3649">
            <v>0.88541666666666663</v>
          </cell>
          <cell r="K3649">
            <v>5.9166666666666696</v>
          </cell>
          <cell r="L3649">
            <v>57.69</v>
          </cell>
          <cell r="O3649" t="str">
            <v>Y</v>
          </cell>
          <cell r="P3649" t="str">
            <v>N</v>
          </cell>
          <cell r="Q3649" t="str">
            <v>Specials</v>
          </cell>
          <cell r="S3649">
            <v>0.16</v>
          </cell>
        </row>
        <row r="3650">
          <cell r="D3650">
            <v>1208001958</v>
          </cell>
          <cell r="E3650" t="str">
            <v>ALLI SUBRAMANIAM</v>
          </cell>
          <cell r="F3650" t="str">
            <v>D (MD)</v>
          </cell>
          <cell r="G3650">
            <v>352301</v>
          </cell>
          <cell r="H3650" t="str">
            <v>Mayday</v>
          </cell>
          <cell r="I3650">
            <v>0.3125</v>
          </cell>
          <cell r="J3650">
            <v>0.625</v>
          </cell>
          <cell r="K3650">
            <v>7.1666666666666696</v>
          </cell>
          <cell r="L3650">
            <v>300.83999999999997</v>
          </cell>
          <cell r="O3650" t="str">
            <v>Y</v>
          </cell>
          <cell r="P3650" t="str">
            <v>N</v>
          </cell>
          <cell r="Q3650" t="str">
            <v>Extra Capacity</v>
          </cell>
          <cell r="S3650">
            <v>0.19</v>
          </cell>
        </row>
        <row r="3651">
          <cell r="D3651">
            <v>1208001985</v>
          </cell>
          <cell r="E3651" t="str">
            <v>ALLI SUBRAMANIAM</v>
          </cell>
          <cell r="F3651" t="str">
            <v>D (MD)</v>
          </cell>
          <cell r="G3651">
            <v>352301</v>
          </cell>
          <cell r="H3651" t="str">
            <v>Mayday</v>
          </cell>
          <cell r="I3651">
            <v>0.625</v>
          </cell>
          <cell r="J3651">
            <v>0.85416666666666663</v>
          </cell>
          <cell r="K3651">
            <v>5.5</v>
          </cell>
          <cell r="L3651">
            <v>230.87</v>
          </cell>
          <cell r="O3651" t="str">
            <v>Y</v>
          </cell>
          <cell r="P3651" t="str">
            <v>N</v>
          </cell>
          <cell r="Q3651" t="str">
            <v>Extra Capacity</v>
          </cell>
          <cell r="S3651">
            <v>0.15</v>
          </cell>
        </row>
        <row r="3652">
          <cell r="D3652">
            <v>1108006246</v>
          </cell>
          <cell r="E3652" t="str">
            <v>ALMA DEPENA</v>
          </cell>
          <cell r="F3652" t="str">
            <v>D (Ch)</v>
          </cell>
          <cell r="G3652">
            <v>17524</v>
          </cell>
          <cell r="H3652" t="str">
            <v>Choice</v>
          </cell>
          <cell r="I3652">
            <v>0.8125</v>
          </cell>
          <cell r="J3652">
            <v>0.33333333333333331</v>
          </cell>
          <cell r="K3652">
            <v>11.8333333333333</v>
          </cell>
          <cell r="L3652">
            <v>374.89</v>
          </cell>
          <cell r="O3652" t="str">
            <v>Y</v>
          </cell>
          <cell r="P3652" t="str">
            <v>N</v>
          </cell>
          <cell r="Q3652" t="str">
            <v>Vacancy</v>
          </cell>
          <cell r="S3652">
            <v>0.32</v>
          </cell>
        </row>
        <row r="3653">
          <cell r="D3653">
            <v>1208001881</v>
          </cell>
          <cell r="E3653" t="str">
            <v>ARJE ZAMBARRANO</v>
          </cell>
          <cell r="F3653" t="str">
            <v>D (MD)</v>
          </cell>
          <cell r="G3653">
            <v>352174</v>
          </cell>
          <cell r="H3653" t="str">
            <v>Mayday</v>
          </cell>
          <cell r="I3653">
            <v>0.3125</v>
          </cell>
          <cell r="J3653">
            <v>0.64583333333333337</v>
          </cell>
          <cell r="K3653">
            <v>7.6666666666666696</v>
          </cell>
          <cell r="L3653">
            <v>321.82</v>
          </cell>
          <cell r="O3653" t="str">
            <v>Y</v>
          </cell>
          <cell r="P3653" t="str">
            <v>N</v>
          </cell>
          <cell r="Q3653" t="str">
            <v>Extra Capacity</v>
          </cell>
          <cell r="S3653">
            <v>0.2</v>
          </cell>
        </row>
        <row r="3654">
          <cell r="D3654">
            <v>1208003271</v>
          </cell>
          <cell r="E3654" t="str">
            <v>ATINUKE OKE-OLATUNDE</v>
          </cell>
          <cell r="F3654" t="str">
            <v>D (MD)</v>
          </cell>
          <cell r="G3654">
            <v>352911</v>
          </cell>
          <cell r="H3654" t="str">
            <v>Mayday</v>
          </cell>
          <cell r="I3654">
            <v>0.83333333333333337</v>
          </cell>
          <cell r="J3654">
            <v>0.33333333333333331</v>
          </cell>
          <cell r="K3654">
            <v>11.3333333333333</v>
          </cell>
          <cell r="L3654">
            <v>475.74</v>
          </cell>
          <cell r="O3654" t="str">
            <v>Y</v>
          </cell>
          <cell r="P3654" t="str">
            <v>N</v>
          </cell>
          <cell r="Q3654" t="str">
            <v>Extra Capacity</v>
          </cell>
          <cell r="S3654">
            <v>0.3</v>
          </cell>
        </row>
        <row r="3655">
          <cell r="D3655">
            <v>1208002897</v>
          </cell>
          <cell r="E3655" t="str">
            <v>BERTHA CHITABO</v>
          </cell>
          <cell r="F3655" t="str">
            <v>D (Ch)</v>
          </cell>
          <cell r="G3655">
            <v>17534</v>
          </cell>
          <cell r="H3655" t="str">
            <v>Choice</v>
          </cell>
          <cell r="I3655">
            <v>0.875</v>
          </cell>
          <cell r="J3655">
            <v>0.32291666666666669</v>
          </cell>
          <cell r="K3655">
            <v>10</v>
          </cell>
          <cell r="L3655">
            <v>316.81</v>
          </cell>
          <cell r="O3655" t="str">
            <v>Y</v>
          </cell>
          <cell r="P3655" t="str">
            <v>N</v>
          </cell>
          <cell r="Q3655" t="str">
            <v>Short Term Sick</v>
          </cell>
          <cell r="S3655">
            <v>0.27</v>
          </cell>
        </row>
        <row r="3656">
          <cell r="D3656">
            <v>1208002017</v>
          </cell>
          <cell r="E3656" t="str">
            <v>BHEENADEVI BASSOO</v>
          </cell>
          <cell r="F3656" t="str">
            <v>D (MD)</v>
          </cell>
          <cell r="G3656">
            <v>354015</v>
          </cell>
          <cell r="H3656" t="str">
            <v>Mayday</v>
          </cell>
          <cell r="I3656">
            <v>0.83333333333333337</v>
          </cell>
          <cell r="J3656">
            <v>0.33333333333333331</v>
          </cell>
          <cell r="K3656">
            <v>11.3333333333333</v>
          </cell>
          <cell r="L3656">
            <v>475.74</v>
          </cell>
          <cell r="O3656" t="str">
            <v>Y</v>
          </cell>
          <cell r="P3656" t="str">
            <v>N</v>
          </cell>
          <cell r="Q3656" t="str">
            <v>Extra Capacity</v>
          </cell>
          <cell r="S3656">
            <v>0.3</v>
          </cell>
        </row>
        <row r="3657">
          <cell r="D3657">
            <v>1208001880</v>
          </cell>
          <cell r="E3657" t="str">
            <v>BIDDY CHAFESUKA</v>
          </cell>
          <cell r="F3657" t="str">
            <v>D (Ch)</v>
          </cell>
          <cell r="G3657">
            <v>17524</v>
          </cell>
          <cell r="H3657" t="str">
            <v>Choice</v>
          </cell>
          <cell r="I3657">
            <v>0.3125</v>
          </cell>
          <cell r="J3657">
            <v>0.64583333333333337</v>
          </cell>
          <cell r="K3657">
            <v>7.6666666666666696</v>
          </cell>
          <cell r="L3657">
            <v>242.89</v>
          </cell>
          <cell r="O3657" t="str">
            <v>Y</v>
          </cell>
          <cell r="P3657" t="str">
            <v>N</v>
          </cell>
          <cell r="Q3657" t="str">
            <v>Extra Capacity</v>
          </cell>
          <cell r="S3657">
            <v>0.2</v>
          </cell>
        </row>
        <row r="3658">
          <cell r="D3658">
            <v>1208001884</v>
          </cell>
          <cell r="E3658" t="str">
            <v>BIDDY CHAFESUKA</v>
          </cell>
          <cell r="F3658" t="str">
            <v>D (Ch)</v>
          </cell>
          <cell r="G3658">
            <v>17524</v>
          </cell>
          <cell r="H3658" t="str">
            <v>Choice</v>
          </cell>
          <cell r="I3658">
            <v>0.64583333333333337</v>
          </cell>
          <cell r="J3658">
            <v>0.85416666666666663</v>
          </cell>
          <cell r="K3658">
            <v>5</v>
          </cell>
          <cell r="L3658">
            <v>158.41</v>
          </cell>
          <cell r="O3658" t="str">
            <v>Y</v>
          </cell>
          <cell r="P3658" t="str">
            <v>N</v>
          </cell>
          <cell r="Q3658" t="str">
            <v>Extra Capacity</v>
          </cell>
          <cell r="S3658">
            <v>0.13</v>
          </cell>
        </row>
        <row r="3659">
          <cell r="D3659">
            <v>1208003563</v>
          </cell>
          <cell r="E3659" t="str">
            <v>BONITA BUTLER</v>
          </cell>
          <cell r="F3659" t="str">
            <v>D (MD)</v>
          </cell>
          <cell r="G3659">
            <v>351832</v>
          </cell>
          <cell r="H3659" t="str">
            <v>Mayday</v>
          </cell>
          <cell r="I3659">
            <v>0.84375</v>
          </cell>
          <cell r="J3659">
            <v>0.33333333333333331</v>
          </cell>
          <cell r="K3659">
            <v>10.75</v>
          </cell>
          <cell r="L3659">
            <v>451.25</v>
          </cell>
          <cell r="O3659" t="str">
            <v>Y</v>
          </cell>
          <cell r="P3659" t="str">
            <v>N</v>
          </cell>
          <cell r="Q3659" t="str">
            <v>Short Term Sick</v>
          </cell>
          <cell r="S3659">
            <v>0.28999999999999998</v>
          </cell>
        </row>
        <row r="3660">
          <cell r="D3660">
            <v>1208003149</v>
          </cell>
          <cell r="E3660" t="str">
            <v>BRENDA GWEKWERERE</v>
          </cell>
          <cell r="F3660" t="str">
            <v>D (Ch)</v>
          </cell>
          <cell r="H3660" t="str">
            <v>Choice</v>
          </cell>
          <cell r="I3660">
            <v>0.8125</v>
          </cell>
          <cell r="J3660">
            <v>0.33333333333333331</v>
          </cell>
          <cell r="K3660">
            <v>11.8333333333333</v>
          </cell>
          <cell r="L3660">
            <v>374.89</v>
          </cell>
          <cell r="O3660" t="str">
            <v>Y</v>
          </cell>
          <cell r="P3660" t="str">
            <v>N</v>
          </cell>
          <cell r="Q3660" t="str">
            <v>Extra Capacity</v>
          </cell>
          <cell r="S3660">
            <v>0.32</v>
          </cell>
        </row>
        <row r="3661">
          <cell r="D3661">
            <v>1108006224</v>
          </cell>
          <cell r="E3661" t="str">
            <v>BRIGHTNESS NDEBELE</v>
          </cell>
          <cell r="F3661" t="str">
            <v>D (MD)</v>
          </cell>
          <cell r="G3661">
            <v>352279</v>
          </cell>
          <cell r="H3661" t="str">
            <v>Mayday</v>
          </cell>
          <cell r="I3661">
            <v>0.3125</v>
          </cell>
          <cell r="J3661">
            <v>0.83333333333333337</v>
          </cell>
          <cell r="K3661">
            <v>11.8333333333333</v>
          </cell>
          <cell r="L3661">
            <v>496.73</v>
          </cell>
          <cell r="O3661" t="str">
            <v>Y</v>
          </cell>
          <cell r="P3661" t="str">
            <v>N</v>
          </cell>
          <cell r="Q3661" t="str">
            <v>Short Term Sick</v>
          </cell>
          <cell r="S3661">
            <v>0.32</v>
          </cell>
        </row>
        <row r="3662">
          <cell r="D3662">
            <v>1208003742</v>
          </cell>
          <cell r="E3662" t="str">
            <v>CARMEN MAURICIO</v>
          </cell>
          <cell r="F3662" t="str">
            <v>D (MD)</v>
          </cell>
          <cell r="G3662">
            <v>353676</v>
          </cell>
          <cell r="H3662" t="str">
            <v>Mayday</v>
          </cell>
          <cell r="I3662">
            <v>0.83333333333333337</v>
          </cell>
          <cell r="J3662">
            <v>0.33333333333333331</v>
          </cell>
          <cell r="K3662">
            <v>11</v>
          </cell>
          <cell r="L3662">
            <v>461.75</v>
          </cell>
          <cell r="O3662" t="str">
            <v>Y</v>
          </cell>
          <cell r="P3662" t="str">
            <v>N</v>
          </cell>
          <cell r="Q3662" t="str">
            <v>Extra Capacity</v>
          </cell>
          <cell r="S3662">
            <v>0.28999999999999998</v>
          </cell>
        </row>
        <row r="3663">
          <cell r="D3663">
            <v>1208003273</v>
          </cell>
          <cell r="E3663" t="str">
            <v>CATH CHIDAVAYENZI</v>
          </cell>
          <cell r="F3663" t="str">
            <v>D (Ch)</v>
          </cell>
          <cell r="G3663">
            <v>17522</v>
          </cell>
          <cell r="H3663" t="str">
            <v>Choice</v>
          </cell>
          <cell r="I3663">
            <v>0.83333333333333337</v>
          </cell>
          <cell r="J3663">
            <v>0.33333333333333331</v>
          </cell>
          <cell r="K3663">
            <v>11.3333333333333</v>
          </cell>
          <cell r="L3663">
            <v>359.05</v>
          </cell>
          <cell r="O3663" t="str">
            <v>Y</v>
          </cell>
          <cell r="P3663" t="str">
            <v>N</v>
          </cell>
          <cell r="Q3663" t="str">
            <v>Extra Capacity</v>
          </cell>
          <cell r="S3663">
            <v>0.3</v>
          </cell>
        </row>
        <row r="3664">
          <cell r="D3664">
            <v>1208000729</v>
          </cell>
          <cell r="E3664" t="str">
            <v>DAMILOLA AIKI</v>
          </cell>
          <cell r="F3664" t="str">
            <v>A (Ch)</v>
          </cell>
          <cell r="G3664">
            <v>17524</v>
          </cell>
          <cell r="H3664" t="str">
            <v>Choice</v>
          </cell>
          <cell r="I3664">
            <v>0.3125</v>
          </cell>
          <cell r="J3664">
            <v>0.64583333333333337</v>
          </cell>
          <cell r="K3664">
            <v>7.6666666666666696</v>
          </cell>
          <cell r="L3664">
            <v>113.36</v>
          </cell>
          <cell r="O3664" t="str">
            <v>Y</v>
          </cell>
          <cell r="P3664" t="str">
            <v>N</v>
          </cell>
          <cell r="Q3664" t="str">
            <v>Extra Capacity</v>
          </cell>
          <cell r="S3664">
            <v>0.2</v>
          </cell>
        </row>
        <row r="3665">
          <cell r="D3665">
            <v>1208000732</v>
          </cell>
          <cell r="E3665" t="str">
            <v>DAMILOLA AIKI</v>
          </cell>
          <cell r="F3665" t="str">
            <v>A (Ch)</v>
          </cell>
          <cell r="G3665">
            <v>17524</v>
          </cell>
          <cell r="H3665" t="str">
            <v>Choice</v>
          </cell>
          <cell r="I3665">
            <v>0.64583333333333337</v>
          </cell>
          <cell r="J3665">
            <v>0.85416666666666663</v>
          </cell>
          <cell r="K3665">
            <v>5</v>
          </cell>
          <cell r="L3665">
            <v>73.930000000000007</v>
          </cell>
          <cell r="O3665" t="str">
            <v>Y</v>
          </cell>
          <cell r="P3665" t="str">
            <v>N</v>
          </cell>
          <cell r="Q3665" t="str">
            <v>Extra Capacity</v>
          </cell>
          <cell r="S3665">
            <v>0.13</v>
          </cell>
        </row>
        <row r="3666">
          <cell r="D3666">
            <v>1208001822</v>
          </cell>
          <cell r="E3666" t="str">
            <v>DENNIS HEBRON</v>
          </cell>
          <cell r="F3666" t="str">
            <v>D (Ch)</v>
          </cell>
          <cell r="G3666">
            <v>17526</v>
          </cell>
          <cell r="H3666" t="str">
            <v>Choice</v>
          </cell>
          <cell r="I3666">
            <v>0.83333333333333337</v>
          </cell>
          <cell r="J3666">
            <v>0.33333333333333331</v>
          </cell>
          <cell r="K3666">
            <v>11.3333333333333</v>
          </cell>
          <cell r="L3666">
            <v>359.05</v>
          </cell>
          <cell r="O3666" t="str">
            <v>Y</v>
          </cell>
          <cell r="P3666" t="str">
            <v>N</v>
          </cell>
          <cell r="Q3666" t="str">
            <v>Emergency Leave</v>
          </cell>
          <cell r="S3666">
            <v>0.3</v>
          </cell>
        </row>
        <row r="3667">
          <cell r="D3667">
            <v>1208000738</v>
          </cell>
          <cell r="E3667" t="str">
            <v>DOROTHY MUTEMWA</v>
          </cell>
          <cell r="F3667" t="str">
            <v>A (Ch)</v>
          </cell>
          <cell r="H3667" t="str">
            <v>Choice</v>
          </cell>
          <cell r="I3667">
            <v>0.83333333333333337</v>
          </cell>
          <cell r="J3667">
            <v>0.33333333333333331</v>
          </cell>
          <cell r="K3667">
            <v>11.3333333333333</v>
          </cell>
          <cell r="L3667">
            <v>167.58</v>
          </cell>
          <cell r="O3667" t="str">
            <v>Y</v>
          </cell>
          <cell r="P3667" t="str">
            <v>N</v>
          </cell>
          <cell r="Q3667" t="str">
            <v>Extra Capacity</v>
          </cell>
          <cell r="S3667">
            <v>0.3</v>
          </cell>
        </row>
        <row r="3668">
          <cell r="D3668">
            <v>1208003760</v>
          </cell>
          <cell r="E3668" t="str">
            <v>ELENOR PARAZO</v>
          </cell>
          <cell r="F3668" t="str">
            <v>D (MD)</v>
          </cell>
          <cell r="G3668">
            <v>351735</v>
          </cell>
          <cell r="H3668" t="str">
            <v>Mayday</v>
          </cell>
          <cell r="I3668">
            <v>0.8125</v>
          </cell>
          <cell r="J3668">
            <v>0.33333333333333331</v>
          </cell>
          <cell r="K3668">
            <v>11.8333333333333</v>
          </cell>
          <cell r="L3668">
            <v>496.73</v>
          </cell>
          <cell r="O3668" t="str">
            <v>Y</v>
          </cell>
          <cell r="P3668" t="str">
            <v>N</v>
          </cell>
          <cell r="Q3668" t="str">
            <v>Short Term Sick</v>
          </cell>
          <cell r="S3668">
            <v>0.32</v>
          </cell>
        </row>
        <row r="3669">
          <cell r="D3669">
            <v>1208000731</v>
          </cell>
          <cell r="E3669" t="str">
            <v>FURTHERMORE MUTSINZE</v>
          </cell>
          <cell r="F3669" t="str">
            <v>A (Ch)</v>
          </cell>
          <cell r="G3669">
            <v>17524</v>
          </cell>
          <cell r="H3669" t="str">
            <v>Choice</v>
          </cell>
          <cell r="I3669">
            <v>0.3125</v>
          </cell>
          <cell r="J3669">
            <v>0.64583333333333337</v>
          </cell>
          <cell r="K3669">
            <v>7.6666666666666696</v>
          </cell>
          <cell r="L3669">
            <v>113.36</v>
          </cell>
          <cell r="O3669" t="str">
            <v>Y</v>
          </cell>
          <cell r="P3669" t="str">
            <v>N</v>
          </cell>
          <cell r="Q3669" t="str">
            <v>Extra Capacity</v>
          </cell>
          <cell r="S3669">
            <v>0.2</v>
          </cell>
        </row>
        <row r="3670">
          <cell r="D3670">
            <v>1208000735</v>
          </cell>
          <cell r="E3670" t="str">
            <v>FURTHERMORE MUTSINZE</v>
          </cell>
          <cell r="F3670" t="str">
            <v>A (Ch)</v>
          </cell>
          <cell r="G3670">
            <v>17524</v>
          </cell>
          <cell r="H3670" t="str">
            <v>Choice</v>
          </cell>
          <cell r="I3670">
            <v>0.64583333333333337</v>
          </cell>
          <cell r="J3670">
            <v>0.85416666666666663</v>
          </cell>
          <cell r="K3670">
            <v>5</v>
          </cell>
          <cell r="L3670">
            <v>73.930000000000007</v>
          </cell>
          <cell r="O3670" t="str">
            <v>Y</v>
          </cell>
          <cell r="P3670" t="str">
            <v>N</v>
          </cell>
          <cell r="Q3670" t="str">
            <v>Extra Capacity</v>
          </cell>
          <cell r="S3670">
            <v>0.13</v>
          </cell>
        </row>
        <row r="3671">
          <cell r="D3671">
            <v>1108006231</v>
          </cell>
          <cell r="E3671" t="str">
            <v>GALE HARLEY</v>
          </cell>
          <cell r="F3671" t="str">
            <v>D (Amb)</v>
          </cell>
          <cell r="H3671" t="str">
            <v>Ambition</v>
          </cell>
          <cell r="I3671">
            <v>0.3125</v>
          </cell>
          <cell r="J3671">
            <v>0.83333333333333337</v>
          </cell>
          <cell r="K3671">
            <v>11.8333333333333</v>
          </cell>
          <cell r="L3671">
            <v>601.49</v>
          </cell>
          <cell r="O3671" t="str">
            <v>Y</v>
          </cell>
          <cell r="P3671" t="str">
            <v>N</v>
          </cell>
          <cell r="Q3671" t="str">
            <v>Vacancy</v>
          </cell>
          <cell r="S3671">
            <v>0.32</v>
          </cell>
        </row>
        <row r="3672">
          <cell r="D3672">
            <v>1208001402</v>
          </cell>
          <cell r="E3672" t="str">
            <v>JANE DUNSMURE</v>
          </cell>
          <cell r="F3672" t="str">
            <v>D/5 (PS)</v>
          </cell>
          <cell r="H3672" t="str">
            <v>Pinnacle Staffing</v>
          </cell>
          <cell r="I3672">
            <v>0.88541666666666663</v>
          </cell>
          <cell r="J3672">
            <v>0.30208333333333331</v>
          </cell>
          <cell r="K3672">
            <v>9</v>
          </cell>
          <cell r="L3672">
            <v>198.78</v>
          </cell>
          <cell r="O3672" t="str">
            <v>Y</v>
          </cell>
          <cell r="P3672" t="str">
            <v>N</v>
          </cell>
          <cell r="Q3672" t="str">
            <v>Long Term Sick</v>
          </cell>
          <cell r="S3672">
            <v>0.24</v>
          </cell>
        </row>
        <row r="3673">
          <cell r="D3673">
            <v>1208001888</v>
          </cell>
          <cell r="E3673" t="str">
            <v>JASMINE ESGUERRA</v>
          </cell>
          <cell r="F3673" t="str">
            <v>D (Ch)</v>
          </cell>
          <cell r="G3673">
            <v>17520</v>
          </cell>
          <cell r="H3673" t="str">
            <v>Choice</v>
          </cell>
          <cell r="I3673">
            <v>0.83333333333333337</v>
          </cell>
          <cell r="J3673">
            <v>0.33333333333333331</v>
          </cell>
          <cell r="K3673">
            <v>11.3333333333333</v>
          </cell>
          <cell r="L3673">
            <v>359.05</v>
          </cell>
          <cell r="O3673" t="str">
            <v>Y</v>
          </cell>
          <cell r="P3673" t="str">
            <v>N</v>
          </cell>
          <cell r="Q3673" t="str">
            <v>Extra Capacity</v>
          </cell>
          <cell r="S3673">
            <v>0.3</v>
          </cell>
        </row>
        <row r="3674">
          <cell r="D3674">
            <v>1208000343</v>
          </cell>
          <cell r="E3674" t="str">
            <v>JASON WENT</v>
          </cell>
          <cell r="F3674" t="str">
            <v>D / 5 General (</v>
          </cell>
          <cell r="G3674" t="str">
            <v>604-160941</v>
          </cell>
          <cell r="H3674" t="str">
            <v>Blue Arrow</v>
          </cell>
          <cell r="I3674">
            <v>0.83333333333333337</v>
          </cell>
          <cell r="J3674">
            <v>0.33333333333333331</v>
          </cell>
          <cell r="K3674">
            <v>11</v>
          </cell>
          <cell r="L3674">
            <v>241.38</v>
          </cell>
          <cell r="O3674" t="str">
            <v>Y</v>
          </cell>
          <cell r="P3674" t="str">
            <v>N</v>
          </cell>
          <cell r="Q3674" t="str">
            <v>Extra Capacity</v>
          </cell>
          <cell r="S3674">
            <v>0.28999999999999998</v>
          </cell>
        </row>
        <row r="3675">
          <cell r="D3675">
            <v>1108006238</v>
          </cell>
          <cell r="E3675" t="str">
            <v>JOELIS PASCUA</v>
          </cell>
          <cell r="F3675" t="str">
            <v>D (Ch)</v>
          </cell>
          <cell r="G3675">
            <v>17520</v>
          </cell>
          <cell r="H3675" t="str">
            <v>Choice</v>
          </cell>
          <cell r="I3675">
            <v>0.8125</v>
          </cell>
          <cell r="J3675">
            <v>0.33333333333333331</v>
          </cell>
          <cell r="K3675">
            <v>11.8333333333333</v>
          </cell>
          <cell r="L3675">
            <v>374.89</v>
          </cell>
          <cell r="O3675" t="str">
            <v>Y</v>
          </cell>
          <cell r="P3675" t="str">
            <v>N</v>
          </cell>
          <cell r="Q3675" t="str">
            <v>Short Term Sick</v>
          </cell>
          <cell r="S3675">
            <v>0.32</v>
          </cell>
        </row>
        <row r="3676">
          <cell r="D3676">
            <v>1208000299</v>
          </cell>
          <cell r="E3676" t="str">
            <v>JUDITH MULUMBA</v>
          </cell>
          <cell r="F3676" t="str">
            <v>D (Ch)</v>
          </cell>
          <cell r="G3676">
            <v>17523</v>
          </cell>
          <cell r="H3676" t="str">
            <v>Choice</v>
          </cell>
          <cell r="I3676">
            <v>0.32291666666666669</v>
          </cell>
          <cell r="J3676">
            <v>0.5625</v>
          </cell>
          <cell r="K3676">
            <v>5.75</v>
          </cell>
          <cell r="L3676">
            <v>182.17</v>
          </cell>
          <cell r="O3676" t="str">
            <v>Y</v>
          </cell>
          <cell r="P3676" t="str">
            <v>N</v>
          </cell>
          <cell r="Q3676" t="str">
            <v>Extra Capacity</v>
          </cell>
          <cell r="S3676">
            <v>0.15</v>
          </cell>
        </row>
        <row r="3677">
          <cell r="D3677">
            <v>1208001987</v>
          </cell>
          <cell r="E3677" t="str">
            <v>JUDITH MULUMBA</v>
          </cell>
          <cell r="F3677" t="str">
            <v>D (Ch)</v>
          </cell>
          <cell r="G3677">
            <v>17529</v>
          </cell>
          <cell r="H3677" t="str">
            <v>Choice</v>
          </cell>
          <cell r="I3677">
            <v>0.625</v>
          </cell>
          <cell r="J3677">
            <v>0.85416666666666663</v>
          </cell>
          <cell r="K3677">
            <v>5.5</v>
          </cell>
          <cell r="L3677">
            <v>174.25</v>
          </cell>
          <cell r="O3677" t="str">
            <v>Y</v>
          </cell>
          <cell r="P3677" t="str">
            <v>N</v>
          </cell>
          <cell r="Q3677" t="str">
            <v>Extra Capacity</v>
          </cell>
          <cell r="S3677">
            <v>0.15</v>
          </cell>
        </row>
        <row r="3678">
          <cell r="D3678">
            <v>1208003269</v>
          </cell>
          <cell r="E3678" t="str">
            <v>KAREN COOMBE</v>
          </cell>
          <cell r="F3678" t="str">
            <v>D (Amb)</v>
          </cell>
          <cell r="G3678">
            <v>767217</v>
          </cell>
          <cell r="H3678" t="str">
            <v>Ambition</v>
          </cell>
          <cell r="I3678">
            <v>0.3125</v>
          </cell>
          <cell r="J3678">
            <v>0.85416666666666663</v>
          </cell>
          <cell r="K3678">
            <v>12.3333333333333</v>
          </cell>
          <cell r="L3678">
            <v>626.9</v>
          </cell>
          <cell r="O3678" t="str">
            <v>Y</v>
          </cell>
          <cell r="P3678" t="str">
            <v>N</v>
          </cell>
          <cell r="Q3678" t="str">
            <v>Extra Capacity</v>
          </cell>
          <cell r="S3678">
            <v>0.33</v>
          </cell>
        </row>
        <row r="3679">
          <cell r="D3679">
            <v>1108001705</v>
          </cell>
          <cell r="E3679" t="str">
            <v>KAREN STRUDWICK</v>
          </cell>
          <cell r="F3679" t="str">
            <v>D (Ch)</v>
          </cell>
          <cell r="H3679" t="str">
            <v>Choice</v>
          </cell>
          <cell r="I3679">
            <v>0.83333333333333337</v>
          </cell>
          <cell r="J3679">
            <v>0.33333333333333331</v>
          </cell>
          <cell r="K3679">
            <v>11.3333333333333</v>
          </cell>
          <cell r="L3679">
            <v>359.05</v>
          </cell>
          <cell r="O3679" t="str">
            <v>Y</v>
          </cell>
          <cell r="P3679" t="str">
            <v>N</v>
          </cell>
          <cell r="Q3679" t="str">
            <v>Vacancy</v>
          </cell>
          <cell r="S3679">
            <v>0.3</v>
          </cell>
        </row>
        <row r="3680">
          <cell r="D3680">
            <v>1208002020</v>
          </cell>
          <cell r="E3680" t="str">
            <v>LETECIA MENIANO</v>
          </cell>
          <cell r="F3680" t="str">
            <v>D (MD)</v>
          </cell>
          <cell r="G3680">
            <v>351971</v>
          </cell>
          <cell r="H3680" t="str">
            <v>Mayday</v>
          </cell>
          <cell r="I3680">
            <v>0.83333333333333337</v>
          </cell>
          <cell r="J3680">
            <v>0.33333333333333331</v>
          </cell>
          <cell r="K3680">
            <v>11.3333333333333</v>
          </cell>
          <cell r="L3680">
            <v>475.74</v>
          </cell>
          <cell r="O3680" t="str">
            <v>Y</v>
          </cell>
          <cell r="P3680" t="str">
            <v>N</v>
          </cell>
          <cell r="Q3680" t="str">
            <v>Extra Capacity</v>
          </cell>
          <cell r="S3680">
            <v>0.3</v>
          </cell>
        </row>
        <row r="3681">
          <cell r="D3681">
            <v>1208001961</v>
          </cell>
          <cell r="E3681" t="str">
            <v>LINDSEY DAY</v>
          </cell>
          <cell r="F3681" t="str">
            <v>D (Amb)</v>
          </cell>
          <cell r="H3681" t="str">
            <v>Ambition</v>
          </cell>
          <cell r="I3681">
            <v>0.3125</v>
          </cell>
          <cell r="J3681">
            <v>0.625</v>
          </cell>
          <cell r="K3681">
            <v>7.1666666666666696</v>
          </cell>
          <cell r="L3681">
            <v>364.28</v>
          </cell>
          <cell r="O3681" t="str">
            <v>Y</v>
          </cell>
          <cell r="P3681" t="str">
            <v>N</v>
          </cell>
          <cell r="Q3681" t="str">
            <v>Extra Capacity</v>
          </cell>
          <cell r="S3681">
            <v>0.19</v>
          </cell>
        </row>
        <row r="3682">
          <cell r="D3682">
            <v>1208000328</v>
          </cell>
          <cell r="E3682" t="str">
            <v>LIZ BAGGIO</v>
          </cell>
          <cell r="F3682" t="str">
            <v>A/2 (PS)</v>
          </cell>
          <cell r="H3682" t="str">
            <v>Pinnacle Staffing</v>
          </cell>
          <cell r="I3682">
            <v>0.82291666666666663</v>
          </cell>
          <cell r="J3682">
            <v>0.34375</v>
          </cell>
          <cell r="K3682">
            <v>11.5</v>
          </cell>
          <cell r="L3682">
            <v>143.83000000000001</v>
          </cell>
          <cell r="O3682" t="str">
            <v>Y</v>
          </cell>
          <cell r="P3682" t="str">
            <v>N</v>
          </cell>
          <cell r="Q3682" t="str">
            <v>Extra Capacity</v>
          </cell>
          <cell r="S3682">
            <v>0.31</v>
          </cell>
        </row>
        <row r="3683">
          <cell r="D3683">
            <v>1208002016</v>
          </cell>
          <cell r="E3683" t="str">
            <v>MABEL MNISI</v>
          </cell>
          <cell r="F3683" t="str">
            <v>D (MD)</v>
          </cell>
          <cell r="G3683">
            <v>352007</v>
          </cell>
          <cell r="H3683" t="str">
            <v>Mayday</v>
          </cell>
          <cell r="I3683">
            <v>0.83333333333333337</v>
          </cell>
          <cell r="J3683">
            <v>0.33333333333333331</v>
          </cell>
          <cell r="K3683">
            <v>11.3333333333333</v>
          </cell>
          <cell r="L3683">
            <v>475.74</v>
          </cell>
          <cell r="O3683" t="str">
            <v>Y</v>
          </cell>
          <cell r="P3683" t="str">
            <v>N</v>
          </cell>
          <cell r="Q3683" t="str">
            <v>Extra Capacity</v>
          </cell>
          <cell r="S3683">
            <v>0.3</v>
          </cell>
        </row>
        <row r="3684">
          <cell r="D3684">
            <v>1208003759</v>
          </cell>
          <cell r="E3684" t="str">
            <v>MARGARET MUKUWIRI</v>
          </cell>
          <cell r="F3684" t="str">
            <v>D (MD)</v>
          </cell>
          <cell r="G3684">
            <v>352187</v>
          </cell>
          <cell r="H3684" t="str">
            <v>Mayday</v>
          </cell>
          <cell r="I3684">
            <v>0.8125</v>
          </cell>
          <cell r="J3684">
            <v>0.33333333333333331</v>
          </cell>
          <cell r="K3684">
            <v>11.8333333333333</v>
          </cell>
          <cell r="L3684">
            <v>496.73</v>
          </cell>
          <cell r="O3684" t="str">
            <v>Y</v>
          </cell>
          <cell r="P3684" t="str">
            <v>N</v>
          </cell>
          <cell r="Q3684" t="str">
            <v>Short Term Sick</v>
          </cell>
          <cell r="S3684">
            <v>0.32</v>
          </cell>
        </row>
        <row r="3685">
          <cell r="D3685">
            <v>1208001959</v>
          </cell>
          <cell r="E3685" t="str">
            <v>MERCY AFELE</v>
          </cell>
          <cell r="F3685" t="str">
            <v>D (MD)</v>
          </cell>
          <cell r="G3685">
            <v>352055</v>
          </cell>
          <cell r="H3685" t="str">
            <v>Mayday</v>
          </cell>
          <cell r="I3685">
            <v>0.3125</v>
          </cell>
          <cell r="J3685">
            <v>0.625</v>
          </cell>
          <cell r="K3685">
            <v>7.1666666666666696</v>
          </cell>
          <cell r="L3685">
            <v>300.83999999999997</v>
          </cell>
          <cell r="O3685" t="str">
            <v>Y</v>
          </cell>
          <cell r="P3685" t="str">
            <v>N</v>
          </cell>
          <cell r="Q3685" t="str">
            <v>Extra Capacity</v>
          </cell>
          <cell r="S3685">
            <v>0.19</v>
          </cell>
        </row>
        <row r="3686">
          <cell r="D3686">
            <v>1208001986</v>
          </cell>
          <cell r="E3686" t="str">
            <v>MERCY AFELE</v>
          </cell>
          <cell r="F3686" t="str">
            <v>D (MD)</v>
          </cell>
          <cell r="G3686">
            <v>352055</v>
          </cell>
          <cell r="H3686" t="str">
            <v>Mayday</v>
          </cell>
          <cell r="I3686">
            <v>0.625</v>
          </cell>
          <cell r="J3686">
            <v>0.85416666666666663</v>
          </cell>
          <cell r="K3686">
            <v>5.5</v>
          </cell>
          <cell r="L3686">
            <v>230.87</v>
          </cell>
          <cell r="O3686" t="str">
            <v>Y</v>
          </cell>
          <cell r="P3686" t="str">
            <v>N</v>
          </cell>
          <cell r="Q3686" t="str">
            <v>Extra Capacity</v>
          </cell>
          <cell r="S3686">
            <v>0.15</v>
          </cell>
        </row>
        <row r="3687">
          <cell r="D3687">
            <v>1208001886</v>
          </cell>
          <cell r="E3687" t="str">
            <v>MICHAEL OKE</v>
          </cell>
          <cell r="F3687" t="str">
            <v>A (Ch)</v>
          </cell>
          <cell r="H3687" t="str">
            <v>Choice</v>
          </cell>
          <cell r="I3687">
            <v>0.64583333333333337</v>
          </cell>
          <cell r="J3687">
            <v>0.85416666666666663</v>
          </cell>
          <cell r="K3687">
            <v>5</v>
          </cell>
          <cell r="L3687">
            <v>73.930000000000007</v>
          </cell>
          <cell r="O3687" t="str">
            <v>Y</v>
          </cell>
          <cell r="P3687" t="str">
            <v>N</v>
          </cell>
          <cell r="Q3687" t="str">
            <v>Extra Capacity</v>
          </cell>
          <cell r="S3687">
            <v>0.13</v>
          </cell>
        </row>
        <row r="3688">
          <cell r="D3688">
            <v>1208000730</v>
          </cell>
          <cell r="E3688" t="str">
            <v>MZUKISI SPEELMAN</v>
          </cell>
          <cell r="F3688" t="str">
            <v>A (Ch)</v>
          </cell>
          <cell r="G3688">
            <v>17524</v>
          </cell>
          <cell r="H3688" t="str">
            <v>Choice</v>
          </cell>
          <cell r="I3688">
            <v>0.3125</v>
          </cell>
          <cell r="J3688">
            <v>0.64583333333333337</v>
          </cell>
          <cell r="K3688">
            <v>7.6666666666666696</v>
          </cell>
          <cell r="L3688">
            <v>113.36</v>
          </cell>
          <cell r="O3688" t="str">
            <v>Y</v>
          </cell>
          <cell r="P3688" t="str">
            <v>N</v>
          </cell>
          <cell r="Q3688" t="str">
            <v>Extra Capacity</v>
          </cell>
          <cell r="S3688">
            <v>0.2</v>
          </cell>
        </row>
        <row r="3689">
          <cell r="D3689">
            <v>1208000734</v>
          </cell>
          <cell r="E3689" t="str">
            <v>MZUKISI SPEELMAN</v>
          </cell>
          <cell r="F3689" t="str">
            <v>A (Ch)</v>
          </cell>
          <cell r="G3689">
            <v>17524</v>
          </cell>
          <cell r="H3689" t="str">
            <v>Choice</v>
          </cell>
          <cell r="I3689">
            <v>0.64583333333333337</v>
          </cell>
          <cell r="J3689">
            <v>0.85416666666666663</v>
          </cell>
          <cell r="K3689">
            <v>5</v>
          </cell>
          <cell r="L3689">
            <v>73.930000000000007</v>
          </cell>
          <cell r="O3689" t="str">
            <v>Y</v>
          </cell>
          <cell r="P3689" t="str">
            <v>N</v>
          </cell>
          <cell r="Q3689" t="str">
            <v>Extra Capacity</v>
          </cell>
          <cell r="S3689">
            <v>0.13</v>
          </cell>
        </row>
        <row r="3690">
          <cell r="D3690">
            <v>1208001885</v>
          </cell>
          <cell r="E3690" t="str">
            <v>NKOSI BHEBHE</v>
          </cell>
          <cell r="F3690" t="str">
            <v>D (Amb)</v>
          </cell>
          <cell r="G3690">
            <v>766202</v>
          </cell>
          <cell r="H3690" t="str">
            <v>Ambition</v>
          </cell>
          <cell r="I3690">
            <v>0.64583333333333337</v>
          </cell>
          <cell r="J3690">
            <v>0.85416666666666663</v>
          </cell>
          <cell r="K3690">
            <v>5</v>
          </cell>
          <cell r="L3690">
            <v>254.15</v>
          </cell>
          <cell r="O3690" t="str">
            <v>Y</v>
          </cell>
          <cell r="P3690" t="str">
            <v>N</v>
          </cell>
          <cell r="Q3690" t="str">
            <v>Extra Capacity</v>
          </cell>
          <cell r="S3690">
            <v>0.13</v>
          </cell>
        </row>
        <row r="3691">
          <cell r="D3691">
            <v>1208000736</v>
          </cell>
          <cell r="E3691" t="str">
            <v>OWEN WENYEVE</v>
          </cell>
          <cell r="F3691" t="str">
            <v>A (Ch)</v>
          </cell>
          <cell r="H3691" t="str">
            <v>Choice</v>
          </cell>
          <cell r="I3691">
            <v>0.83333333333333337</v>
          </cell>
          <cell r="J3691">
            <v>0.33333333333333331</v>
          </cell>
          <cell r="K3691">
            <v>11.3333333333333</v>
          </cell>
          <cell r="L3691">
            <v>167.58</v>
          </cell>
          <cell r="O3691" t="str">
            <v>Y</v>
          </cell>
          <cell r="P3691" t="str">
            <v>N</v>
          </cell>
          <cell r="Q3691" t="str">
            <v>Extra Capacity</v>
          </cell>
          <cell r="S3691">
            <v>0.3</v>
          </cell>
        </row>
        <row r="3692">
          <cell r="D3692">
            <v>1208000724</v>
          </cell>
          <cell r="E3692" t="str">
            <v>PEGGY MAPOGO</v>
          </cell>
          <cell r="F3692" t="str">
            <v>D (Ch)</v>
          </cell>
          <cell r="H3692" t="str">
            <v>Choice</v>
          </cell>
          <cell r="I3692">
            <v>0.3125</v>
          </cell>
          <cell r="J3692">
            <v>0.64583333333333337</v>
          </cell>
          <cell r="K3692">
            <v>7.6666666666666696</v>
          </cell>
          <cell r="L3692">
            <v>242.89</v>
          </cell>
          <cell r="O3692" t="str">
            <v>Y</v>
          </cell>
          <cell r="P3692" t="str">
            <v>N</v>
          </cell>
          <cell r="Q3692" t="str">
            <v>Extra Capacity</v>
          </cell>
          <cell r="S3692">
            <v>0.2</v>
          </cell>
        </row>
        <row r="3693">
          <cell r="D3693">
            <v>1208000725</v>
          </cell>
          <cell r="E3693" t="str">
            <v>PEGGY MAPOGO</v>
          </cell>
          <cell r="F3693" t="str">
            <v>D (Ch)</v>
          </cell>
          <cell r="H3693" t="str">
            <v>Choice</v>
          </cell>
          <cell r="I3693">
            <v>0.64583333333333337</v>
          </cell>
          <cell r="J3693">
            <v>0.85416666666666663</v>
          </cell>
          <cell r="K3693">
            <v>5</v>
          </cell>
          <cell r="L3693">
            <v>158.41</v>
          </cell>
          <cell r="O3693" t="str">
            <v>Y</v>
          </cell>
          <cell r="P3693" t="str">
            <v>N</v>
          </cell>
          <cell r="Q3693" t="str">
            <v>Extra Capacity</v>
          </cell>
          <cell r="S3693">
            <v>0.13</v>
          </cell>
        </row>
        <row r="3694">
          <cell r="D3694">
            <v>1208003741</v>
          </cell>
          <cell r="E3694" t="str">
            <v>RACHEL OBERDOFF</v>
          </cell>
          <cell r="F3694" t="str">
            <v>D (MD)</v>
          </cell>
          <cell r="G3694">
            <v>351135</v>
          </cell>
          <cell r="H3694" t="str">
            <v>Mayday</v>
          </cell>
          <cell r="I3694">
            <v>0.3125</v>
          </cell>
          <cell r="J3694">
            <v>0.85416666666666663</v>
          </cell>
          <cell r="K3694">
            <v>12.3333333333333</v>
          </cell>
          <cell r="L3694">
            <v>517.72</v>
          </cell>
          <cell r="O3694" t="str">
            <v>Y</v>
          </cell>
          <cell r="P3694" t="str">
            <v>N</v>
          </cell>
          <cell r="Q3694" t="str">
            <v>Extra Capacity</v>
          </cell>
          <cell r="S3694">
            <v>0.33</v>
          </cell>
        </row>
        <row r="3695">
          <cell r="D3695">
            <v>1208003267</v>
          </cell>
          <cell r="E3695" t="str">
            <v>RICCA PARADA</v>
          </cell>
          <cell r="F3695" t="str">
            <v>D (Ch)</v>
          </cell>
          <cell r="G3695">
            <v>17522</v>
          </cell>
          <cell r="H3695" t="str">
            <v>Choice</v>
          </cell>
          <cell r="I3695">
            <v>0.3125</v>
          </cell>
          <cell r="J3695">
            <v>0.85416666666666663</v>
          </cell>
          <cell r="K3695">
            <v>5.6666666666666696</v>
          </cell>
          <cell r="L3695">
            <v>179.53</v>
          </cell>
          <cell r="O3695" t="str">
            <v>Y</v>
          </cell>
          <cell r="P3695" t="str">
            <v>N</v>
          </cell>
          <cell r="Q3695" t="str">
            <v>Extra Capacity</v>
          </cell>
          <cell r="S3695">
            <v>0.15</v>
          </cell>
        </row>
        <row r="3696">
          <cell r="D3696">
            <v>1208001891</v>
          </cell>
          <cell r="E3696" t="str">
            <v>RICHARD PUTLAND</v>
          </cell>
          <cell r="F3696" t="str">
            <v>A /2 General (B</v>
          </cell>
          <cell r="G3696" t="str">
            <v>604-160944</v>
          </cell>
          <cell r="H3696" t="str">
            <v>Blue Arrow</v>
          </cell>
          <cell r="I3696">
            <v>0.83333333333333337</v>
          </cell>
          <cell r="J3696">
            <v>0.33333333333333331</v>
          </cell>
          <cell r="K3696">
            <v>11.3333333333333</v>
          </cell>
          <cell r="L3696">
            <v>147.33000000000001</v>
          </cell>
          <cell r="O3696" t="str">
            <v>Y</v>
          </cell>
          <cell r="P3696" t="str">
            <v>N</v>
          </cell>
          <cell r="Q3696" t="str">
            <v>Extra Capacity</v>
          </cell>
          <cell r="S3696">
            <v>0.3</v>
          </cell>
        </row>
        <row r="3697">
          <cell r="D3697">
            <v>1108001592</v>
          </cell>
          <cell r="E3697" t="str">
            <v>RITCHIE RUBIA</v>
          </cell>
          <cell r="F3697" t="str">
            <v>D (Ch)</v>
          </cell>
          <cell r="G3697">
            <v>17521</v>
          </cell>
          <cell r="H3697" t="str">
            <v>Choice</v>
          </cell>
          <cell r="I3697">
            <v>0.82291666666666663</v>
          </cell>
          <cell r="J3697">
            <v>0.34375</v>
          </cell>
          <cell r="K3697">
            <v>11.5</v>
          </cell>
          <cell r="L3697">
            <v>364.33</v>
          </cell>
          <cell r="O3697" t="str">
            <v>Y</v>
          </cell>
          <cell r="P3697" t="str">
            <v>N</v>
          </cell>
          <cell r="Q3697" t="str">
            <v>Maternity Leave</v>
          </cell>
          <cell r="S3697">
            <v>0.31</v>
          </cell>
        </row>
        <row r="3698">
          <cell r="D3698">
            <v>1208003250</v>
          </cell>
          <cell r="E3698" t="str">
            <v>ROBERT DELACOUR</v>
          </cell>
          <cell r="F3698" t="str">
            <v>D (Amb)</v>
          </cell>
          <cell r="G3698">
            <v>767223</v>
          </cell>
          <cell r="H3698" t="str">
            <v>Ambition</v>
          </cell>
          <cell r="I3698">
            <v>0.5</v>
          </cell>
          <cell r="J3698">
            <v>0.83333333333333337</v>
          </cell>
          <cell r="K3698">
            <v>7.6666666666666696</v>
          </cell>
          <cell r="L3698">
            <v>389.7</v>
          </cell>
          <cell r="O3698" t="str">
            <v>Y</v>
          </cell>
          <cell r="P3698" t="str">
            <v>N</v>
          </cell>
          <cell r="Q3698" t="str">
            <v>Extra Capacity</v>
          </cell>
          <cell r="S3698">
            <v>0.2</v>
          </cell>
        </row>
        <row r="3699">
          <cell r="D3699">
            <v>1108004260</v>
          </cell>
          <cell r="E3699" t="str">
            <v>ROHEYATOU NDOW-NJIE</v>
          </cell>
          <cell r="F3699" t="str">
            <v>D (Ch)</v>
          </cell>
          <cell r="G3699">
            <v>17784</v>
          </cell>
          <cell r="H3699" t="str">
            <v>Choice</v>
          </cell>
          <cell r="I3699">
            <v>0.3125</v>
          </cell>
          <cell r="J3699">
            <v>0.5625</v>
          </cell>
          <cell r="K3699">
            <v>5.6666666666666696</v>
          </cell>
          <cell r="L3699">
            <v>179.53</v>
          </cell>
          <cell r="O3699" t="str">
            <v>Y</v>
          </cell>
          <cell r="P3699" t="str">
            <v>N</v>
          </cell>
          <cell r="Q3699" t="str">
            <v>Vacancy</v>
          </cell>
          <cell r="S3699">
            <v>0.15</v>
          </cell>
        </row>
        <row r="3700">
          <cell r="D3700">
            <v>1208003008</v>
          </cell>
          <cell r="E3700" t="str">
            <v>ROHEYATOU NDOW-NJIE</v>
          </cell>
          <cell r="F3700" t="str">
            <v>D (Ch)</v>
          </cell>
          <cell r="G3700">
            <v>17784</v>
          </cell>
          <cell r="H3700" t="str">
            <v>Choice</v>
          </cell>
          <cell r="I3700">
            <v>0.5625</v>
          </cell>
          <cell r="J3700">
            <v>0.85416666666666663</v>
          </cell>
          <cell r="K3700">
            <v>6.6666666666666696</v>
          </cell>
          <cell r="L3700">
            <v>211.21</v>
          </cell>
          <cell r="O3700" t="str">
            <v>Y</v>
          </cell>
          <cell r="P3700" t="str">
            <v>N</v>
          </cell>
          <cell r="Q3700" t="str">
            <v>Short Term Sick</v>
          </cell>
          <cell r="S3700">
            <v>0.18</v>
          </cell>
        </row>
        <row r="3701">
          <cell r="D3701">
            <v>1208001962</v>
          </cell>
          <cell r="E3701" t="str">
            <v>RUTA KAIRYTE</v>
          </cell>
          <cell r="F3701" t="str">
            <v>D (Amb)</v>
          </cell>
          <cell r="G3701">
            <v>766173</v>
          </cell>
          <cell r="H3701" t="str">
            <v>Ambition</v>
          </cell>
          <cell r="I3701">
            <v>0.3125</v>
          </cell>
          <cell r="J3701">
            <v>0.625</v>
          </cell>
          <cell r="K3701">
            <v>7.1666666666666696</v>
          </cell>
          <cell r="L3701">
            <v>364.28</v>
          </cell>
          <cell r="O3701" t="str">
            <v>Y</v>
          </cell>
          <cell r="P3701" t="str">
            <v>N</v>
          </cell>
          <cell r="Q3701" t="str">
            <v>Extra Capacity</v>
          </cell>
          <cell r="S3701">
            <v>0.19</v>
          </cell>
        </row>
        <row r="3702">
          <cell r="D3702">
            <v>1208001369</v>
          </cell>
          <cell r="E3702" t="str">
            <v>SAM KELEM</v>
          </cell>
          <cell r="F3702" t="str">
            <v>D (Ch)</v>
          </cell>
          <cell r="G3702">
            <v>17534</v>
          </cell>
          <cell r="H3702" t="str">
            <v>Choice</v>
          </cell>
          <cell r="I3702">
            <v>0.875</v>
          </cell>
          <cell r="J3702">
            <v>0.32291666666666669</v>
          </cell>
          <cell r="K3702">
            <v>10</v>
          </cell>
          <cell r="L3702">
            <v>316.81</v>
          </cell>
          <cell r="O3702" t="str">
            <v>Y</v>
          </cell>
          <cell r="P3702" t="str">
            <v>N</v>
          </cell>
          <cell r="Q3702" t="str">
            <v>Specials</v>
          </cell>
          <cell r="S3702">
            <v>0.27</v>
          </cell>
        </row>
        <row r="3703">
          <cell r="D3703">
            <v>1208001889</v>
          </cell>
          <cell r="E3703" t="str">
            <v>SAMSON BARACENA</v>
          </cell>
          <cell r="F3703" t="str">
            <v>D (Ch)</v>
          </cell>
          <cell r="G3703">
            <v>17535</v>
          </cell>
          <cell r="H3703" t="str">
            <v>Choice</v>
          </cell>
          <cell r="I3703">
            <v>0.83333333333333337</v>
          </cell>
          <cell r="J3703">
            <v>0.33333333333333331</v>
          </cell>
          <cell r="K3703">
            <v>11.3333333333333</v>
          </cell>
          <cell r="L3703">
            <v>359.05</v>
          </cell>
          <cell r="O3703" t="str">
            <v>Y</v>
          </cell>
          <cell r="P3703" t="str">
            <v>N</v>
          </cell>
          <cell r="Q3703" t="str">
            <v>Extra Capacity</v>
          </cell>
          <cell r="S3703">
            <v>0.3</v>
          </cell>
        </row>
        <row r="3704">
          <cell r="D3704">
            <v>1208001960</v>
          </cell>
          <cell r="E3704" t="str">
            <v>SIBO NISIWE</v>
          </cell>
          <cell r="F3704" t="str">
            <v>D (Amb)</v>
          </cell>
          <cell r="H3704" t="str">
            <v>Ambition</v>
          </cell>
          <cell r="I3704">
            <v>0.3125</v>
          </cell>
          <cell r="J3704">
            <v>0.625</v>
          </cell>
          <cell r="K3704">
            <v>7.1666666666666696</v>
          </cell>
          <cell r="L3704">
            <v>364.28</v>
          </cell>
          <cell r="O3704" t="str">
            <v>Y</v>
          </cell>
          <cell r="P3704" t="str">
            <v>N</v>
          </cell>
          <cell r="Q3704" t="str">
            <v>Extra Capacity</v>
          </cell>
          <cell r="S3704">
            <v>0.19</v>
          </cell>
        </row>
        <row r="3705">
          <cell r="D3705">
            <v>1208003663</v>
          </cell>
          <cell r="E3705" t="str">
            <v>SIBONGILE DOKOTERA</v>
          </cell>
          <cell r="F3705" t="str">
            <v>D (MD)</v>
          </cell>
          <cell r="G3705">
            <v>351415</v>
          </cell>
          <cell r="H3705" t="str">
            <v>Mayday</v>
          </cell>
          <cell r="I3705">
            <v>0.83333333333333337</v>
          </cell>
          <cell r="J3705">
            <v>0.33333333333333331</v>
          </cell>
          <cell r="K3705">
            <v>11.3333333333333</v>
          </cell>
          <cell r="L3705">
            <v>475.74</v>
          </cell>
          <cell r="O3705" t="str">
            <v>Y</v>
          </cell>
          <cell r="P3705" t="str">
            <v>N</v>
          </cell>
          <cell r="Q3705" t="str">
            <v>On-Call</v>
          </cell>
          <cell r="S3705">
            <v>0.3</v>
          </cell>
        </row>
        <row r="3706">
          <cell r="D3706">
            <v>1208001809</v>
          </cell>
          <cell r="E3706" t="str">
            <v>SIBONISIWE NCUBE</v>
          </cell>
          <cell r="F3706" t="str">
            <v>D (Amb)</v>
          </cell>
          <cell r="G3706">
            <v>766196</v>
          </cell>
          <cell r="H3706" t="str">
            <v>Ambition</v>
          </cell>
          <cell r="I3706">
            <v>0.63541666666666663</v>
          </cell>
          <cell r="J3706">
            <v>0.85416666666666663</v>
          </cell>
          <cell r="K3706">
            <v>5.25</v>
          </cell>
          <cell r="L3706">
            <v>266.86</v>
          </cell>
          <cell r="O3706" t="str">
            <v>Y</v>
          </cell>
          <cell r="P3706" t="str">
            <v>N</v>
          </cell>
          <cell r="Q3706" t="str">
            <v>Extra Capacity</v>
          </cell>
          <cell r="S3706">
            <v>0.14000000000000001</v>
          </cell>
        </row>
        <row r="3707">
          <cell r="D3707">
            <v>1208000300</v>
          </cell>
          <cell r="E3707" t="str">
            <v>SINCENGA GULU</v>
          </cell>
          <cell r="F3707" t="str">
            <v>D (Amb)</v>
          </cell>
          <cell r="G3707">
            <v>769555</v>
          </cell>
          <cell r="H3707" t="str">
            <v>Ambition</v>
          </cell>
          <cell r="I3707">
            <v>0.625</v>
          </cell>
          <cell r="J3707">
            <v>0.84375</v>
          </cell>
          <cell r="K3707">
            <v>5.25</v>
          </cell>
          <cell r="L3707">
            <v>266.86</v>
          </cell>
          <cell r="O3707" t="str">
            <v>Y</v>
          </cell>
          <cell r="P3707" t="str">
            <v>N</v>
          </cell>
          <cell r="Q3707" t="str">
            <v>Extra Capacity</v>
          </cell>
          <cell r="S3707">
            <v>0.14000000000000001</v>
          </cell>
        </row>
        <row r="3708">
          <cell r="D3708">
            <v>1108005618</v>
          </cell>
          <cell r="E3708" t="str">
            <v>SPECIAL DOKOCERA</v>
          </cell>
          <cell r="F3708" t="str">
            <v>D (Amb)</v>
          </cell>
          <cell r="G3708">
            <v>766170</v>
          </cell>
          <cell r="H3708" t="str">
            <v>Ambition</v>
          </cell>
          <cell r="I3708">
            <v>0.625</v>
          </cell>
          <cell r="J3708">
            <v>0.84375</v>
          </cell>
          <cell r="K3708">
            <v>5.25</v>
          </cell>
          <cell r="L3708">
            <v>266.86</v>
          </cell>
          <cell r="O3708" t="str">
            <v>Y</v>
          </cell>
          <cell r="P3708" t="str">
            <v>N</v>
          </cell>
          <cell r="Q3708" t="str">
            <v>Vacancy</v>
          </cell>
          <cell r="S3708">
            <v>0.14000000000000001</v>
          </cell>
        </row>
        <row r="3709">
          <cell r="D3709">
            <v>1208000723</v>
          </cell>
          <cell r="E3709" t="str">
            <v>TAMBU JENA</v>
          </cell>
          <cell r="F3709" t="str">
            <v>D (Ch)</v>
          </cell>
          <cell r="G3709">
            <v>17524</v>
          </cell>
          <cell r="H3709" t="str">
            <v>Choice</v>
          </cell>
          <cell r="I3709">
            <v>0.3125</v>
          </cell>
          <cell r="J3709">
            <v>0.64583333333333337</v>
          </cell>
          <cell r="K3709">
            <v>7.6666666666666696</v>
          </cell>
          <cell r="L3709">
            <v>242.89</v>
          </cell>
          <cell r="O3709" t="str">
            <v>Y</v>
          </cell>
          <cell r="P3709" t="str">
            <v>N</v>
          </cell>
          <cell r="Q3709" t="str">
            <v>Extra Capacity</v>
          </cell>
          <cell r="S3709">
            <v>0.2</v>
          </cell>
        </row>
        <row r="3710">
          <cell r="D3710">
            <v>1208000726</v>
          </cell>
          <cell r="E3710" t="str">
            <v>TAMBU JENA</v>
          </cell>
          <cell r="F3710" t="str">
            <v>D (Ch)</v>
          </cell>
          <cell r="G3710">
            <v>17524</v>
          </cell>
          <cell r="H3710" t="str">
            <v>Choice</v>
          </cell>
          <cell r="I3710">
            <v>0.64583333333333337</v>
          </cell>
          <cell r="J3710">
            <v>0.85416666666666663</v>
          </cell>
          <cell r="K3710">
            <v>5</v>
          </cell>
          <cell r="L3710">
            <v>158.41</v>
          </cell>
          <cell r="O3710" t="str">
            <v>Y</v>
          </cell>
          <cell r="P3710" t="str">
            <v>N</v>
          </cell>
          <cell r="Q3710" t="str">
            <v>Extra Capacity</v>
          </cell>
          <cell r="S3710">
            <v>0.13</v>
          </cell>
        </row>
        <row r="3711">
          <cell r="D3711">
            <v>1108003059</v>
          </cell>
          <cell r="E3711" t="str">
            <v>TARA MASSIE</v>
          </cell>
          <cell r="F3711" t="str">
            <v>D (MD)</v>
          </cell>
          <cell r="G3711">
            <v>352090</v>
          </cell>
          <cell r="H3711" t="str">
            <v>Mayday</v>
          </cell>
          <cell r="I3711">
            <v>0.5625</v>
          </cell>
          <cell r="J3711">
            <v>0.85416666666666663</v>
          </cell>
          <cell r="K3711">
            <v>6.6666666666666696</v>
          </cell>
          <cell r="L3711">
            <v>279.85000000000002</v>
          </cell>
          <cell r="O3711" t="str">
            <v>Y</v>
          </cell>
          <cell r="P3711" t="str">
            <v>N</v>
          </cell>
          <cell r="Q3711" t="str">
            <v>Under Established</v>
          </cell>
          <cell r="S3711">
            <v>0.18</v>
          </cell>
        </row>
        <row r="3712">
          <cell r="D3712">
            <v>1108004259</v>
          </cell>
          <cell r="E3712" t="str">
            <v>TARA MASSIE</v>
          </cell>
          <cell r="F3712" t="str">
            <v>D (MD)</v>
          </cell>
          <cell r="G3712">
            <v>352089</v>
          </cell>
          <cell r="H3712" t="str">
            <v>Mayday</v>
          </cell>
          <cell r="I3712">
            <v>0.3125</v>
          </cell>
          <cell r="J3712">
            <v>0.5625</v>
          </cell>
          <cell r="K3712">
            <v>5.6666666666666696</v>
          </cell>
          <cell r="L3712">
            <v>237.87</v>
          </cell>
          <cell r="O3712" t="str">
            <v>Y</v>
          </cell>
          <cell r="P3712" t="str">
            <v>N</v>
          </cell>
          <cell r="Q3712" t="str">
            <v>Vacancy</v>
          </cell>
          <cell r="S3712">
            <v>0.15</v>
          </cell>
        </row>
        <row r="3713">
          <cell r="D3713">
            <v>1208003176</v>
          </cell>
          <cell r="E3713" t="str">
            <v>VICTORIA MAESTRANI</v>
          </cell>
          <cell r="F3713" t="str">
            <v>D (MD)</v>
          </cell>
          <cell r="H3713" t="str">
            <v>Mayday</v>
          </cell>
          <cell r="I3713">
            <v>0.3125</v>
          </cell>
          <cell r="J3713">
            <v>0.54166666666666663</v>
          </cell>
          <cell r="K3713">
            <v>5.5</v>
          </cell>
          <cell r="L3713">
            <v>230.87</v>
          </cell>
          <cell r="O3713" t="str">
            <v>Y</v>
          </cell>
          <cell r="P3713" t="str">
            <v>N</v>
          </cell>
          <cell r="Q3713" t="str">
            <v>Short Term Sick</v>
          </cell>
          <cell r="S3713">
            <v>0.15</v>
          </cell>
        </row>
        <row r="3714">
          <cell r="D3714">
            <v>1208003465</v>
          </cell>
          <cell r="E3714" t="str">
            <v>VICTORIA MAESTRANI</v>
          </cell>
          <cell r="F3714" t="str">
            <v>D (MD)</v>
          </cell>
          <cell r="G3714">
            <v>351443</v>
          </cell>
          <cell r="H3714" t="str">
            <v>Mayday</v>
          </cell>
          <cell r="I3714">
            <v>0.625</v>
          </cell>
          <cell r="J3714">
            <v>0.84375</v>
          </cell>
          <cell r="K3714">
            <v>5.25</v>
          </cell>
          <cell r="L3714">
            <v>220.38</v>
          </cell>
          <cell r="O3714" t="str">
            <v>Y</v>
          </cell>
          <cell r="P3714" t="str">
            <v>N</v>
          </cell>
          <cell r="Q3714" t="str">
            <v>Vacancy</v>
          </cell>
          <cell r="S3714">
            <v>0.14000000000000001</v>
          </cell>
        </row>
        <row r="3715">
          <cell r="D3715">
            <v>1208002589</v>
          </cell>
          <cell r="E3715" t="str">
            <v>VIJAY PANDYA</v>
          </cell>
          <cell r="F3715" t="str">
            <v>D (MD)</v>
          </cell>
          <cell r="G3715">
            <v>352050</v>
          </cell>
          <cell r="H3715" t="str">
            <v>Mayday</v>
          </cell>
          <cell r="I3715">
            <v>0.88541666666666663</v>
          </cell>
          <cell r="J3715">
            <v>0.3125</v>
          </cell>
          <cell r="K3715">
            <v>9.25</v>
          </cell>
          <cell r="L3715">
            <v>388.29</v>
          </cell>
          <cell r="O3715" t="str">
            <v>Y</v>
          </cell>
          <cell r="P3715" t="str">
            <v>N</v>
          </cell>
          <cell r="Q3715" t="str">
            <v>Specials</v>
          </cell>
          <cell r="S3715">
            <v>0.25</v>
          </cell>
        </row>
        <row r="3716">
          <cell r="D3716">
            <v>1208001964</v>
          </cell>
          <cell r="E3716" t="str">
            <v>ALAN ROWLATT-HARROD</v>
          </cell>
          <cell r="F3716" t="str">
            <v>D (Amb)</v>
          </cell>
          <cell r="G3716">
            <v>766195</v>
          </cell>
          <cell r="H3716" t="str">
            <v>Ambition</v>
          </cell>
          <cell r="I3716">
            <v>0.3125</v>
          </cell>
          <cell r="J3716">
            <v>0.625</v>
          </cell>
          <cell r="K3716">
            <v>7.1666666666666696</v>
          </cell>
          <cell r="L3716">
            <v>448.35</v>
          </cell>
          <cell r="O3716" t="str">
            <v>Y</v>
          </cell>
          <cell r="P3716" t="str">
            <v>N</v>
          </cell>
          <cell r="Q3716" t="str">
            <v>Extra Capacity</v>
          </cell>
          <cell r="S3716">
            <v>0.19</v>
          </cell>
        </row>
        <row r="3717">
          <cell r="D3717">
            <v>1208001989</v>
          </cell>
          <cell r="E3717" t="str">
            <v>ALAN ROWLATT-HARROD</v>
          </cell>
          <cell r="F3717" t="str">
            <v>D (Amb)</v>
          </cell>
          <cell r="G3717">
            <v>766195</v>
          </cell>
          <cell r="H3717" t="str">
            <v>Ambition</v>
          </cell>
          <cell r="I3717">
            <v>0.625</v>
          </cell>
          <cell r="J3717">
            <v>0.85416666666666663</v>
          </cell>
          <cell r="K3717">
            <v>5.5</v>
          </cell>
          <cell r="L3717">
            <v>344.08</v>
          </cell>
          <cell r="O3717" t="str">
            <v>Y</v>
          </cell>
          <cell r="P3717" t="str">
            <v>N</v>
          </cell>
          <cell r="Q3717" t="str">
            <v>Extra Capacity</v>
          </cell>
          <cell r="S3717">
            <v>0.15</v>
          </cell>
        </row>
        <row r="3718">
          <cell r="D3718">
            <v>1208003565</v>
          </cell>
          <cell r="E3718" t="str">
            <v>ALLI SUBRAMANIAM</v>
          </cell>
          <cell r="F3718" t="str">
            <v>D (MD)</v>
          </cell>
          <cell r="G3718">
            <v>352302</v>
          </cell>
          <cell r="H3718" t="str">
            <v>Mayday</v>
          </cell>
          <cell r="I3718">
            <v>0.3125</v>
          </cell>
          <cell r="J3718">
            <v>0.875</v>
          </cell>
          <cell r="K3718">
            <v>12.8333333333333</v>
          </cell>
          <cell r="L3718">
            <v>663.02</v>
          </cell>
          <cell r="O3718" t="str">
            <v>Y</v>
          </cell>
          <cell r="P3718" t="str">
            <v>N</v>
          </cell>
          <cell r="Q3718" t="str">
            <v>Short Term Sick</v>
          </cell>
          <cell r="S3718">
            <v>0.34</v>
          </cell>
        </row>
        <row r="3719">
          <cell r="D3719">
            <v>1108006247</v>
          </cell>
          <cell r="E3719" t="str">
            <v>ALMA DEPENA</v>
          </cell>
          <cell r="F3719" t="str">
            <v>D (Ch)</v>
          </cell>
          <cell r="G3719">
            <v>17520</v>
          </cell>
          <cell r="H3719" t="str">
            <v>Choice</v>
          </cell>
          <cell r="I3719">
            <v>0.8125</v>
          </cell>
          <cell r="J3719">
            <v>0.33333333333333331</v>
          </cell>
          <cell r="K3719">
            <v>11.8333333333333</v>
          </cell>
          <cell r="L3719">
            <v>461.41</v>
          </cell>
          <cell r="O3719" t="str">
            <v>Y</v>
          </cell>
          <cell r="P3719" t="str">
            <v>N</v>
          </cell>
          <cell r="Q3719" t="str">
            <v>Vacancy</v>
          </cell>
          <cell r="S3719">
            <v>0.32</v>
          </cell>
        </row>
        <row r="3720">
          <cell r="D3720">
            <v>1208001966</v>
          </cell>
          <cell r="E3720" t="str">
            <v>AMANDA YOUNG</v>
          </cell>
          <cell r="F3720" t="str">
            <v>D (MD)</v>
          </cell>
          <cell r="H3720" t="str">
            <v>Mayday</v>
          </cell>
          <cell r="I3720">
            <v>0.3125</v>
          </cell>
          <cell r="J3720">
            <v>0.625</v>
          </cell>
          <cell r="K3720">
            <v>7.1666666666666696</v>
          </cell>
          <cell r="L3720">
            <v>370.26</v>
          </cell>
          <cell r="O3720" t="str">
            <v>Y</v>
          </cell>
          <cell r="P3720" t="str">
            <v>N</v>
          </cell>
          <cell r="Q3720" t="str">
            <v>Extra Capacity</v>
          </cell>
          <cell r="S3720">
            <v>0.19</v>
          </cell>
        </row>
        <row r="3721">
          <cell r="D3721">
            <v>1208001990</v>
          </cell>
          <cell r="E3721" t="str">
            <v>AMANDA YOUNG</v>
          </cell>
          <cell r="F3721" t="str">
            <v>D (MD)</v>
          </cell>
          <cell r="H3721" t="str">
            <v>Mayday</v>
          </cell>
          <cell r="I3721">
            <v>0.625</v>
          </cell>
          <cell r="J3721">
            <v>0.83333333333333337</v>
          </cell>
          <cell r="K3721">
            <v>5</v>
          </cell>
          <cell r="L3721">
            <v>258.32</v>
          </cell>
          <cell r="O3721" t="str">
            <v>Y</v>
          </cell>
          <cell r="P3721" t="str">
            <v>N</v>
          </cell>
          <cell r="Q3721" t="str">
            <v>Extra Capacity</v>
          </cell>
          <cell r="S3721">
            <v>0.13</v>
          </cell>
        </row>
        <row r="3722">
          <cell r="D3722">
            <v>1208001963</v>
          </cell>
          <cell r="E3722" t="str">
            <v>AMBER PERRY</v>
          </cell>
          <cell r="F3722" t="str">
            <v>D (MD)</v>
          </cell>
          <cell r="G3722">
            <v>351445</v>
          </cell>
          <cell r="H3722" t="str">
            <v>Mayday</v>
          </cell>
          <cell r="I3722">
            <v>0.3125</v>
          </cell>
          <cell r="J3722">
            <v>0.625</v>
          </cell>
          <cell r="K3722">
            <v>7.1666666666666696</v>
          </cell>
          <cell r="L3722">
            <v>370.26</v>
          </cell>
          <cell r="O3722" t="str">
            <v>Y</v>
          </cell>
          <cell r="P3722" t="str">
            <v>N</v>
          </cell>
          <cell r="Q3722" t="str">
            <v>Extra Capacity</v>
          </cell>
          <cell r="S3722">
            <v>0.19</v>
          </cell>
        </row>
        <row r="3723">
          <cell r="D3723">
            <v>1208003725</v>
          </cell>
          <cell r="E3723" t="str">
            <v>ANTHONY OGOEGBUNAN</v>
          </cell>
          <cell r="F3723" t="str">
            <v>D (MD)</v>
          </cell>
          <cell r="G3723">
            <v>766180</v>
          </cell>
          <cell r="H3723" t="str">
            <v>Mayday</v>
          </cell>
          <cell r="I3723">
            <v>0.5</v>
          </cell>
          <cell r="J3723">
            <v>0.83333333333333337</v>
          </cell>
          <cell r="K3723">
            <v>7.5</v>
          </cell>
          <cell r="L3723">
            <v>387.48</v>
          </cell>
          <cell r="O3723" t="str">
            <v>Y</v>
          </cell>
          <cell r="P3723" t="str">
            <v>N</v>
          </cell>
          <cell r="Q3723" t="str">
            <v>On-Call</v>
          </cell>
          <cell r="S3723">
            <v>0.2</v>
          </cell>
        </row>
        <row r="3724">
          <cell r="D3724">
            <v>1208003279</v>
          </cell>
          <cell r="E3724" t="str">
            <v>ATINUKE OKE-OLATUNDE</v>
          </cell>
          <cell r="F3724" t="str">
            <v>D (MD)</v>
          </cell>
          <cell r="G3724">
            <v>353027</v>
          </cell>
          <cell r="H3724" t="str">
            <v>Mayday</v>
          </cell>
          <cell r="I3724">
            <v>0.83333333333333337</v>
          </cell>
          <cell r="J3724">
            <v>0.33333333333333331</v>
          </cell>
          <cell r="K3724">
            <v>11.3333333333333</v>
          </cell>
          <cell r="L3724">
            <v>585.53</v>
          </cell>
          <cell r="O3724" t="str">
            <v>Y</v>
          </cell>
          <cell r="P3724" t="str">
            <v>N</v>
          </cell>
          <cell r="Q3724" t="str">
            <v>Extra Capacity</v>
          </cell>
          <cell r="S3724">
            <v>0.3</v>
          </cell>
        </row>
        <row r="3725">
          <cell r="D3725">
            <v>1208000741</v>
          </cell>
          <cell r="E3725" t="str">
            <v>BERNADETTE SHINYA-NDUNUWANI</v>
          </cell>
          <cell r="F3725" t="str">
            <v>D (MD)</v>
          </cell>
          <cell r="G3725">
            <v>351376</v>
          </cell>
          <cell r="H3725" t="str">
            <v>Mayday</v>
          </cell>
          <cell r="I3725">
            <v>0.3125</v>
          </cell>
          <cell r="J3725">
            <v>0.64583333333333337</v>
          </cell>
          <cell r="K3725">
            <v>7.6666666666666696</v>
          </cell>
          <cell r="L3725">
            <v>396.09</v>
          </cell>
          <cell r="O3725" t="str">
            <v>Y</v>
          </cell>
          <cell r="P3725" t="str">
            <v>N</v>
          </cell>
          <cell r="Q3725" t="str">
            <v>Extra Capacity</v>
          </cell>
          <cell r="S3725">
            <v>0.2</v>
          </cell>
        </row>
        <row r="3726">
          <cell r="D3726">
            <v>1208002021</v>
          </cell>
          <cell r="E3726" t="str">
            <v>BHEENADEVI BASSOO</v>
          </cell>
          <cell r="F3726" t="str">
            <v>D (MD)</v>
          </cell>
          <cell r="G3726">
            <v>354006</v>
          </cell>
          <cell r="H3726" t="str">
            <v>Mayday</v>
          </cell>
          <cell r="I3726">
            <v>0.83333333333333337</v>
          </cell>
          <cell r="J3726">
            <v>0.33333333333333331</v>
          </cell>
          <cell r="K3726">
            <v>11.3333333333333</v>
          </cell>
          <cell r="L3726">
            <v>585.53</v>
          </cell>
          <cell r="O3726" t="str">
            <v>Y</v>
          </cell>
          <cell r="P3726" t="str">
            <v>N</v>
          </cell>
          <cell r="Q3726" t="str">
            <v>Extra Capacity</v>
          </cell>
          <cell r="S3726">
            <v>0.3</v>
          </cell>
        </row>
        <row r="3727">
          <cell r="D3727">
            <v>1208001892</v>
          </cell>
          <cell r="E3727" t="str">
            <v>BIDDY CHAFESUKA</v>
          </cell>
          <cell r="F3727" t="str">
            <v>D (Ch)</v>
          </cell>
          <cell r="G3727">
            <v>17524</v>
          </cell>
          <cell r="H3727" t="str">
            <v>Choice</v>
          </cell>
          <cell r="I3727">
            <v>0.3125</v>
          </cell>
          <cell r="J3727">
            <v>0.64583333333333337</v>
          </cell>
          <cell r="K3727">
            <v>7.6666666666666696</v>
          </cell>
          <cell r="L3727">
            <v>298.94</v>
          </cell>
          <cell r="O3727" t="str">
            <v>Y</v>
          </cell>
          <cell r="P3727" t="str">
            <v>N</v>
          </cell>
          <cell r="Q3727" t="str">
            <v>Extra Capacity</v>
          </cell>
          <cell r="S3727">
            <v>0.2</v>
          </cell>
        </row>
        <row r="3728">
          <cell r="D3728">
            <v>1208001896</v>
          </cell>
          <cell r="E3728" t="str">
            <v>BIDDY CHAFESUKA</v>
          </cell>
          <cell r="F3728" t="str">
            <v>D (Ch)</v>
          </cell>
          <cell r="G3728">
            <v>17524</v>
          </cell>
          <cell r="H3728" t="str">
            <v>Choice</v>
          </cell>
          <cell r="I3728">
            <v>0.64583333333333337</v>
          </cell>
          <cell r="J3728">
            <v>0.85416666666666663</v>
          </cell>
          <cell r="K3728">
            <v>5</v>
          </cell>
          <cell r="L3728">
            <v>194.96</v>
          </cell>
          <cell r="O3728" t="str">
            <v>Y</v>
          </cell>
          <cell r="P3728" t="str">
            <v>N</v>
          </cell>
          <cell r="Q3728" t="str">
            <v>Extra Capacity</v>
          </cell>
          <cell r="S3728">
            <v>0.13</v>
          </cell>
        </row>
        <row r="3729">
          <cell r="D3729">
            <v>1208003152</v>
          </cell>
          <cell r="E3729" t="str">
            <v>BRENDA GWEKWERERE</v>
          </cell>
          <cell r="F3729" t="str">
            <v>D (Ch)</v>
          </cell>
          <cell r="G3729">
            <v>17528</v>
          </cell>
          <cell r="H3729" t="str">
            <v>Choice</v>
          </cell>
          <cell r="I3729">
            <v>0.8125</v>
          </cell>
          <cell r="J3729">
            <v>0.33333333333333331</v>
          </cell>
          <cell r="K3729">
            <v>11.8333333333333</v>
          </cell>
          <cell r="L3729">
            <v>461.41</v>
          </cell>
          <cell r="O3729" t="str">
            <v>Y</v>
          </cell>
          <cell r="P3729" t="str">
            <v>N</v>
          </cell>
          <cell r="Q3729" t="str">
            <v>Extra Capacity</v>
          </cell>
          <cell r="S3729">
            <v>0.32</v>
          </cell>
        </row>
        <row r="3730">
          <cell r="D3730">
            <v>1108006232</v>
          </cell>
          <cell r="E3730" t="str">
            <v>BRIGHTNESS NDEBELE</v>
          </cell>
          <cell r="F3730" t="str">
            <v>D (MD)</v>
          </cell>
          <cell r="G3730">
            <v>352279</v>
          </cell>
          <cell r="H3730" t="str">
            <v>Mayday</v>
          </cell>
          <cell r="I3730">
            <v>0.3125</v>
          </cell>
          <cell r="J3730">
            <v>0.83333333333333337</v>
          </cell>
          <cell r="K3730">
            <v>11.8333333333333</v>
          </cell>
          <cell r="L3730">
            <v>611.36</v>
          </cell>
          <cell r="O3730" t="str">
            <v>Y</v>
          </cell>
          <cell r="P3730" t="str">
            <v>N</v>
          </cell>
          <cell r="Q3730" t="str">
            <v>Vacancy</v>
          </cell>
          <cell r="S3730">
            <v>0.32</v>
          </cell>
        </row>
        <row r="3731">
          <cell r="D3731">
            <v>1208003764</v>
          </cell>
          <cell r="E3731" t="str">
            <v>CARMEN MAURICIO</v>
          </cell>
          <cell r="F3731" t="str">
            <v>D (MD)</v>
          </cell>
          <cell r="G3731">
            <v>353678</v>
          </cell>
          <cell r="H3731" t="str">
            <v>Mayday</v>
          </cell>
          <cell r="I3731">
            <v>0.8125</v>
          </cell>
          <cell r="J3731">
            <v>0.33333333333333331</v>
          </cell>
          <cell r="K3731">
            <v>11.8333333333333</v>
          </cell>
          <cell r="L3731">
            <v>611.36</v>
          </cell>
          <cell r="O3731" t="str">
            <v>Y</v>
          </cell>
          <cell r="P3731" t="str">
            <v>N</v>
          </cell>
          <cell r="Q3731" t="str">
            <v>Short Term Sick</v>
          </cell>
          <cell r="S3731">
            <v>0.32</v>
          </cell>
        </row>
        <row r="3732">
          <cell r="D3732">
            <v>1208000330</v>
          </cell>
          <cell r="E3732" t="str">
            <v>COLLEN SIBANDA</v>
          </cell>
          <cell r="F3732" t="str">
            <v>D (Ch)</v>
          </cell>
          <cell r="G3732">
            <v>17525</v>
          </cell>
          <cell r="H3732" t="str">
            <v>Choice</v>
          </cell>
          <cell r="I3732">
            <v>0.63541666666666663</v>
          </cell>
          <cell r="J3732">
            <v>0.85416666666666663</v>
          </cell>
          <cell r="K3732">
            <v>5.25</v>
          </cell>
          <cell r="L3732">
            <v>204.71</v>
          </cell>
          <cell r="O3732" t="str">
            <v>Y</v>
          </cell>
          <cell r="P3732" t="str">
            <v>N</v>
          </cell>
          <cell r="Q3732" t="str">
            <v>Extra Capacity</v>
          </cell>
          <cell r="S3732">
            <v>0.14000000000000001</v>
          </cell>
        </row>
        <row r="3733">
          <cell r="D3733">
            <v>1208001186</v>
          </cell>
          <cell r="E3733" t="str">
            <v>DAMILOLA AIKI</v>
          </cell>
          <cell r="F3733" t="str">
            <v>A (Ch)</v>
          </cell>
          <cell r="G3733">
            <v>17524</v>
          </cell>
          <cell r="H3733" t="str">
            <v>Choice</v>
          </cell>
          <cell r="I3733">
            <v>0.3125</v>
          </cell>
          <cell r="J3733">
            <v>0.85416666666666663</v>
          </cell>
          <cell r="K3733">
            <v>12.3333333333333</v>
          </cell>
          <cell r="L3733">
            <v>227.96</v>
          </cell>
          <cell r="O3733" t="str">
            <v>Y</v>
          </cell>
          <cell r="P3733" t="str">
            <v>N</v>
          </cell>
          <cell r="Q3733" t="str">
            <v>Under Established</v>
          </cell>
          <cell r="S3733">
            <v>0.33</v>
          </cell>
        </row>
        <row r="3734">
          <cell r="D3734">
            <v>1208002595</v>
          </cell>
          <cell r="E3734" t="str">
            <v>DENNIS DVENGE</v>
          </cell>
          <cell r="F3734" t="str">
            <v>D (Ch)</v>
          </cell>
          <cell r="G3734">
            <v>17532</v>
          </cell>
          <cell r="H3734" t="str">
            <v>Choice</v>
          </cell>
          <cell r="I3734">
            <v>0.88541666666666663</v>
          </cell>
          <cell r="J3734">
            <v>0.3125</v>
          </cell>
          <cell r="K3734">
            <v>9.25</v>
          </cell>
          <cell r="L3734">
            <v>360.68</v>
          </cell>
          <cell r="M3734">
            <v>412.5</v>
          </cell>
          <cell r="O3734" t="str">
            <v>Y</v>
          </cell>
          <cell r="P3734" t="str">
            <v>N</v>
          </cell>
          <cell r="Q3734" t="str">
            <v>Specials</v>
          </cell>
          <cell r="S3734">
            <v>0.25</v>
          </cell>
        </row>
        <row r="3735">
          <cell r="D3735">
            <v>1208003280</v>
          </cell>
          <cell r="E3735" t="str">
            <v>DONALD YANZA</v>
          </cell>
          <cell r="F3735" t="str">
            <v>D (Ch)</v>
          </cell>
          <cell r="G3735">
            <v>17522</v>
          </cell>
          <cell r="H3735" t="str">
            <v>Choice</v>
          </cell>
          <cell r="I3735">
            <v>0.83333333333333337</v>
          </cell>
          <cell r="J3735">
            <v>0.33333333333333331</v>
          </cell>
          <cell r="K3735">
            <v>11.3333333333333</v>
          </cell>
          <cell r="L3735">
            <v>441.91</v>
          </cell>
          <cell r="O3735" t="str">
            <v>Y</v>
          </cell>
          <cell r="P3735" t="str">
            <v>N</v>
          </cell>
          <cell r="Q3735" t="str">
            <v>Extra Capacity</v>
          </cell>
          <cell r="S3735">
            <v>0.3</v>
          </cell>
        </row>
        <row r="3736">
          <cell r="D3736">
            <v>1208000752</v>
          </cell>
          <cell r="E3736" t="str">
            <v>DOROTHY MUTEMWA</v>
          </cell>
          <cell r="F3736" t="str">
            <v>A (Ch)</v>
          </cell>
          <cell r="H3736" t="str">
            <v>Choice</v>
          </cell>
          <cell r="I3736">
            <v>0.83333333333333337</v>
          </cell>
          <cell r="J3736">
            <v>0.33333333333333331</v>
          </cell>
          <cell r="K3736">
            <v>11.3333333333333</v>
          </cell>
          <cell r="L3736">
            <v>209.48</v>
          </cell>
          <cell r="O3736" t="str">
            <v>Y</v>
          </cell>
          <cell r="P3736" t="str">
            <v>N</v>
          </cell>
          <cell r="Q3736" t="str">
            <v>Extra Capacity</v>
          </cell>
          <cell r="S3736">
            <v>0.3</v>
          </cell>
        </row>
        <row r="3737">
          <cell r="D3737">
            <v>1208003278</v>
          </cell>
          <cell r="E3737" t="str">
            <v>FIONA DURKIN-GREER</v>
          </cell>
          <cell r="F3737" t="str">
            <v>D (MD)</v>
          </cell>
          <cell r="G3737">
            <v>351133</v>
          </cell>
          <cell r="H3737" t="str">
            <v>Mayday</v>
          </cell>
          <cell r="I3737">
            <v>0.3125</v>
          </cell>
          <cell r="J3737">
            <v>0.60416666666666663</v>
          </cell>
          <cell r="K3737">
            <v>6.6666666666666696</v>
          </cell>
          <cell r="L3737">
            <v>344.43</v>
          </cell>
          <cell r="O3737" t="str">
            <v>Y</v>
          </cell>
          <cell r="P3737" t="str">
            <v>N</v>
          </cell>
          <cell r="Q3737" t="str">
            <v>Extra Capacity</v>
          </cell>
          <cell r="S3737">
            <v>0.18</v>
          </cell>
        </row>
        <row r="3738">
          <cell r="D3738">
            <v>1108005754</v>
          </cell>
          <cell r="E3738" t="str">
            <v>GALE HARLEY</v>
          </cell>
          <cell r="F3738" t="str">
            <v>D (Amb)</v>
          </cell>
          <cell r="H3738" t="str">
            <v>Ambition</v>
          </cell>
          <cell r="I3738">
            <v>0.32291666666666669</v>
          </cell>
          <cell r="J3738">
            <v>0.84375</v>
          </cell>
          <cell r="K3738">
            <v>11.5</v>
          </cell>
          <cell r="L3738">
            <v>719.44</v>
          </cell>
          <cell r="O3738" t="str">
            <v>Y</v>
          </cell>
          <cell r="P3738" t="str">
            <v>N</v>
          </cell>
          <cell r="Q3738" t="str">
            <v>Short Term Sick</v>
          </cell>
          <cell r="S3738">
            <v>0.31</v>
          </cell>
        </row>
        <row r="3739">
          <cell r="D3739">
            <v>1208003763</v>
          </cell>
          <cell r="E3739" t="str">
            <v>GARY WILSON</v>
          </cell>
          <cell r="F3739" t="str">
            <v>D (MD)</v>
          </cell>
          <cell r="G3739">
            <v>351437</v>
          </cell>
          <cell r="H3739" t="str">
            <v>Mayday</v>
          </cell>
          <cell r="I3739">
            <v>0.3125</v>
          </cell>
          <cell r="J3739">
            <v>0.83333333333333337</v>
          </cell>
          <cell r="K3739">
            <v>11.8333333333333</v>
          </cell>
          <cell r="L3739">
            <v>611.36</v>
          </cell>
          <cell r="O3739" t="str">
            <v>Y</v>
          </cell>
          <cell r="P3739" t="str">
            <v>N</v>
          </cell>
          <cell r="Q3739" t="str">
            <v>Short Term Sick</v>
          </cell>
          <cell r="S3739">
            <v>0.32</v>
          </cell>
        </row>
        <row r="3740">
          <cell r="D3740">
            <v>1108006239</v>
          </cell>
          <cell r="E3740" t="str">
            <v>GLENDA REMIREZ</v>
          </cell>
          <cell r="F3740" t="str">
            <v>D (Ch)</v>
          </cell>
          <cell r="H3740" t="str">
            <v>Choice</v>
          </cell>
          <cell r="I3740">
            <v>0.8125</v>
          </cell>
          <cell r="J3740">
            <v>0.33333333333333331</v>
          </cell>
          <cell r="K3740">
            <v>11.8333333333333</v>
          </cell>
          <cell r="L3740">
            <v>461.41</v>
          </cell>
          <cell r="O3740" t="str">
            <v>Y</v>
          </cell>
          <cell r="P3740" t="str">
            <v>N</v>
          </cell>
          <cell r="Q3740" t="str">
            <v>Short Term Sick</v>
          </cell>
          <cell r="S3740">
            <v>0.32</v>
          </cell>
        </row>
        <row r="3741">
          <cell r="D3741">
            <v>1108002185</v>
          </cell>
          <cell r="E3741" t="str">
            <v>GLENDA RONA</v>
          </cell>
          <cell r="F3741" t="str">
            <v>D (Ch)</v>
          </cell>
          <cell r="G3741">
            <v>17514</v>
          </cell>
          <cell r="H3741" t="str">
            <v>Choice</v>
          </cell>
          <cell r="I3741">
            <v>0.84375</v>
          </cell>
          <cell r="J3741">
            <v>0.3125</v>
          </cell>
          <cell r="K3741">
            <v>10.25</v>
          </cell>
          <cell r="L3741">
            <v>399.67</v>
          </cell>
          <cell r="O3741" t="str">
            <v>Y</v>
          </cell>
          <cell r="P3741" t="str">
            <v>N</v>
          </cell>
          <cell r="Q3741" t="str">
            <v>Vacancy</v>
          </cell>
          <cell r="S3741">
            <v>0.27</v>
          </cell>
        </row>
        <row r="3742">
          <cell r="D3742">
            <v>1208003722</v>
          </cell>
          <cell r="E3742" t="str">
            <v>IOAN GALATANU</v>
          </cell>
          <cell r="F3742" t="str">
            <v>D (Amb)</v>
          </cell>
          <cell r="G3742">
            <v>766399</v>
          </cell>
          <cell r="H3742" t="str">
            <v>Ambition</v>
          </cell>
          <cell r="I3742">
            <v>0.625</v>
          </cell>
          <cell r="J3742">
            <v>0.84375</v>
          </cell>
          <cell r="K3742">
            <v>4.4166666666666696</v>
          </cell>
          <cell r="L3742">
            <v>276.31</v>
          </cell>
          <cell r="O3742" t="str">
            <v>Y</v>
          </cell>
          <cell r="P3742" t="str">
            <v>N</v>
          </cell>
          <cell r="Q3742" t="str">
            <v>On-Call</v>
          </cell>
          <cell r="S3742">
            <v>0.12</v>
          </cell>
        </row>
        <row r="3743">
          <cell r="D3743">
            <v>1208002591</v>
          </cell>
          <cell r="E3743" t="str">
            <v>JAMES MAKONI</v>
          </cell>
          <cell r="F3743" t="str">
            <v>D (Amb)</v>
          </cell>
          <cell r="G3743">
            <v>766214</v>
          </cell>
          <cell r="H3743" t="str">
            <v>Ambition</v>
          </cell>
          <cell r="I3743">
            <v>0.29166666666666669</v>
          </cell>
          <cell r="J3743">
            <v>0.625</v>
          </cell>
          <cell r="K3743">
            <v>7.6666666666666696</v>
          </cell>
          <cell r="L3743">
            <v>479.63</v>
          </cell>
          <cell r="O3743" t="str">
            <v>Y</v>
          </cell>
          <cell r="P3743" t="str">
            <v>N</v>
          </cell>
          <cell r="Q3743" t="str">
            <v>Specials</v>
          </cell>
          <cell r="S3743">
            <v>0.2</v>
          </cell>
        </row>
        <row r="3744">
          <cell r="D3744">
            <v>1208002593</v>
          </cell>
          <cell r="E3744" t="str">
            <v>JAMES MAKONI</v>
          </cell>
          <cell r="F3744" t="str">
            <v>D (Amb)</v>
          </cell>
          <cell r="G3744">
            <v>766214</v>
          </cell>
          <cell r="H3744" t="str">
            <v>Ambition</v>
          </cell>
          <cell r="I3744">
            <v>0.625</v>
          </cell>
          <cell r="J3744">
            <v>0.88541666666666663</v>
          </cell>
          <cell r="K3744">
            <v>5.9166666666666696</v>
          </cell>
          <cell r="L3744">
            <v>370.15</v>
          </cell>
          <cell r="O3744" t="str">
            <v>Y</v>
          </cell>
          <cell r="P3744" t="str">
            <v>N</v>
          </cell>
          <cell r="Q3744" t="str">
            <v>Specials</v>
          </cell>
          <cell r="S3744">
            <v>0.16</v>
          </cell>
        </row>
        <row r="3745">
          <cell r="D3745">
            <v>1208001284</v>
          </cell>
          <cell r="E3745" t="str">
            <v>JANE DUNSMURE</v>
          </cell>
          <cell r="F3745" t="str">
            <v>D/5 (PS)</v>
          </cell>
          <cell r="H3745" t="str">
            <v>Pinnacle Staffing</v>
          </cell>
          <cell r="I3745">
            <v>0.88541666666666663</v>
          </cell>
          <cell r="J3745">
            <v>0.3125</v>
          </cell>
          <cell r="K3745">
            <v>9.9166666666666696</v>
          </cell>
          <cell r="L3745">
            <v>269.57</v>
          </cell>
          <cell r="O3745" t="str">
            <v>Y</v>
          </cell>
          <cell r="P3745" t="str">
            <v>N</v>
          </cell>
          <cell r="Q3745" t="str">
            <v>Vacancy</v>
          </cell>
          <cell r="S3745">
            <v>0.26</v>
          </cell>
        </row>
        <row r="3746">
          <cell r="D3746">
            <v>1208000344</v>
          </cell>
          <cell r="E3746" t="str">
            <v>JASON WENT</v>
          </cell>
          <cell r="F3746" t="str">
            <v>D / 5 General (</v>
          </cell>
          <cell r="G3746" t="str">
            <v>604-160940</v>
          </cell>
          <cell r="H3746" t="str">
            <v>Blue Arrow</v>
          </cell>
          <cell r="I3746">
            <v>0.83333333333333337</v>
          </cell>
          <cell r="J3746">
            <v>0.33333333333333331</v>
          </cell>
          <cell r="K3746">
            <v>11</v>
          </cell>
          <cell r="L3746">
            <v>297.08999999999997</v>
          </cell>
          <cell r="O3746" t="str">
            <v>Y</v>
          </cell>
          <cell r="P3746" t="str">
            <v>N</v>
          </cell>
          <cell r="Q3746" t="str">
            <v>Extra Capacity</v>
          </cell>
          <cell r="S3746">
            <v>0.28999999999999998</v>
          </cell>
        </row>
        <row r="3747">
          <cell r="D3747">
            <v>1108004264</v>
          </cell>
          <cell r="E3747" t="str">
            <v>JOAN LEWIS</v>
          </cell>
          <cell r="F3747" t="str">
            <v>D (MD)</v>
          </cell>
          <cell r="G3747">
            <v>351124</v>
          </cell>
          <cell r="H3747" t="str">
            <v>Mayday</v>
          </cell>
          <cell r="I3747">
            <v>0.3125</v>
          </cell>
          <cell r="J3747">
            <v>0.5625</v>
          </cell>
          <cell r="K3747">
            <v>5.6666666666666696</v>
          </cell>
          <cell r="L3747">
            <v>292.76</v>
          </cell>
          <cell r="O3747" t="str">
            <v>Y</v>
          </cell>
          <cell r="P3747" t="str">
            <v>N</v>
          </cell>
          <cell r="Q3747" t="str">
            <v>Vacancy</v>
          </cell>
          <cell r="S3747">
            <v>0.15</v>
          </cell>
        </row>
        <row r="3748">
          <cell r="D3748">
            <v>1208003316</v>
          </cell>
          <cell r="E3748" t="str">
            <v>JOAN LEWIS</v>
          </cell>
          <cell r="F3748" t="str">
            <v>D (MD)</v>
          </cell>
          <cell r="G3748">
            <v>351123</v>
          </cell>
          <cell r="H3748" t="str">
            <v>Mayday</v>
          </cell>
          <cell r="I3748">
            <v>0.60416666666666663</v>
          </cell>
          <cell r="J3748">
            <v>0.85416666666666663</v>
          </cell>
          <cell r="K3748">
            <v>5.6666666666666696</v>
          </cell>
          <cell r="L3748">
            <v>292.76</v>
          </cell>
          <cell r="O3748" t="str">
            <v>Y</v>
          </cell>
          <cell r="P3748" t="str">
            <v>N</v>
          </cell>
          <cell r="Q3748" t="str">
            <v>Extra Capacity</v>
          </cell>
          <cell r="S3748">
            <v>0.15</v>
          </cell>
        </row>
        <row r="3749">
          <cell r="D3749">
            <v>1208003276</v>
          </cell>
          <cell r="E3749" t="str">
            <v>JUDITH MULUMBA</v>
          </cell>
          <cell r="F3749" t="str">
            <v>D (Ch)</v>
          </cell>
          <cell r="G3749">
            <v>17522</v>
          </cell>
          <cell r="H3749" t="str">
            <v>Choice</v>
          </cell>
          <cell r="I3749">
            <v>0.3125</v>
          </cell>
          <cell r="J3749">
            <v>0.85416666666666663</v>
          </cell>
          <cell r="K3749">
            <v>12.3333333333333</v>
          </cell>
          <cell r="L3749">
            <v>480.9</v>
          </cell>
          <cell r="O3749" t="str">
            <v>Y</v>
          </cell>
          <cell r="P3749" t="str">
            <v>N</v>
          </cell>
          <cell r="Q3749" t="str">
            <v>Extra Capacity</v>
          </cell>
          <cell r="S3749">
            <v>0.33</v>
          </cell>
        </row>
        <row r="3750">
          <cell r="D3750">
            <v>1208001969</v>
          </cell>
          <cell r="E3750" t="str">
            <v>KRISHENDAI DOOKIE</v>
          </cell>
          <cell r="F3750" t="str">
            <v>D (Amb)</v>
          </cell>
          <cell r="G3750">
            <v>766178</v>
          </cell>
          <cell r="H3750" t="str">
            <v>Ambition</v>
          </cell>
          <cell r="I3750">
            <v>0.3125</v>
          </cell>
          <cell r="J3750">
            <v>0.625</v>
          </cell>
          <cell r="K3750">
            <v>7.1666666666666696</v>
          </cell>
          <cell r="L3750">
            <v>448.35</v>
          </cell>
          <cell r="O3750" t="str">
            <v>Y</v>
          </cell>
          <cell r="P3750" t="str">
            <v>N</v>
          </cell>
          <cell r="Q3750" t="str">
            <v>Extra Capacity</v>
          </cell>
          <cell r="S3750">
            <v>0.19</v>
          </cell>
        </row>
        <row r="3751">
          <cell r="D3751">
            <v>1208003744</v>
          </cell>
          <cell r="E3751" t="str">
            <v>LISA LANDICHIO</v>
          </cell>
          <cell r="F3751" t="str">
            <v>D (MD)</v>
          </cell>
          <cell r="G3751">
            <v>352051</v>
          </cell>
          <cell r="H3751" t="str">
            <v>Mayday</v>
          </cell>
          <cell r="I3751">
            <v>0.3125</v>
          </cell>
          <cell r="J3751">
            <v>0.85416666666666663</v>
          </cell>
          <cell r="K3751">
            <v>12.3333333333333</v>
          </cell>
          <cell r="L3751">
            <v>637.19000000000005</v>
          </cell>
          <cell r="O3751" t="str">
            <v>Y</v>
          </cell>
          <cell r="P3751" t="str">
            <v>N</v>
          </cell>
          <cell r="Q3751" t="str">
            <v>Extra Capacity</v>
          </cell>
          <cell r="S3751">
            <v>0.33</v>
          </cell>
        </row>
        <row r="3752">
          <cell r="D3752">
            <v>1208002023</v>
          </cell>
          <cell r="E3752" t="str">
            <v>MABEL MNISI</v>
          </cell>
          <cell r="F3752" t="str">
            <v>D (MD)</v>
          </cell>
          <cell r="G3752">
            <v>352010</v>
          </cell>
          <cell r="H3752" t="str">
            <v>Mayday</v>
          </cell>
          <cell r="I3752">
            <v>0.83333333333333337</v>
          </cell>
          <cell r="J3752">
            <v>0.33333333333333331</v>
          </cell>
          <cell r="K3752">
            <v>11.3333333333333</v>
          </cell>
          <cell r="L3752">
            <v>585.53</v>
          </cell>
          <cell r="O3752" t="str">
            <v>Y</v>
          </cell>
          <cell r="P3752" t="str">
            <v>N</v>
          </cell>
          <cell r="Q3752" t="str">
            <v>Extra Capacity</v>
          </cell>
          <cell r="S3752">
            <v>0.3</v>
          </cell>
        </row>
        <row r="3753">
          <cell r="D3753">
            <v>1208002022</v>
          </cell>
          <cell r="E3753" t="str">
            <v>METTA SUNDAY</v>
          </cell>
          <cell r="F3753" t="str">
            <v>D (Amb)</v>
          </cell>
          <cell r="G3753">
            <v>766209</v>
          </cell>
          <cell r="H3753" t="str">
            <v>Ambition</v>
          </cell>
          <cell r="I3753">
            <v>0.83333333333333337</v>
          </cell>
          <cell r="J3753">
            <v>0.33333333333333331</v>
          </cell>
          <cell r="K3753">
            <v>11.3333333333333</v>
          </cell>
          <cell r="L3753">
            <v>709.01</v>
          </cell>
          <cell r="O3753" t="str">
            <v>Y</v>
          </cell>
          <cell r="P3753" t="str">
            <v>N</v>
          </cell>
          <cell r="Q3753" t="str">
            <v>Extra Capacity</v>
          </cell>
          <cell r="S3753">
            <v>0.3</v>
          </cell>
        </row>
        <row r="3754">
          <cell r="D3754">
            <v>1208002754</v>
          </cell>
          <cell r="E3754" t="str">
            <v>MZUKISI SPEELMAN</v>
          </cell>
          <cell r="F3754" t="str">
            <v>A (Ch)</v>
          </cell>
          <cell r="G3754">
            <v>17522</v>
          </cell>
          <cell r="H3754" t="str">
            <v>Choice</v>
          </cell>
          <cell r="I3754">
            <v>0.3125</v>
          </cell>
          <cell r="J3754">
            <v>0.5625</v>
          </cell>
          <cell r="K3754">
            <v>5.6666666666666696</v>
          </cell>
          <cell r="L3754">
            <v>104.74</v>
          </cell>
          <cell r="O3754" t="str">
            <v>Y</v>
          </cell>
          <cell r="P3754" t="str">
            <v>N</v>
          </cell>
          <cell r="Q3754" t="str">
            <v>Extra Capacity</v>
          </cell>
          <cell r="S3754">
            <v>0.15</v>
          </cell>
        </row>
        <row r="3755">
          <cell r="D3755">
            <v>1208002758</v>
          </cell>
          <cell r="E3755" t="str">
            <v>MZUKISI SPEELMAN</v>
          </cell>
          <cell r="F3755" t="str">
            <v>A (Ch)</v>
          </cell>
          <cell r="G3755">
            <v>17522</v>
          </cell>
          <cell r="H3755" t="str">
            <v>Choice</v>
          </cell>
          <cell r="I3755">
            <v>0.58333333333333337</v>
          </cell>
          <cell r="J3755">
            <v>0.85416666666666663</v>
          </cell>
          <cell r="K3755">
            <v>6.1666666666666696</v>
          </cell>
          <cell r="L3755">
            <v>113.98</v>
          </cell>
          <cell r="O3755" t="str">
            <v>Y</v>
          </cell>
          <cell r="P3755" t="str">
            <v>N</v>
          </cell>
          <cell r="Q3755" t="str">
            <v>Extra Capacity</v>
          </cell>
          <cell r="S3755">
            <v>0.16</v>
          </cell>
        </row>
        <row r="3756">
          <cell r="D3756">
            <v>1208000744</v>
          </cell>
          <cell r="E3756" t="str">
            <v>NILO DANUGO</v>
          </cell>
          <cell r="F3756" t="str">
            <v>D (Ch)</v>
          </cell>
          <cell r="H3756" t="str">
            <v>Choice</v>
          </cell>
          <cell r="I3756">
            <v>0.83333333333333337</v>
          </cell>
          <cell r="J3756">
            <v>0.33333333333333331</v>
          </cell>
          <cell r="K3756">
            <v>11.3333333333333</v>
          </cell>
          <cell r="L3756">
            <v>441.91</v>
          </cell>
          <cell r="O3756" t="str">
            <v>Y</v>
          </cell>
          <cell r="P3756" t="str">
            <v>N</v>
          </cell>
          <cell r="Q3756" t="str">
            <v>Extra Capacity</v>
          </cell>
          <cell r="S3756">
            <v>0.3</v>
          </cell>
        </row>
        <row r="3757">
          <cell r="D3757">
            <v>1208000740</v>
          </cell>
          <cell r="E3757" t="str">
            <v>PEGGY MAPOGO</v>
          </cell>
          <cell r="F3757" t="str">
            <v>D (Ch)</v>
          </cell>
          <cell r="H3757" t="str">
            <v>Choice</v>
          </cell>
          <cell r="I3757">
            <v>0.3125</v>
          </cell>
          <cell r="J3757">
            <v>0.64583333333333337</v>
          </cell>
          <cell r="K3757">
            <v>7.6666666666666696</v>
          </cell>
          <cell r="L3757">
            <v>298.94</v>
          </cell>
          <cell r="O3757" t="str">
            <v>Y</v>
          </cell>
          <cell r="P3757" t="str">
            <v>N</v>
          </cell>
          <cell r="Q3757" t="str">
            <v>Extra Capacity</v>
          </cell>
          <cell r="S3757">
            <v>0.2</v>
          </cell>
        </row>
        <row r="3758">
          <cell r="D3758">
            <v>1208000742</v>
          </cell>
          <cell r="E3758" t="str">
            <v>PEGGY MAPOGO</v>
          </cell>
          <cell r="F3758" t="str">
            <v>D (Ch)</v>
          </cell>
          <cell r="H3758" t="str">
            <v>Choice</v>
          </cell>
          <cell r="I3758">
            <v>0.64583333333333337</v>
          </cell>
          <cell r="J3758">
            <v>0.85416666666666663</v>
          </cell>
          <cell r="K3758">
            <v>5</v>
          </cell>
          <cell r="L3758">
            <v>194.96</v>
          </cell>
          <cell r="O3758" t="str">
            <v>Y</v>
          </cell>
          <cell r="P3758" t="str">
            <v>N</v>
          </cell>
          <cell r="Q3758" t="str">
            <v>Extra Capacity</v>
          </cell>
          <cell r="S3758">
            <v>0.13</v>
          </cell>
        </row>
        <row r="3759">
          <cell r="D3759">
            <v>1208003504</v>
          </cell>
          <cell r="E3759" t="str">
            <v>PURITY EHREUREICH</v>
          </cell>
          <cell r="F3759" t="str">
            <v>D (MD)</v>
          </cell>
          <cell r="G3759">
            <v>351435</v>
          </cell>
          <cell r="H3759" t="str">
            <v>Mayday</v>
          </cell>
          <cell r="I3759">
            <v>0.3125</v>
          </cell>
          <cell r="J3759">
            <v>0.85416666666666663</v>
          </cell>
          <cell r="K3759">
            <v>12.3333333333333</v>
          </cell>
          <cell r="L3759">
            <v>637.19000000000005</v>
          </cell>
          <cell r="O3759" t="str">
            <v>Y</v>
          </cell>
          <cell r="P3759" t="str">
            <v>N</v>
          </cell>
          <cell r="Q3759" t="str">
            <v>Short Term Sick</v>
          </cell>
          <cell r="S3759">
            <v>0.33</v>
          </cell>
        </row>
        <row r="3760">
          <cell r="D3760">
            <v>1208003312</v>
          </cell>
          <cell r="E3760" t="str">
            <v>RICHARD JAMBAYA</v>
          </cell>
          <cell r="F3760" t="str">
            <v>A (Ch)</v>
          </cell>
          <cell r="G3760">
            <v>17518</v>
          </cell>
          <cell r="H3760" t="str">
            <v>Choice</v>
          </cell>
          <cell r="I3760">
            <v>0.29166666666666669</v>
          </cell>
          <cell r="J3760">
            <v>0.58333333333333337</v>
          </cell>
          <cell r="K3760">
            <v>6.6666666666666696</v>
          </cell>
          <cell r="L3760">
            <v>123.22</v>
          </cell>
          <cell r="O3760" t="str">
            <v>Y</v>
          </cell>
          <cell r="P3760" t="str">
            <v>N</v>
          </cell>
          <cell r="Q3760" t="str">
            <v>Short Term Sick</v>
          </cell>
          <cell r="S3760">
            <v>0.18</v>
          </cell>
        </row>
        <row r="3761">
          <cell r="D3761">
            <v>1208003721</v>
          </cell>
          <cell r="E3761" t="str">
            <v>RICHARD JAMBAYA</v>
          </cell>
          <cell r="F3761" t="str">
            <v>A (Ch)</v>
          </cell>
          <cell r="G3761">
            <v>17536</v>
          </cell>
          <cell r="H3761" t="str">
            <v>Choice</v>
          </cell>
          <cell r="I3761">
            <v>0.60416666666666663</v>
          </cell>
          <cell r="J3761">
            <v>0.83333333333333337</v>
          </cell>
          <cell r="K3761">
            <v>5.5</v>
          </cell>
          <cell r="L3761">
            <v>101.66</v>
          </cell>
          <cell r="O3761" t="str">
            <v>Y</v>
          </cell>
          <cell r="P3761" t="str">
            <v>N</v>
          </cell>
          <cell r="Q3761" t="str">
            <v>On-Call</v>
          </cell>
          <cell r="S3761">
            <v>0.15</v>
          </cell>
        </row>
        <row r="3762">
          <cell r="D3762">
            <v>1108005824</v>
          </cell>
          <cell r="E3762" t="str">
            <v>ROHEYATOU NDOW-NJIE</v>
          </cell>
          <cell r="F3762" t="str">
            <v>D (Ch)</v>
          </cell>
          <cell r="G3762">
            <v>17767</v>
          </cell>
          <cell r="H3762" t="str">
            <v>Choice</v>
          </cell>
          <cell r="I3762">
            <v>0.3125</v>
          </cell>
          <cell r="J3762">
            <v>0.54166666666666663</v>
          </cell>
          <cell r="K3762">
            <v>5.5</v>
          </cell>
          <cell r="L3762">
            <v>214.46</v>
          </cell>
          <cell r="O3762" t="str">
            <v>Y</v>
          </cell>
          <cell r="P3762" t="str">
            <v>N</v>
          </cell>
          <cell r="Q3762" t="str">
            <v>Extra Capacity</v>
          </cell>
          <cell r="S3762">
            <v>0.15</v>
          </cell>
        </row>
        <row r="3763">
          <cell r="D3763">
            <v>1108005828</v>
          </cell>
          <cell r="E3763" t="str">
            <v>ROHEYATOU NDOW-NJIE</v>
          </cell>
          <cell r="F3763" t="str">
            <v>D (Ch)</v>
          </cell>
          <cell r="G3763">
            <v>17799</v>
          </cell>
          <cell r="H3763" t="str">
            <v>Choice</v>
          </cell>
          <cell r="I3763">
            <v>0.625</v>
          </cell>
          <cell r="J3763">
            <v>0.85416666666666663</v>
          </cell>
          <cell r="K3763">
            <v>5.5</v>
          </cell>
          <cell r="L3763">
            <v>214.46</v>
          </cell>
          <cell r="O3763" t="str">
            <v>Y</v>
          </cell>
          <cell r="P3763" t="str">
            <v>N</v>
          </cell>
          <cell r="Q3763" t="str">
            <v>Extra Capacity</v>
          </cell>
          <cell r="S3763">
            <v>0.15</v>
          </cell>
        </row>
        <row r="3764">
          <cell r="D3764">
            <v>1208000357</v>
          </cell>
          <cell r="E3764" t="str">
            <v>RUTA KAIRYTE</v>
          </cell>
          <cell r="F3764" t="str">
            <v>D (Amb)</v>
          </cell>
          <cell r="H3764" t="str">
            <v>Ambition</v>
          </cell>
          <cell r="I3764">
            <v>0.625</v>
          </cell>
          <cell r="J3764">
            <v>0.875</v>
          </cell>
          <cell r="K3764">
            <v>5.6666666666666696</v>
          </cell>
          <cell r="L3764">
            <v>354.51</v>
          </cell>
          <cell r="O3764" t="str">
            <v>Y</v>
          </cell>
          <cell r="P3764" t="str">
            <v>N</v>
          </cell>
          <cell r="Q3764" t="str">
            <v>Extra Capacity</v>
          </cell>
          <cell r="S3764">
            <v>0.15</v>
          </cell>
        </row>
        <row r="3765">
          <cell r="D3765">
            <v>1208003709</v>
          </cell>
          <cell r="E3765" t="str">
            <v>RUTA KAIRYTE</v>
          </cell>
          <cell r="F3765" t="str">
            <v>D (Amb)</v>
          </cell>
          <cell r="H3765" t="str">
            <v>Ambition</v>
          </cell>
          <cell r="I3765">
            <v>0.3125</v>
          </cell>
          <cell r="J3765">
            <v>0.60416666666666663</v>
          </cell>
          <cell r="K3765">
            <v>6.6666666666666696</v>
          </cell>
          <cell r="L3765">
            <v>417.07</v>
          </cell>
          <cell r="O3765" t="str">
            <v>Y</v>
          </cell>
          <cell r="P3765" t="str">
            <v>N</v>
          </cell>
          <cell r="Q3765" t="str">
            <v>On-Call</v>
          </cell>
          <cell r="S3765">
            <v>0.18</v>
          </cell>
        </row>
        <row r="3766">
          <cell r="D3766">
            <v>1208002024</v>
          </cell>
          <cell r="E3766" t="str">
            <v>RUTH NDEGWA</v>
          </cell>
          <cell r="F3766" t="str">
            <v>D (MD)</v>
          </cell>
          <cell r="G3766">
            <v>352307</v>
          </cell>
          <cell r="H3766" t="str">
            <v>Mayday</v>
          </cell>
          <cell r="I3766">
            <v>0.83333333333333337</v>
          </cell>
          <cell r="J3766">
            <v>0.33333333333333331</v>
          </cell>
          <cell r="K3766">
            <v>11.3333333333333</v>
          </cell>
          <cell r="L3766">
            <v>585.53</v>
          </cell>
          <cell r="O3766" t="str">
            <v>Y</v>
          </cell>
          <cell r="P3766" t="str">
            <v>N</v>
          </cell>
          <cell r="Q3766" t="str">
            <v>Extra Capacity</v>
          </cell>
          <cell r="S3766">
            <v>0.3</v>
          </cell>
        </row>
        <row r="3767">
          <cell r="D3767">
            <v>1208003222</v>
          </cell>
          <cell r="E3767" t="str">
            <v>SAMANTHA  WILLIAMS</v>
          </cell>
          <cell r="F3767" t="str">
            <v>D (Amb)</v>
          </cell>
          <cell r="H3767" t="str">
            <v>Ambition</v>
          </cell>
          <cell r="I3767">
            <v>0.32291666666666669</v>
          </cell>
          <cell r="J3767">
            <v>0.84375</v>
          </cell>
          <cell r="K3767">
            <v>11.8333333333333</v>
          </cell>
          <cell r="L3767">
            <v>740.29</v>
          </cell>
          <cell r="O3767" t="str">
            <v>Y</v>
          </cell>
          <cell r="P3767" t="str">
            <v>N</v>
          </cell>
          <cell r="Q3767" t="str">
            <v>Short Term Sick</v>
          </cell>
          <cell r="S3767">
            <v>0.32</v>
          </cell>
        </row>
        <row r="3768">
          <cell r="D3768">
            <v>1208003736</v>
          </cell>
          <cell r="E3768" t="str">
            <v>STACY STRUMIENE</v>
          </cell>
          <cell r="F3768" t="str">
            <v>A (Ch)</v>
          </cell>
          <cell r="G3768">
            <v>17539</v>
          </cell>
          <cell r="H3768" t="str">
            <v>Choice</v>
          </cell>
          <cell r="I3768">
            <v>0.3125</v>
          </cell>
          <cell r="J3768">
            <v>0.85416666666666663</v>
          </cell>
          <cell r="K3768">
            <v>12.3333333333333</v>
          </cell>
          <cell r="L3768">
            <v>227.96</v>
          </cell>
          <cell r="O3768" t="str">
            <v>Y</v>
          </cell>
          <cell r="P3768" t="str">
            <v>N</v>
          </cell>
          <cell r="Q3768" t="str">
            <v>On-Call</v>
          </cell>
          <cell r="S3768">
            <v>0.33</v>
          </cell>
        </row>
        <row r="3769">
          <cell r="D3769">
            <v>1208001893</v>
          </cell>
          <cell r="E3769" t="str">
            <v>SUNITHA SINGH</v>
          </cell>
          <cell r="F3769" t="str">
            <v>D (Amb)</v>
          </cell>
          <cell r="G3769">
            <v>766213</v>
          </cell>
          <cell r="H3769" t="str">
            <v>Ambition</v>
          </cell>
          <cell r="I3769">
            <v>0.3125</v>
          </cell>
          <cell r="J3769">
            <v>0.64583333333333337</v>
          </cell>
          <cell r="K3769">
            <v>7.6666666666666696</v>
          </cell>
          <cell r="L3769">
            <v>479.63</v>
          </cell>
          <cell r="O3769" t="str">
            <v>Y</v>
          </cell>
          <cell r="P3769" t="str">
            <v>N</v>
          </cell>
          <cell r="Q3769" t="str">
            <v>Extra Capacity</v>
          </cell>
          <cell r="S3769">
            <v>0.2</v>
          </cell>
        </row>
        <row r="3770">
          <cell r="D3770">
            <v>1208001897</v>
          </cell>
          <cell r="E3770" t="str">
            <v>SUNITHA SINGH</v>
          </cell>
          <cell r="F3770" t="str">
            <v>D (Amb)</v>
          </cell>
          <cell r="G3770">
            <v>766213</v>
          </cell>
          <cell r="H3770" t="str">
            <v>Ambition</v>
          </cell>
          <cell r="I3770">
            <v>0.64583333333333337</v>
          </cell>
          <cell r="J3770">
            <v>0.85416666666666663</v>
          </cell>
          <cell r="K3770">
            <v>5</v>
          </cell>
          <cell r="L3770">
            <v>312.8</v>
          </cell>
          <cell r="O3770" t="str">
            <v>Y</v>
          </cell>
          <cell r="P3770" t="str">
            <v>N</v>
          </cell>
          <cell r="Q3770" t="str">
            <v>Extra Capacity</v>
          </cell>
          <cell r="S3770">
            <v>0.13</v>
          </cell>
        </row>
        <row r="3771">
          <cell r="D3771">
            <v>1208001968</v>
          </cell>
          <cell r="E3771" t="str">
            <v>VANESSA SALAZAR</v>
          </cell>
          <cell r="F3771" t="str">
            <v>D (Ch)</v>
          </cell>
          <cell r="G3771">
            <v>17536</v>
          </cell>
          <cell r="H3771" t="str">
            <v>Choice</v>
          </cell>
          <cell r="I3771">
            <v>0.3125</v>
          </cell>
          <cell r="J3771">
            <v>0.625</v>
          </cell>
          <cell r="K3771">
            <v>7.1666666666666696</v>
          </cell>
          <cell r="L3771">
            <v>279.44</v>
          </cell>
          <cell r="O3771" t="str">
            <v>Y</v>
          </cell>
          <cell r="P3771" t="str">
            <v>N</v>
          </cell>
          <cell r="Q3771" t="str">
            <v>Extra Capacity</v>
          </cell>
          <cell r="S3771">
            <v>0.19</v>
          </cell>
        </row>
        <row r="3772">
          <cell r="D3772">
            <v>1208001988</v>
          </cell>
          <cell r="E3772" t="str">
            <v>VANESSA SALAZAR</v>
          </cell>
          <cell r="F3772" t="str">
            <v>D (Ch)</v>
          </cell>
          <cell r="G3772">
            <v>17536</v>
          </cell>
          <cell r="H3772" t="str">
            <v>Choice</v>
          </cell>
          <cell r="I3772">
            <v>0.625</v>
          </cell>
          <cell r="J3772">
            <v>0.85416666666666663</v>
          </cell>
          <cell r="K3772">
            <v>5.5</v>
          </cell>
          <cell r="L3772">
            <v>214.46</v>
          </cell>
          <cell r="O3772" t="str">
            <v>Y</v>
          </cell>
          <cell r="P3772" t="str">
            <v>N</v>
          </cell>
          <cell r="Q3772" t="str">
            <v>Extra Capacity</v>
          </cell>
          <cell r="S3772">
            <v>0.15</v>
          </cell>
        </row>
        <row r="3773">
          <cell r="D3773">
            <v>1208002398</v>
          </cell>
          <cell r="E3773" t="str">
            <v>ALAN CURTIS</v>
          </cell>
          <cell r="F3773" t="str">
            <v>D (MD)</v>
          </cell>
          <cell r="G3773">
            <v>352282</v>
          </cell>
          <cell r="H3773" t="str">
            <v>Mayday</v>
          </cell>
          <cell r="I3773">
            <v>0.3125</v>
          </cell>
          <cell r="J3773">
            <v>0.83333333333333337</v>
          </cell>
          <cell r="K3773">
            <v>11.83333333</v>
          </cell>
          <cell r="L3773">
            <v>382.1</v>
          </cell>
          <cell r="O3773" t="str">
            <v>Y</v>
          </cell>
          <cell r="P3773" t="str">
            <v>N</v>
          </cell>
          <cell r="Q3773" t="str">
            <v>Vacancy</v>
          </cell>
          <cell r="S3773">
            <v>0.32</v>
          </cell>
        </row>
        <row r="3774">
          <cell r="D3774">
            <v>1208002030</v>
          </cell>
          <cell r="E3774" t="str">
            <v>ALLI SUBRAMANIAM</v>
          </cell>
          <cell r="F3774" t="str">
            <v>D (MD)</v>
          </cell>
          <cell r="G3774">
            <v>355588</v>
          </cell>
          <cell r="H3774" t="str">
            <v>Mayday</v>
          </cell>
          <cell r="I3774">
            <v>0.3125</v>
          </cell>
          <cell r="J3774">
            <v>0.625</v>
          </cell>
          <cell r="K3774">
            <v>7.1666666670000003</v>
          </cell>
          <cell r="L3774">
            <v>231.41</v>
          </cell>
          <cell r="O3774" t="str">
            <v>Y</v>
          </cell>
          <cell r="P3774" t="str">
            <v>N</v>
          </cell>
          <cell r="Q3774" t="str">
            <v>Extra Capacity</v>
          </cell>
          <cell r="S3774">
            <v>0.19</v>
          </cell>
        </row>
        <row r="3775">
          <cell r="D3775">
            <v>1208002068</v>
          </cell>
          <cell r="E3775" t="str">
            <v>ALLI SUBRAMANIAM</v>
          </cell>
          <cell r="F3775" t="str">
            <v>D (MD)</v>
          </cell>
          <cell r="G3775">
            <v>355588</v>
          </cell>
          <cell r="H3775" t="str">
            <v>Mayday</v>
          </cell>
          <cell r="I3775">
            <v>0.625</v>
          </cell>
          <cell r="J3775">
            <v>0.85416666666666663</v>
          </cell>
          <cell r="K3775">
            <v>5.5</v>
          </cell>
          <cell r="L3775">
            <v>177.59</v>
          </cell>
          <cell r="O3775" t="str">
            <v>Y</v>
          </cell>
          <cell r="P3775" t="str">
            <v>N</v>
          </cell>
          <cell r="Q3775" t="str">
            <v>Extra Capacity</v>
          </cell>
          <cell r="S3775">
            <v>0.15</v>
          </cell>
        </row>
        <row r="3776">
          <cell r="D3776">
            <v>1208002600</v>
          </cell>
          <cell r="E3776" t="str">
            <v>ARLENA RUBEN</v>
          </cell>
          <cell r="F3776" t="str">
            <v>D (MD)</v>
          </cell>
          <cell r="H3776" t="str">
            <v>Mayday</v>
          </cell>
          <cell r="I3776">
            <v>0.88541666666666663</v>
          </cell>
          <cell r="J3776">
            <v>0.3125</v>
          </cell>
          <cell r="K3776">
            <v>9.25</v>
          </cell>
          <cell r="L3776">
            <v>388.29</v>
          </cell>
          <cell r="O3776" t="str">
            <v>Y</v>
          </cell>
          <cell r="P3776" t="str">
            <v>N</v>
          </cell>
          <cell r="Q3776" t="str">
            <v>Specials</v>
          </cell>
          <cell r="S3776">
            <v>0.25</v>
          </cell>
        </row>
        <row r="3777">
          <cell r="D3777">
            <v>1208003555</v>
          </cell>
          <cell r="E3777" t="str">
            <v>ATINUKE OKE-OLATUNDE</v>
          </cell>
          <cell r="F3777" t="str">
            <v>D (MD)</v>
          </cell>
          <cell r="G3777">
            <v>354379</v>
          </cell>
          <cell r="H3777" t="str">
            <v>Mayday</v>
          </cell>
          <cell r="I3777">
            <v>0.88541666666666663</v>
          </cell>
          <cell r="J3777">
            <v>0.30208333333333331</v>
          </cell>
          <cell r="K3777">
            <v>9</v>
          </cell>
          <cell r="L3777">
            <v>377.79</v>
          </cell>
          <cell r="O3777" t="str">
            <v>Y</v>
          </cell>
          <cell r="P3777" t="str">
            <v>N</v>
          </cell>
          <cell r="Q3777" t="str">
            <v>Extra Capacity</v>
          </cell>
          <cell r="S3777">
            <v>0.24</v>
          </cell>
        </row>
        <row r="3778">
          <cell r="D3778">
            <v>1208000791</v>
          </cell>
          <cell r="E3778" t="str">
            <v>BERNADETTE SHINYA-NDUNUWANI</v>
          </cell>
          <cell r="F3778" t="str">
            <v>D (MD)</v>
          </cell>
          <cell r="G3778">
            <v>352480</v>
          </cell>
          <cell r="H3778" t="str">
            <v>Mayday</v>
          </cell>
          <cell r="I3778">
            <v>0.3125</v>
          </cell>
          <cell r="J3778">
            <v>0.64583333333333337</v>
          </cell>
          <cell r="K3778">
            <v>7.6666666670000003</v>
          </cell>
          <cell r="L3778">
            <v>247.56</v>
          </cell>
          <cell r="O3778" t="str">
            <v>Y</v>
          </cell>
          <cell r="P3778" t="str">
            <v>N</v>
          </cell>
          <cell r="Q3778" t="str">
            <v>Extra Capacity</v>
          </cell>
          <cell r="S3778">
            <v>0.2</v>
          </cell>
        </row>
        <row r="3779">
          <cell r="D3779">
            <v>1208000794</v>
          </cell>
          <cell r="E3779" t="str">
            <v>BERNADETTE SHINYA-NDUNUWANI</v>
          </cell>
          <cell r="F3779" t="str">
            <v>D (MD)</v>
          </cell>
          <cell r="G3779">
            <v>352480</v>
          </cell>
          <cell r="H3779" t="str">
            <v>Mayday</v>
          </cell>
          <cell r="I3779">
            <v>0.64583333333333337</v>
          </cell>
          <cell r="J3779">
            <v>0.85416666666666663</v>
          </cell>
          <cell r="K3779">
            <v>5</v>
          </cell>
          <cell r="L3779">
            <v>161.44999999999999</v>
          </cell>
          <cell r="O3779" t="str">
            <v>Y</v>
          </cell>
          <cell r="P3779" t="str">
            <v>N</v>
          </cell>
          <cell r="Q3779" t="str">
            <v>Extra Capacity</v>
          </cell>
          <cell r="S3779">
            <v>0.13</v>
          </cell>
        </row>
        <row r="3780">
          <cell r="D3780">
            <v>1208002069</v>
          </cell>
          <cell r="E3780" t="str">
            <v>BONITA BUTLER</v>
          </cell>
          <cell r="F3780" t="str">
            <v>D (MD)</v>
          </cell>
          <cell r="G3780">
            <v>352308</v>
          </cell>
          <cell r="H3780" t="str">
            <v>Mayday</v>
          </cell>
          <cell r="I3780">
            <v>0.60416666666666663</v>
          </cell>
          <cell r="J3780">
            <v>0.85416666666666663</v>
          </cell>
          <cell r="K3780">
            <v>5.6666666670000003</v>
          </cell>
          <cell r="L3780">
            <v>182.98</v>
          </cell>
          <cell r="O3780" t="str">
            <v>Y</v>
          </cell>
          <cell r="P3780" t="str">
            <v>N</v>
          </cell>
          <cell r="Q3780" t="str">
            <v>Extra Capacity</v>
          </cell>
          <cell r="S3780">
            <v>0.15</v>
          </cell>
        </row>
        <row r="3781">
          <cell r="D3781">
            <v>1208003667</v>
          </cell>
          <cell r="E3781" t="str">
            <v>BONNIE TWALA</v>
          </cell>
          <cell r="F3781" t="str">
            <v>D (Amb)</v>
          </cell>
          <cell r="G3781">
            <v>772164</v>
          </cell>
          <cell r="H3781" t="str">
            <v>Ambition</v>
          </cell>
          <cell r="I3781">
            <v>0.82291666666666663</v>
          </cell>
          <cell r="J3781">
            <v>0.34375</v>
          </cell>
          <cell r="K3781">
            <v>11.5</v>
          </cell>
          <cell r="L3781">
            <v>584.54999999999995</v>
          </cell>
          <cell r="O3781" t="str">
            <v>Y</v>
          </cell>
          <cell r="P3781" t="str">
            <v>N</v>
          </cell>
          <cell r="Q3781" t="str">
            <v>Extra Capacity</v>
          </cell>
          <cell r="S3781">
            <v>0.31</v>
          </cell>
        </row>
        <row r="3782">
          <cell r="D3782">
            <v>1208003681</v>
          </cell>
          <cell r="E3782" t="str">
            <v>BRENDA GWEKWERERE</v>
          </cell>
          <cell r="F3782" t="str">
            <v>D (Ch)</v>
          </cell>
          <cell r="G3782">
            <v>17707</v>
          </cell>
          <cell r="H3782" t="str">
            <v>Choice</v>
          </cell>
          <cell r="I3782">
            <v>0.8125</v>
          </cell>
          <cell r="J3782">
            <v>0.33333333333333331</v>
          </cell>
          <cell r="K3782">
            <v>11.83333333</v>
          </cell>
          <cell r="L3782">
            <v>374.89</v>
          </cell>
          <cell r="O3782" t="str">
            <v>Y</v>
          </cell>
          <cell r="P3782" t="str">
            <v>N</v>
          </cell>
          <cell r="Q3782" t="str">
            <v>Extra Capacity</v>
          </cell>
          <cell r="S3782">
            <v>0.32</v>
          </cell>
        </row>
        <row r="3783">
          <cell r="D3783">
            <v>1208003745</v>
          </cell>
          <cell r="E3783" t="str">
            <v>CECILIA TIPPA</v>
          </cell>
          <cell r="F3783" t="str">
            <v>D (MD)</v>
          </cell>
          <cell r="G3783">
            <v>351841</v>
          </cell>
          <cell r="H3783" t="str">
            <v>Mayday</v>
          </cell>
          <cell r="I3783">
            <v>0.83333333333333337</v>
          </cell>
          <cell r="J3783">
            <v>0.33333333333333331</v>
          </cell>
          <cell r="K3783">
            <v>11</v>
          </cell>
          <cell r="L3783">
            <v>461.75</v>
          </cell>
          <cell r="O3783" t="str">
            <v>Y</v>
          </cell>
          <cell r="P3783" t="str">
            <v>N</v>
          </cell>
          <cell r="Q3783" t="str">
            <v>Extra Capacity</v>
          </cell>
          <cell r="S3783">
            <v>0.28999999999999998</v>
          </cell>
        </row>
        <row r="3784">
          <cell r="D3784">
            <v>1208001699</v>
          </cell>
          <cell r="E3784" t="str">
            <v>COLLEN SIBANDA</v>
          </cell>
          <cell r="F3784" t="str">
            <v>D (Ch)</v>
          </cell>
          <cell r="G3784">
            <v>17699</v>
          </cell>
          <cell r="H3784" t="str">
            <v>Choice</v>
          </cell>
          <cell r="I3784">
            <v>0.3125</v>
          </cell>
          <cell r="J3784">
            <v>0.60416666666666663</v>
          </cell>
          <cell r="K3784">
            <v>6.6666666670000003</v>
          </cell>
          <cell r="L3784">
            <v>162.47</v>
          </cell>
          <cell r="O3784" t="str">
            <v>Y</v>
          </cell>
          <cell r="P3784" t="str">
            <v>N</v>
          </cell>
          <cell r="Q3784" t="str">
            <v>Extra Capacity</v>
          </cell>
          <cell r="S3784">
            <v>0.18</v>
          </cell>
        </row>
        <row r="3785">
          <cell r="D3785">
            <v>1108004272</v>
          </cell>
          <cell r="E3785" t="str">
            <v>DAMILOLA AIKI</v>
          </cell>
          <cell r="F3785" t="str">
            <v>A (Ch)</v>
          </cell>
          <cell r="G3785">
            <v>17713</v>
          </cell>
          <cell r="H3785" t="str">
            <v>Choice</v>
          </cell>
          <cell r="I3785">
            <v>0.83333333333333337</v>
          </cell>
          <cell r="J3785">
            <v>0.33333333333333331</v>
          </cell>
          <cell r="K3785">
            <v>11.33333333</v>
          </cell>
          <cell r="L3785">
            <v>167.58</v>
          </cell>
          <cell r="O3785" t="str">
            <v>Y</v>
          </cell>
          <cell r="P3785" t="str">
            <v>N</v>
          </cell>
          <cell r="Q3785" t="str">
            <v>Vacancy</v>
          </cell>
          <cell r="S3785">
            <v>0.3</v>
          </cell>
        </row>
        <row r="3786">
          <cell r="D3786">
            <v>1208003608</v>
          </cell>
          <cell r="E3786" t="str">
            <v>EDMA ITALIA</v>
          </cell>
          <cell r="F3786" t="str">
            <v>D (Ch)</v>
          </cell>
          <cell r="G3786">
            <v>17706</v>
          </cell>
          <cell r="H3786" t="str">
            <v>Choice</v>
          </cell>
          <cell r="I3786">
            <v>0.8125</v>
          </cell>
          <cell r="J3786">
            <v>0.33333333333333331</v>
          </cell>
          <cell r="K3786">
            <v>11.83333333</v>
          </cell>
          <cell r="L3786">
            <v>374.89</v>
          </cell>
          <cell r="O3786" t="str">
            <v>Y</v>
          </cell>
          <cell r="P3786" t="str">
            <v>N</v>
          </cell>
          <cell r="Q3786" t="str">
            <v>Extra Capacity</v>
          </cell>
          <cell r="S3786">
            <v>0.32</v>
          </cell>
        </row>
        <row r="3787">
          <cell r="D3787">
            <v>1208002095</v>
          </cell>
          <cell r="E3787" t="str">
            <v>ELSIE CHIKUKWA</v>
          </cell>
          <cell r="F3787" t="str">
            <v>D (MD)</v>
          </cell>
          <cell r="G3787">
            <v>353526</v>
          </cell>
          <cell r="H3787" t="str">
            <v>Mayday</v>
          </cell>
          <cell r="I3787">
            <v>0.83333333333333337</v>
          </cell>
          <cell r="J3787">
            <v>0.33333333333333331</v>
          </cell>
          <cell r="K3787">
            <v>11.33333333</v>
          </cell>
          <cell r="L3787">
            <v>475.74</v>
          </cell>
          <cell r="O3787" t="str">
            <v>Y</v>
          </cell>
          <cell r="P3787" t="str">
            <v>N</v>
          </cell>
          <cell r="Q3787" t="str">
            <v>Extra Capacity</v>
          </cell>
          <cell r="S3787">
            <v>0.3</v>
          </cell>
        </row>
        <row r="3788">
          <cell r="D3788">
            <v>1208000796</v>
          </cell>
          <cell r="E3788" t="str">
            <v>GERTHY ALBANO</v>
          </cell>
          <cell r="F3788" t="str">
            <v>D (Ch)</v>
          </cell>
          <cell r="H3788" t="str">
            <v>Choice</v>
          </cell>
          <cell r="I3788">
            <v>0.83333333333333337</v>
          </cell>
          <cell r="J3788">
            <v>0.33333333333333331</v>
          </cell>
          <cell r="K3788">
            <v>11.33333333</v>
          </cell>
          <cell r="L3788">
            <v>359.05</v>
          </cell>
          <cell r="O3788" t="str">
            <v>Y</v>
          </cell>
          <cell r="P3788" t="str">
            <v>N</v>
          </cell>
          <cell r="Q3788" t="str">
            <v>Extra Capacity</v>
          </cell>
          <cell r="S3788">
            <v>0.3</v>
          </cell>
        </row>
        <row r="3789">
          <cell r="D3789">
            <v>1208003710</v>
          </cell>
          <cell r="E3789" t="str">
            <v>JACKIE BOWMAN</v>
          </cell>
          <cell r="F3789" t="str">
            <v>D (MD)</v>
          </cell>
          <cell r="G3789">
            <v>352181</v>
          </cell>
          <cell r="H3789" t="str">
            <v>Mayday</v>
          </cell>
          <cell r="I3789">
            <v>0.3125</v>
          </cell>
          <cell r="J3789">
            <v>0.83333333333333337</v>
          </cell>
          <cell r="K3789">
            <v>11.83333333</v>
          </cell>
          <cell r="L3789">
            <v>382.1</v>
          </cell>
          <cell r="O3789" t="str">
            <v>Y</v>
          </cell>
          <cell r="P3789" t="str">
            <v>N</v>
          </cell>
          <cell r="Q3789" t="str">
            <v>On-Call</v>
          </cell>
          <cell r="S3789">
            <v>0.32</v>
          </cell>
        </row>
        <row r="3790">
          <cell r="D3790">
            <v>1208003313</v>
          </cell>
          <cell r="E3790" t="str">
            <v>JANE DUNSMURE</v>
          </cell>
          <cell r="F3790" t="str">
            <v>D/5 (PS)</v>
          </cell>
          <cell r="H3790" t="str">
            <v>Pinnacle Staffing</v>
          </cell>
          <cell r="I3790">
            <v>0.82291666666666663</v>
          </cell>
          <cell r="J3790">
            <v>0.34375</v>
          </cell>
          <cell r="K3790">
            <v>11.5</v>
          </cell>
          <cell r="L3790">
            <v>254</v>
          </cell>
          <cell r="O3790" t="str">
            <v>Y</v>
          </cell>
          <cell r="P3790" t="str">
            <v>N</v>
          </cell>
          <cell r="Q3790" t="str">
            <v>Short Term Sick</v>
          </cell>
          <cell r="S3790">
            <v>0.31</v>
          </cell>
        </row>
        <row r="3791">
          <cell r="D3791">
            <v>1208000789</v>
          </cell>
          <cell r="E3791" t="str">
            <v>JASMINE ESGUERRA</v>
          </cell>
          <cell r="F3791" t="str">
            <v>D (Ch)</v>
          </cell>
          <cell r="H3791" t="str">
            <v>Choice</v>
          </cell>
          <cell r="I3791">
            <v>0.3125</v>
          </cell>
          <cell r="J3791">
            <v>0.64583333333333337</v>
          </cell>
          <cell r="K3791">
            <v>7.6666666670000003</v>
          </cell>
          <cell r="L3791">
            <v>186.84</v>
          </cell>
          <cell r="O3791" t="str">
            <v>Y</v>
          </cell>
          <cell r="P3791" t="str">
            <v>N</v>
          </cell>
          <cell r="Q3791" t="str">
            <v>Extra Capacity</v>
          </cell>
          <cell r="S3791">
            <v>0.2</v>
          </cell>
        </row>
        <row r="3792">
          <cell r="D3792">
            <v>1208000792</v>
          </cell>
          <cell r="E3792" t="str">
            <v>JASMINE ESGUERRA</v>
          </cell>
          <cell r="F3792" t="str">
            <v>D (Ch)</v>
          </cell>
          <cell r="H3792" t="str">
            <v>Choice</v>
          </cell>
          <cell r="I3792">
            <v>0.64583333333333337</v>
          </cell>
          <cell r="J3792">
            <v>0.85416666666666663</v>
          </cell>
          <cell r="K3792">
            <v>5</v>
          </cell>
          <cell r="L3792">
            <v>121.85</v>
          </cell>
          <cell r="O3792" t="str">
            <v>Y</v>
          </cell>
          <cell r="P3792" t="str">
            <v>N</v>
          </cell>
          <cell r="Q3792" t="str">
            <v>Extra Capacity</v>
          </cell>
          <cell r="S3792">
            <v>0.13</v>
          </cell>
        </row>
        <row r="3793">
          <cell r="D3793">
            <v>1208003646</v>
          </cell>
          <cell r="E3793" t="str">
            <v>JAY RUIZ</v>
          </cell>
          <cell r="F3793" t="str">
            <v>D (Amb)</v>
          </cell>
          <cell r="G3793">
            <v>769574</v>
          </cell>
          <cell r="H3793" t="str">
            <v>Ambition</v>
          </cell>
          <cell r="I3793">
            <v>0.3125</v>
          </cell>
          <cell r="J3793">
            <v>0.83333333333333337</v>
          </cell>
          <cell r="K3793">
            <v>11.5</v>
          </cell>
          <cell r="L3793">
            <v>449.65</v>
          </cell>
          <cell r="O3793" t="str">
            <v>Y</v>
          </cell>
          <cell r="P3793" t="str">
            <v>N</v>
          </cell>
          <cell r="Q3793" t="str">
            <v>Short Term Sick</v>
          </cell>
          <cell r="S3793">
            <v>0.31</v>
          </cell>
        </row>
        <row r="3794">
          <cell r="D3794">
            <v>1108003066</v>
          </cell>
          <cell r="E3794" t="str">
            <v>JEAN NGONA</v>
          </cell>
          <cell r="F3794" t="str">
            <v>D (MD)</v>
          </cell>
          <cell r="G3794">
            <v>357587</v>
          </cell>
          <cell r="H3794" t="str">
            <v>Mayday</v>
          </cell>
          <cell r="I3794">
            <v>0.5625</v>
          </cell>
          <cell r="J3794">
            <v>0.85416666666666663</v>
          </cell>
          <cell r="K3794">
            <v>6.6666666670000003</v>
          </cell>
          <cell r="L3794">
            <v>215.27</v>
          </cell>
          <cell r="O3794" t="str">
            <v>Y</v>
          </cell>
          <cell r="P3794" t="str">
            <v>N</v>
          </cell>
          <cell r="Q3794" t="str">
            <v>Under Established</v>
          </cell>
          <cell r="S3794">
            <v>0.18</v>
          </cell>
        </row>
        <row r="3795">
          <cell r="D3795">
            <v>1208001034</v>
          </cell>
          <cell r="E3795" t="str">
            <v>JEAN NGONA</v>
          </cell>
          <cell r="F3795" t="str">
            <v>D (MD)</v>
          </cell>
          <cell r="G3795">
            <v>357587</v>
          </cell>
          <cell r="H3795" t="str">
            <v>Mayday</v>
          </cell>
          <cell r="I3795">
            <v>0.3125</v>
          </cell>
          <cell r="J3795">
            <v>0.5625</v>
          </cell>
          <cell r="K3795">
            <v>5.6666666670000003</v>
          </cell>
          <cell r="L3795">
            <v>182.98</v>
          </cell>
          <cell r="O3795" t="str">
            <v>Y</v>
          </cell>
          <cell r="P3795" t="str">
            <v>N</v>
          </cell>
          <cell r="Q3795" t="str">
            <v>Annual Leave</v>
          </cell>
          <cell r="S3795">
            <v>0.15</v>
          </cell>
        </row>
        <row r="3796">
          <cell r="D3796">
            <v>1208003769</v>
          </cell>
          <cell r="E3796" t="str">
            <v>JENNY CORD</v>
          </cell>
          <cell r="F3796" t="str">
            <v>D (MD)</v>
          </cell>
          <cell r="H3796" t="str">
            <v>Mayday</v>
          </cell>
          <cell r="I3796">
            <v>0.3125</v>
          </cell>
          <cell r="J3796">
            <v>0.83333333333333337</v>
          </cell>
          <cell r="K3796">
            <v>11.83333333</v>
          </cell>
          <cell r="L3796">
            <v>382.1</v>
          </cell>
          <cell r="O3796" t="str">
            <v>Y</v>
          </cell>
          <cell r="P3796" t="str">
            <v>N</v>
          </cell>
          <cell r="Q3796" t="str">
            <v>Short Term Sick</v>
          </cell>
          <cell r="S3796">
            <v>0.32</v>
          </cell>
        </row>
        <row r="3797">
          <cell r="D3797">
            <v>1108006334</v>
          </cell>
          <cell r="E3797" t="str">
            <v>JOAN LEWIS</v>
          </cell>
          <cell r="F3797" t="str">
            <v>D (MD)</v>
          </cell>
          <cell r="G3797">
            <v>353506</v>
          </cell>
          <cell r="H3797" t="str">
            <v>Mayday</v>
          </cell>
          <cell r="I3797">
            <v>0.32291666666666669</v>
          </cell>
          <cell r="J3797">
            <v>0.84375</v>
          </cell>
          <cell r="K3797">
            <v>11.5</v>
          </cell>
          <cell r="L3797">
            <v>371.33</v>
          </cell>
          <cell r="O3797" t="str">
            <v>Y</v>
          </cell>
          <cell r="P3797" t="str">
            <v>N</v>
          </cell>
          <cell r="Q3797" t="str">
            <v>Acuity</v>
          </cell>
          <cell r="S3797">
            <v>0.31</v>
          </cell>
        </row>
        <row r="3798">
          <cell r="D3798">
            <v>1208002091</v>
          </cell>
          <cell r="E3798" t="str">
            <v>JOELIS PASCUA</v>
          </cell>
          <cell r="F3798" t="str">
            <v>D (Ch)</v>
          </cell>
          <cell r="G3798">
            <v>17715</v>
          </cell>
          <cell r="H3798" t="str">
            <v>Choice</v>
          </cell>
          <cell r="I3798">
            <v>0.83333333333333337</v>
          </cell>
          <cell r="J3798">
            <v>0.33333333333333331</v>
          </cell>
          <cell r="K3798">
            <v>11.33333333</v>
          </cell>
          <cell r="L3798">
            <v>359.05</v>
          </cell>
          <cell r="O3798" t="str">
            <v>Y</v>
          </cell>
          <cell r="P3798" t="str">
            <v>N</v>
          </cell>
          <cell r="Q3798" t="str">
            <v>Extra Capacity</v>
          </cell>
          <cell r="S3798">
            <v>0.3</v>
          </cell>
        </row>
        <row r="3799">
          <cell r="D3799">
            <v>1208002096</v>
          </cell>
          <cell r="E3799" t="str">
            <v>JOSEPH BASS</v>
          </cell>
          <cell r="F3799" t="str">
            <v>D (MD)</v>
          </cell>
          <cell r="G3799">
            <v>352679</v>
          </cell>
          <cell r="H3799" t="str">
            <v>Mayday</v>
          </cell>
          <cell r="I3799">
            <v>0.83333333333333337</v>
          </cell>
          <cell r="J3799">
            <v>0.33333333333333331</v>
          </cell>
          <cell r="K3799">
            <v>11.33333333</v>
          </cell>
          <cell r="L3799">
            <v>475.74</v>
          </cell>
          <cell r="O3799" t="str">
            <v>Y</v>
          </cell>
          <cell r="P3799" t="str">
            <v>N</v>
          </cell>
          <cell r="Q3799" t="str">
            <v>Extra Capacity</v>
          </cell>
          <cell r="S3799">
            <v>0.3</v>
          </cell>
        </row>
        <row r="3800">
          <cell r="D3800">
            <v>1208001130</v>
          </cell>
          <cell r="E3800" t="str">
            <v>JOSEPHINE MOLLOY</v>
          </cell>
          <cell r="F3800" t="str">
            <v>D (Amb)</v>
          </cell>
          <cell r="G3800">
            <v>767219</v>
          </cell>
          <cell r="H3800" t="str">
            <v>Ambition</v>
          </cell>
          <cell r="I3800">
            <v>0.8125</v>
          </cell>
          <cell r="J3800">
            <v>0.33333333333333331</v>
          </cell>
          <cell r="K3800">
            <v>11.83333333</v>
          </cell>
          <cell r="L3800">
            <v>601.49</v>
          </cell>
          <cell r="O3800" t="str">
            <v>Y</v>
          </cell>
          <cell r="P3800" t="str">
            <v>N</v>
          </cell>
          <cell r="Q3800" t="str">
            <v>Vacancy</v>
          </cell>
          <cell r="S3800">
            <v>0.32</v>
          </cell>
        </row>
        <row r="3801">
          <cell r="D3801">
            <v>1208003556</v>
          </cell>
          <cell r="E3801" t="str">
            <v>LETECIA MENIANO</v>
          </cell>
          <cell r="F3801" t="str">
            <v>D (MD)</v>
          </cell>
          <cell r="G3801">
            <v>353133</v>
          </cell>
          <cell r="H3801" t="str">
            <v>Mayday</v>
          </cell>
          <cell r="I3801">
            <v>0.88541666666666663</v>
          </cell>
          <cell r="J3801">
            <v>0.30208333333333331</v>
          </cell>
          <cell r="K3801">
            <v>9</v>
          </cell>
          <cell r="L3801">
            <v>377.79</v>
          </cell>
          <cell r="O3801" t="str">
            <v>Y</v>
          </cell>
          <cell r="P3801" t="str">
            <v>N</v>
          </cell>
          <cell r="Q3801" t="str">
            <v>Extra Capacity</v>
          </cell>
          <cell r="S3801">
            <v>0.24</v>
          </cell>
        </row>
        <row r="3802">
          <cell r="D3802">
            <v>1108006387</v>
          </cell>
          <cell r="E3802" t="str">
            <v>LINDSEY DAY</v>
          </cell>
          <cell r="F3802" t="str">
            <v>D (Amb)</v>
          </cell>
          <cell r="H3802" t="str">
            <v>Ambition</v>
          </cell>
          <cell r="I3802">
            <v>0.32291666666666669</v>
          </cell>
          <cell r="J3802">
            <v>0.54166666666666663</v>
          </cell>
          <cell r="K3802">
            <v>5.25</v>
          </cell>
          <cell r="L3802">
            <v>205.28</v>
          </cell>
          <cell r="O3802" t="str">
            <v>Y</v>
          </cell>
          <cell r="P3802" t="str">
            <v>N</v>
          </cell>
          <cell r="Q3802" t="str">
            <v>Vacancy</v>
          </cell>
          <cell r="S3802">
            <v>0.14000000000000001</v>
          </cell>
        </row>
        <row r="3803">
          <cell r="D3803">
            <v>1208002149</v>
          </cell>
          <cell r="E3803" t="str">
            <v>MABEL MNISI</v>
          </cell>
          <cell r="F3803" t="str">
            <v>D (MD)</v>
          </cell>
          <cell r="G3803">
            <v>352990</v>
          </cell>
          <cell r="H3803" t="str">
            <v>Mayday</v>
          </cell>
          <cell r="I3803">
            <v>0.83333333333333337</v>
          </cell>
          <cell r="J3803">
            <v>0.33333333333333331</v>
          </cell>
          <cell r="K3803">
            <v>11.33333333</v>
          </cell>
          <cell r="L3803">
            <v>475.74</v>
          </cell>
          <cell r="O3803" t="str">
            <v>Y</v>
          </cell>
          <cell r="P3803" t="str">
            <v>N</v>
          </cell>
          <cell r="Q3803" t="str">
            <v>Extra Capacity</v>
          </cell>
          <cell r="S3803">
            <v>0.3</v>
          </cell>
        </row>
        <row r="3804">
          <cell r="D3804">
            <v>1208001727</v>
          </cell>
          <cell r="E3804" t="str">
            <v>MARILEEN DESOUZA</v>
          </cell>
          <cell r="F3804" t="str">
            <v>D (Ch)</v>
          </cell>
          <cell r="G3804">
            <v>17693</v>
          </cell>
          <cell r="H3804" t="str">
            <v>Choice</v>
          </cell>
          <cell r="I3804">
            <v>0.83333333333333337</v>
          </cell>
          <cell r="J3804">
            <v>0.33333333333333331</v>
          </cell>
          <cell r="K3804">
            <v>11.33333333</v>
          </cell>
          <cell r="L3804">
            <v>359.05</v>
          </cell>
          <cell r="O3804" t="str">
            <v>Y</v>
          </cell>
          <cell r="P3804" t="str">
            <v>N</v>
          </cell>
          <cell r="Q3804" t="str">
            <v>Extra Capacity</v>
          </cell>
          <cell r="S3804">
            <v>0.3</v>
          </cell>
        </row>
        <row r="3805">
          <cell r="D3805">
            <v>1208003641</v>
          </cell>
          <cell r="E3805" t="str">
            <v>MERCY AFELE</v>
          </cell>
          <cell r="F3805" t="str">
            <v>D (MD)</v>
          </cell>
          <cell r="G3805">
            <v>351742</v>
          </cell>
          <cell r="H3805" t="str">
            <v>Mayday</v>
          </cell>
          <cell r="I3805">
            <v>0.83333333333333337</v>
          </cell>
          <cell r="J3805">
            <v>0.33333333333333331</v>
          </cell>
          <cell r="K3805">
            <v>11.33333333</v>
          </cell>
          <cell r="L3805">
            <v>475.74</v>
          </cell>
          <cell r="O3805" t="str">
            <v>Y</v>
          </cell>
          <cell r="P3805" t="str">
            <v>N</v>
          </cell>
          <cell r="Q3805" t="str">
            <v>Short Term Sick</v>
          </cell>
          <cell r="S3805">
            <v>0.3</v>
          </cell>
        </row>
        <row r="3806">
          <cell r="D3806">
            <v>1208002094</v>
          </cell>
          <cell r="E3806" t="str">
            <v>METTA SUNDAY</v>
          </cell>
          <cell r="F3806" t="str">
            <v>D (MD)</v>
          </cell>
          <cell r="H3806" t="str">
            <v>Mayday</v>
          </cell>
          <cell r="I3806">
            <v>0.83333333333333337</v>
          </cell>
          <cell r="J3806">
            <v>0.33333333333333331</v>
          </cell>
          <cell r="K3806">
            <v>11.33333333</v>
          </cell>
          <cell r="L3806">
            <v>475.74</v>
          </cell>
          <cell r="O3806" t="str">
            <v>Y</v>
          </cell>
          <cell r="P3806" t="str">
            <v>N</v>
          </cell>
          <cell r="Q3806" t="str">
            <v>Extra Capacity</v>
          </cell>
          <cell r="S3806">
            <v>0.3</v>
          </cell>
        </row>
        <row r="3807">
          <cell r="D3807">
            <v>1208002455</v>
          </cell>
          <cell r="E3807" t="str">
            <v>MICHAEL OKE</v>
          </cell>
          <cell r="F3807" t="str">
            <v>A (Ch)</v>
          </cell>
          <cell r="H3807" t="str">
            <v>Choice</v>
          </cell>
          <cell r="I3807">
            <v>0.3125</v>
          </cell>
          <cell r="J3807">
            <v>0.85416666666666663</v>
          </cell>
          <cell r="K3807">
            <v>12.33333333</v>
          </cell>
          <cell r="L3807">
            <v>136.78</v>
          </cell>
          <cell r="O3807" t="str">
            <v>Y</v>
          </cell>
          <cell r="P3807" t="str">
            <v>N</v>
          </cell>
          <cell r="Q3807" t="str">
            <v>Extra Capacity</v>
          </cell>
          <cell r="S3807">
            <v>0.33</v>
          </cell>
        </row>
        <row r="3808">
          <cell r="D3808">
            <v>1108003782</v>
          </cell>
          <cell r="E3808" t="str">
            <v>MZUKISI SPEELMAN</v>
          </cell>
          <cell r="F3808" t="str">
            <v>A (Ch)</v>
          </cell>
          <cell r="G3808">
            <v>17713</v>
          </cell>
          <cell r="H3808" t="str">
            <v>Choice</v>
          </cell>
          <cell r="I3808">
            <v>0.33333333333333331</v>
          </cell>
          <cell r="J3808">
            <v>0.54166666666666663</v>
          </cell>
          <cell r="K3808">
            <v>5</v>
          </cell>
          <cell r="L3808">
            <v>55.45</v>
          </cell>
          <cell r="O3808" t="str">
            <v>Y</v>
          </cell>
          <cell r="P3808" t="str">
            <v>N</v>
          </cell>
          <cell r="Q3808" t="str">
            <v>Vacancy</v>
          </cell>
          <cell r="S3808">
            <v>0.13</v>
          </cell>
        </row>
        <row r="3809">
          <cell r="D3809">
            <v>1208000361</v>
          </cell>
          <cell r="E3809" t="str">
            <v>MZUKISI SPEELMAN</v>
          </cell>
          <cell r="F3809" t="str">
            <v>A (Ch)</v>
          </cell>
          <cell r="G3809">
            <v>17694</v>
          </cell>
          <cell r="H3809" t="str">
            <v>Choice</v>
          </cell>
          <cell r="I3809">
            <v>0.5625</v>
          </cell>
          <cell r="J3809">
            <v>0.85416666666666663</v>
          </cell>
          <cell r="K3809">
            <v>6.6666666670000003</v>
          </cell>
          <cell r="L3809">
            <v>73.930000000000007</v>
          </cell>
          <cell r="O3809" t="str">
            <v>Y</v>
          </cell>
          <cell r="P3809" t="str">
            <v>N</v>
          </cell>
          <cell r="Q3809" t="str">
            <v>Under Established</v>
          </cell>
          <cell r="S3809">
            <v>0.18</v>
          </cell>
        </row>
        <row r="3810">
          <cell r="D3810">
            <v>1208002602</v>
          </cell>
          <cell r="E3810" t="str">
            <v>RIAZ AHMED</v>
          </cell>
          <cell r="F3810" t="str">
            <v>D/5 Mental (Med</v>
          </cell>
          <cell r="G3810" t="str">
            <v>604-162169</v>
          </cell>
          <cell r="H3810" t="str">
            <v>Medacs</v>
          </cell>
          <cell r="I3810">
            <v>0.29166666666666669</v>
          </cell>
          <cell r="J3810">
            <v>0.625</v>
          </cell>
          <cell r="K3810">
            <v>7.6666666670000003</v>
          </cell>
          <cell r="L3810">
            <v>141.30000000000001</v>
          </cell>
          <cell r="O3810" t="str">
            <v>Y</v>
          </cell>
          <cell r="P3810" t="str">
            <v>N</v>
          </cell>
          <cell r="Q3810" t="str">
            <v>Specials</v>
          </cell>
          <cell r="S3810">
            <v>0.2</v>
          </cell>
        </row>
        <row r="3811">
          <cell r="D3811">
            <v>1208002604</v>
          </cell>
          <cell r="E3811" t="str">
            <v>RIAZ AHMED</v>
          </cell>
          <cell r="F3811" t="str">
            <v>D/5 Mental (Med</v>
          </cell>
          <cell r="G3811" t="str">
            <v>604-162169</v>
          </cell>
          <cell r="H3811" t="str">
            <v>Medacs</v>
          </cell>
          <cell r="I3811">
            <v>0.625</v>
          </cell>
          <cell r="J3811">
            <v>0.88541666666666663</v>
          </cell>
          <cell r="K3811">
            <v>5.9166666670000003</v>
          </cell>
          <cell r="L3811">
            <v>109.04</v>
          </cell>
          <cell r="O3811" t="str">
            <v>Y</v>
          </cell>
          <cell r="P3811" t="str">
            <v>N</v>
          </cell>
          <cell r="Q3811" t="str">
            <v>Specials</v>
          </cell>
          <cell r="S3811">
            <v>0.16</v>
          </cell>
        </row>
        <row r="3812">
          <cell r="D3812">
            <v>1208003606</v>
          </cell>
          <cell r="E3812" t="str">
            <v>RICHARD JAMBAYA</v>
          </cell>
          <cell r="F3812" t="str">
            <v>A (Ch)</v>
          </cell>
          <cell r="G3812">
            <v>17800</v>
          </cell>
          <cell r="H3812" t="str">
            <v>Choice</v>
          </cell>
          <cell r="I3812">
            <v>0.83333333333333337</v>
          </cell>
          <cell r="J3812">
            <v>0.33333333333333331</v>
          </cell>
          <cell r="K3812">
            <v>11.33333333</v>
          </cell>
          <cell r="L3812">
            <v>167.58</v>
          </cell>
          <cell r="O3812" t="str">
            <v>Y</v>
          </cell>
          <cell r="P3812" t="str">
            <v>N</v>
          </cell>
          <cell r="Q3812" t="str">
            <v>Short Term Sick</v>
          </cell>
          <cell r="S3812">
            <v>0.3</v>
          </cell>
        </row>
        <row r="3813">
          <cell r="D3813">
            <v>1208003720</v>
          </cell>
          <cell r="E3813" t="str">
            <v>SIBONGILE DOKOTERA</v>
          </cell>
          <cell r="F3813" t="str">
            <v>D (MD)</v>
          </cell>
          <cell r="G3813">
            <v>355772</v>
          </cell>
          <cell r="H3813" t="str">
            <v>Mayday</v>
          </cell>
          <cell r="I3813">
            <v>0.29166666666666669</v>
          </cell>
          <cell r="J3813">
            <v>0.75</v>
          </cell>
          <cell r="K3813">
            <v>12.33333333</v>
          </cell>
          <cell r="L3813">
            <v>398.24</v>
          </cell>
          <cell r="O3813" t="str">
            <v>Y</v>
          </cell>
          <cell r="P3813" t="str">
            <v>N</v>
          </cell>
          <cell r="Q3813" t="str">
            <v>On-Call</v>
          </cell>
          <cell r="S3813">
            <v>0.33</v>
          </cell>
        </row>
        <row r="3814">
          <cell r="D3814">
            <v>1208003767</v>
          </cell>
          <cell r="E3814" t="str">
            <v>STEPHEN FERNANDEZ</v>
          </cell>
          <cell r="F3814" t="str">
            <v>D (MD)</v>
          </cell>
          <cell r="G3814">
            <v>353442</v>
          </cell>
          <cell r="H3814" t="str">
            <v>Mayday</v>
          </cell>
          <cell r="I3814">
            <v>0.3125</v>
          </cell>
          <cell r="J3814">
            <v>0.83333333333333337</v>
          </cell>
          <cell r="K3814">
            <v>11.83333333</v>
          </cell>
          <cell r="L3814">
            <v>382.1</v>
          </cell>
          <cell r="O3814" t="str">
            <v>Y</v>
          </cell>
          <cell r="P3814" t="str">
            <v>N</v>
          </cell>
          <cell r="Q3814" t="str">
            <v>Short Term Sick</v>
          </cell>
          <cell r="S3814">
            <v>0.32</v>
          </cell>
        </row>
        <row r="3815">
          <cell r="D3815">
            <v>1208003771</v>
          </cell>
          <cell r="E3815" t="str">
            <v>TARA O'KELLY</v>
          </cell>
          <cell r="F3815" t="str">
            <v>D (MD)</v>
          </cell>
          <cell r="G3815">
            <v>359101</v>
          </cell>
          <cell r="H3815" t="str">
            <v>Mayday</v>
          </cell>
          <cell r="I3815">
            <v>0.3125</v>
          </cell>
          <cell r="J3815">
            <v>0.83333333333333337</v>
          </cell>
          <cell r="K3815">
            <v>11.83333333</v>
          </cell>
          <cell r="L3815">
            <v>382.1</v>
          </cell>
          <cell r="O3815" t="str">
            <v>Y</v>
          </cell>
          <cell r="P3815" t="str">
            <v>N</v>
          </cell>
          <cell r="Q3815" t="str">
            <v>Short Term Sick</v>
          </cell>
          <cell r="S3815">
            <v>0.32</v>
          </cell>
        </row>
        <row r="3816">
          <cell r="D3816">
            <v>1208001914</v>
          </cell>
          <cell r="E3816" t="str">
            <v>VANESSA GOULD</v>
          </cell>
          <cell r="F3816" t="str">
            <v>A /2 General (M</v>
          </cell>
          <cell r="G3816" t="str">
            <v>604-162581</v>
          </cell>
          <cell r="H3816" t="str">
            <v>Medacs</v>
          </cell>
          <cell r="I3816">
            <v>0.64583333333333337</v>
          </cell>
          <cell r="J3816">
            <v>0.85416666666666663</v>
          </cell>
          <cell r="K3816">
            <v>5</v>
          </cell>
          <cell r="L3816">
            <v>48.75</v>
          </cell>
          <cell r="O3816" t="str">
            <v>Y</v>
          </cell>
          <cell r="P3816" t="str">
            <v>N</v>
          </cell>
          <cell r="Q3816" t="str">
            <v>Extra Capacity</v>
          </cell>
          <cell r="S3816">
            <v>0.13</v>
          </cell>
        </row>
        <row r="3817">
          <cell r="D3817">
            <v>1208002399</v>
          </cell>
          <cell r="E3817" t="str">
            <v>ALAN CURTIS</v>
          </cell>
          <cell r="F3817" t="str">
            <v>D (MD)</v>
          </cell>
          <cell r="G3817">
            <v>352282</v>
          </cell>
          <cell r="H3817" t="str">
            <v>Mayday</v>
          </cell>
          <cell r="I3817">
            <v>0.3125</v>
          </cell>
          <cell r="J3817">
            <v>0.83333333333333337</v>
          </cell>
          <cell r="K3817">
            <v>11.83333333</v>
          </cell>
          <cell r="L3817">
            <v>382.1</v>
          </cell>
          <cell r="O3817" t="str">
            <v>Y</v>
          </cell>
          <cell r="P3817" t="str">
            <v>N</v>
          </cell>
          <cell r="Q3817" t="str">
            <v>Vacancy</v>
          </cell>
          <cell r="S3817">
            <v>0.32</v>
          </cell>
        </row>
        <row r="3818">
          <cell r="D3818">
            <v>1208002029</v>
          </cell>
          <cell r="E3818" t="str">
            <v>ALLI SUBRAMANIAM</v>
          </cell>
          <cell r="F3818" t="str">
            <v>D (MD)</v>
          </cell>
          <cell r="G3818">
            <v>355587</v>
          </cell>
          <cell r="H3818" t="str">
            <v>Mayday</v>
          </cell>
          <cell r="I3818">
            <v>0.3125</v>
          </cell>
          <cell r="J3818">
            <v>0.625</v>
          </cell>
          <cell r="K3818">
            <v>7.1666666670000003</v>
          </cell>
          <cell r="L3818">
            <v>231.41</v>
          </cell>
          <cell r="O3818" t="str">
            <v>Y</v>
          </cell>
          <cell r="P3818" t="str">
            <v>N</v>
          </cell>
          <cell r="Q3818" t="str">
            <v>Extra Capacity</v>
          </cell>
          <cell r="S3818">
            <v>0.19</v>
          </cell>
        </row>
        <row r="3819">
          <cell r="D3819">
            <v>1208002071</v>
          </cell>
          <cell r="E3819" t="str">
            <v>ALLI SUBRAMANIAM</v>
          </cell>
          <cell r="F3819" t="str">
            <v>D (MD)</v>
          </cell>
          <cell r="G3819">
            <v>355587</v>
          </cell>
          <cell r="H3819" t="str">
            <v>Mayday</v>
          </cell>
          <cell r="I3819">
            <v>0.625</v>
          </cell>
          <cell r="J3819">
            <v>0.85416666666666663</v>
          </cell>
          <cell r="K3819">
            <v>5.5</v>
          </cell>
          <cell r="L3819">
            <v>177.59</v>
          </cell>
          <cell r="O3819" t="str">
            <v>Y</v>
          </cell>
          <cell r="P3819" t="str">
            <v>N</v>
          </cell>
          <cell r="Q3819" t="str">
            <v>Extra Capacity</v>
          </cell>
          <cell r="S3819">
            <v>0.15</v>
          </cell>
        </row>
        <row r="3820">
          <cell r="D3820">
            <v>1208003314</v>
          </cell>
          <cell r="E3820" t="str">
            <v>ALMA DEPENA</v>
          </cell>
          <cell r="F3820" t="str">
            <v>D (Ch)</v>
          </cell>
          <cell r="G3820">
            <v>17714</v>
          </cell>
          <cell r="H3820" t="str">
            <v>Choice</v>
          </cell>
          <cell r="I3820">
            <v>0.82291666666666663</v>
          </cell>
          <cell r="J3820">
            <v>0.34375</v>
          </cell>
          <cell r="K3820">
            <v>11.5</v>
          </cell>
          <cell r="L3820">
            <v>364.33</v>
          </cell>
          <cell r="O3820" t="str">
            <v>Y</v>
          </cell>
          <cell r="P3820" t="str">
            <v>N</v>
          </cell>
          <cell r="Q3820" t="str">
            <v>Short Term Sick</v>
          </cell>
          <cell r="S3820">
            <v>0.31</v>
          </cell>
        </row>
        <row r="3821">
          <cell r="D3821">
            <v>1108003074</v>
          </cell>
          <cell r="E3821" t="str">
            <v>AMBER PERRY</v>
          </cell>
          <cell r="F3821" t="str">
            <v>D (MD)</v>
          </cell>
          <cell r="G3821">
            <v>353521</v>
          </cell>
          <cell r="H3821" t="str">
            <v>Mayday</v>
          </cell>
          <cell r="I3821">
            <v>0.5625</v>
          </cell>
          <cell r="J3821">
            <v>0.85416666666666663</v>
          </cell>
          <cell r="K3821">
            <v>6.6666666670000003</v>
          </cell>
          <cell r="L3821">
            <v>215.27</v>
          </cell>
          <cell r="O3821" t="str">
            <v>Y</v>
          </cell>
          <cell r="P3821" t="str">
            <v>N</v>
          </cell>
          <cell r="Q3821" t="str">
            <v>Vacancy</v>
          </cell>
          <cell r="S3821">
            <v>0.18</v>
          </cell>
        </row>
        <row r="3822">
          <cell r="D3822">
            <v>1208003682</v>
          </cell>
          <cell r="E3822" t="str">
            <v>BRENDA GWEKWERERE</v>
          </cell>
          <cell r="F3822" t="str">
            <v>D (Ch)</v>
          </cell>
          <cell r="G3822">
            <v>17707</v>
          </cell>
          <cell r="H3822" t="str">
            <v>Choice</v>
          </cell>
          <cell r="I3822">
            <v>0.8125</v>
          </cell>
          <cell r="J3822">
            <v>0.33333333333333331</v>
          </cell>
          <cell r="K3822">
            <v>11.83333333</v>
          </cell>
          <cell r="L3822">
            <v>374.89</v>
          </cell>
          <cell r="O3822" t="str">
            <v>Y</v>
          </cell>
          <cell r="P3822" t="str">
            <v>N</v>
          </cell>
          <cell r="Q3822" t="str">
            <v>Extra Capacity</v>
          </cell>
          <cell r="S3822">
            <v>0.32</v>
          </cell>
        </row>
        <row r="3823">
          <cell r="D3823">
            <v>1208003777</v>
          </cell>
          <cell r="E3823" t="str">
            <v>BRIGHTNESS NDEBELE</v>
          </cell>
          <cell r="F3823" t="str">
            <v>D (MD)</v>
          </cell>
          <cell r="G3823">
            <v>353560</v>
          </cell>
          <cell r="H3823" t="str">
            <v>Mayday</v>
          </cell>
          <cell r="I3823">
            <v>0.32291666666666669</v>
          </cell>
          <cell r="J3823">
            <v>0.84375</v>
          </cell>
          <cell r="K3823">
            <v>11.5</v>
          </cell>
          <cell r="L3823">
            <v>371.33</v>
          </cell>
          <cell r="O3823" t="str">
            <v>Y</v>
          </cell>
          <cell r="P3823" t="str">
            <v>N</v>
          </cell>
          <cell r="Q3823" t="str">
            <v>Extra Capacity</v>
          </cell>
          <cell r="S3823">
            <v>0.31</v>
          </cell>
        </row>
        <row r="3824">
          <cell r="D3824">
            <v>1208003652</v>
          </cell>
          <cell r="E3824" t="str">
            <v>CARL HIBBERT</v>
          </cell>
          <cell r="F3824" t="str">
            <v>D (Ch)</v>
          </cell>
          <cell r="H3824" t="str">
            <v>Choice</v>
          </cell>
          <cell r="I3824">
            <v>0.82291666666666663</v>
          </cell>
          <cell r="J3824">
            <v>0.32291666666666669</v>
          </cell>
          <cell r="K3824">
            <v>11.33333333</v>
          </cell>
          <cell r="L3824">
            <v>359.05</v>
          </cell>
          <cell r="O3824" t="str">
            <v>Y</v>
          </cell>
          <cell r="P3824" t="str">
            <v>N</v>
          </cell>
          <cell r="Q3824" t="str">
            <v>Extra Capacity</v>
          </cell>
          <cell r="S3824">
            <v>0.3</v>
          </cell>
        </row>
        <row r="3825">
          <cell r="D3825">
            <v>1208003651</v>
          </cell>
          <cell r="E3825" t="str">
            <v>CATH CHIDAVAYENZI</v>
          </cell>
          <cell r="F3825" t="str">
            <v>D (Ch)</v>
          </cell>
          <cell r="G3825">
            <v>17693</v>
          </cell>
          <cell r="H3825" t="str">
            <v>Choice</v>
          </cell>
          <cell r="I3825">
            <v>0.82291666666666663</v>
          </cell>
          <cell r="J3825">
            <v>0.32291666666666669</v>
          </cell>
          <cell r="K3825">
            <v>11.33333333</v>
          </cell>
          <cell r="L3825">
            <v>359.05</v>
          </cell>
          <cell r="O3825" t="str">
            <v>Y</v>
          </cell>
          <cell r="P3825" t="str">
            <v>N</v>
          </cell>
          <cell r="Q3825" t="str">
            <v>Extra Capacity</v>
          </cell>
          <cell r="S3825">
            <v>0.3</v>
          </cell>
        </row>
        <row r="3826">
          <cell r="D3826">
            <v>1108005003</v>
          </cell>
          <cell r="E3826" t="str">
            <v>CHRIS STULAR</v>
          </cell>
          <cell r="F3826" t="str">
            <v>D General (Orio</v>
          </cell>
          <cell r="G3826" t="str">
            <v>Invsd Smt checked</v>
          </cell>
          <cell r="H3826" t="str">
            <v>Orion</v>
          </cell>
          <cell r="I3826">
            <v>0.33333333333333331</v>
          </cell>
          <cell r="J3826">
            <v>0.75</v>
          </cell>
          <cell r="K3826">
            <v>9.5</v>
          </cell>
          <cell r="L3826">
            <v>172.14</v>
          </cell>
          <cell r="O3826" t="str">
            <v>Y</v>
          </cell>
          <cell r="P3826" t="str">
            <v>N</v>
          </cell>
          <cell r="Q3826" t="str">
            <v>Backfill</v>
          </cell>
          <cell r="S3826">
            <v>0.25</v>
          </cell>
        </row>
        <row r="3827">
          <cell r="D3827">
            <v>1208002649</v>
          </cell>
          <cell r="E3827" t="str">
            <v>DENNIS DVENGE</v>
          </cell>
          <cell r="F3827" t="str">
            <v>D (Ch)</v>
          </cell>
          <cell r="G3827">
            <v>17710</v>
          </cell>
          <cell r="H3827" t="str">
            <v>Choice</v>
          </cell>
          <cell r="I3827">
            <v>0.88541666666666663</v>
          </cell>
          <cell r="J3827">
            <v>0.3125</v>
          </cell>
          <cell r="K3827">
            <v>9.25</v>
          </cell>
          <cell r="L3827">
            <v>293.05</v>
          </cell>
          <cell r="M3827">
            <v>309.33</v>
          </cell>
          <cell r="O3827" t="str">
            <v>Y</v>
          </cell>
          <cell r="P3827" t="str">
            <v>N</v>
          </cell>
          <cell r="Q3827" t="str">
            <v>Specials</v>
          </cell>
          <cell r="S3827">
            <v>0.25</v>
          </cell>
        </row>
        <row r="3828">
          <cell r="D3828">
            <v>1208002760</v>
          </cell>
          <cell r="E3828" t="str">
            <v>DORICA MUNJERI</v>
          </cell>
          <cell r="F3828" t="str">
            <v>A (Ch)</v>
          </cell>
          <cell r="H3828" t="str">
            <v>Choice</v>
          </cell>
          <cell r="I3828">
            <v>0.3125</v>
          </cell>
          <cell r="J3828">
            <v>0.5625</v>
          </cell>
          <cell r="K3828">
            <v>5.6666666670000003</v>
          </cell>
          <cell r="L3828">
            <v>62.84</v>
          </cell>
          <cell r="O3828" t="str">
            <v>Y</v>
          </cell>
          <cell r="P3828" t="str">
            <v>N</v>
          </cell>
          <cell r="Q3828" t="str">
            <v>Extra Capacity</v>
          </cell>
          <cell r="S3828">
            <v>0.15</v>
          </cell>
        </row>
        <row r="3829">
          <cell r="D3829">
            <v>1208002767</v>
          </cell>
          <cell r="E3829" t="str">
            <v>DORICA MUNJERI</v>
          </cell>
          <cell r="F3829" t="str">
            <v>A (Ch)</v>
          </cell>
          <cell r="H3829" t="str">
            <v>Choice</v>
          </cell>
          <cell r="I3829">
            <v>0.5625</v>
          </cell>
          <cell r="J3829">
            <v>0.85416666666666663</v>
          </cell>
          <cell r="K3829">
            <v>6.6666666670000003</v>
          </cell>
          <cell r="L3829">
            <v>73.930000000000007</v>
          </cell>
          <cell r="O3829" t="str">
            <v>Y</v>
          </cell>
          <cell r="P3829" t="str">
            <v>N</v>
          </cell>
          <cell r="Q3829" t="str">
            <v>Extra Capacity</v>
          </cell>
          <cell r="S3829">
            <v>0.18</v>
          </cell>
        </row>
        <row r="3830">
          <cell r="D3830">
            <v>1208000818</v>
          </cell>
          <cell r="E3830" t="str">
            <v>DOROTHY MUTEMWA</v>
          </cell>
          <cell r="F3830" t="str">
            <v>A (Ch)</v>
          </cell>
          <cell r="H3830" t="str">
            <v>Choice</v>
          </cell>
          <cell r="I3830">
            <v>0.64583333333333337</v>
          </cell>
          <cell r="J3830">
            <v>0.85416666666666663</v>
          </cell>
          <cell r="K3830">
            <v>5</v>
          </cell>
          <cell r="L3830">
            <v>55.45</v>
          </cell>
          <cell r="O3830" t="str">
            <v>Y</v>
          </cell>
          <cell r="P3830" t="str">
            <v>N</v>
          </cell>
          <cell r="Q3830" t="str">
            <v>Extra Capacity</v>
          </cell>
          <cell r="S3830">
            <v>0.13</v>
          </cell>
        </row>
        <row r="3831">
          <cell r="D3831">
            <v>1208002155</v>
          </cell>
          <cell r="E3831" t="str">
            <v>FLORENCE DLAMINI</v>
          </cell>
          <cell r="F3831" t="str">
            <v>D (MD)</v>
          </cell>
          <cell r="G3831">
            <v>353515</v>
          </cell>
          <cell r="H3831" t="str">
            <v>Mayday</v>
          </cell>
          <cell r="I3831">
            <v>0.3125</v>
          </cell>
          <cell r="J3831">
            <v>0.64583333333333337</v>
          </cell>
          <cell r="K3831">
            <v>7.6666666670000003</v>
          </cell>
          <cell r="L3831">
            <v>247.56</v>
          </cell>
          <cell r="O3831" t="str">
            <v>Y</v>
          </cell>
          <cell r="P3831" t="str">
            <v>N</v>
          </cell>
          <cell r="Q3831" t="str">
            <v>Extra Capacity</v>
          </cell>
          <cell r="S3831">
            <v>0.2</v>
          </cell>
        </row>
        <row r="3832">
          <cell r="D3832">
            <v>1208002160</v>
          </cell>
          <cell r="E3832" t="str">
            <v>FLORENCE DLAMINI</v>
          </cell>
          <cell r="F3832" t="str">
            <v>D (MD)</v>
          </cell>
          <cell r="G3832">
            <v>353515</v>
          </cell>
          <cell r="H3832" t="str">
            <v>Mayday</v>
          </cell>
          <cell r="I3832">
            <v>0.64583333333333337</v>
          </cell>
          <cell r="J3832">
            <v>0.85416666666666663</v>
          </cell>
          <cell r="K3832">
            <v>5</v>
          </cell>
          <cell r="L3832">
            <v>161.44999999999999</v>
          </cell>
          <cell r="O3832" t="str">
            <v>Y</v>
          </cell>
          <cell r="P3832" t="str">
            <v>N</v>
          </cell>
          <cell r="Q3832" t="str">
            <v>Extra Capacity</v>
          </cell>
          <cell r="S3832">
            <v>0.13</v>
          </cell>
        </row>
        <row r="3833">
          <cell r="D3833">
            <v>1208000813</v>
          </cell>
          <cell r="E3833" t="str">
            <v>GERTHY ALBANO</v>
          </cell>
          <cell r="F3833" t="str">
            <v>D (Ch)</v>
          </cell>
          <cell r="H3833" t="str">
            <v>Choice</v>
          </cell>
          <cell r="I3833">
            <v>0.83333333333333337</v>
          </cell>
          <cell r="J3833">
            <v>0.33333333333333331</v>
          </cell>
          <cell r="K3833">
            <v>11.33333333</v>
          </cell>
          <cell r="L3833">
            <v>359.05</v>
          </cell>
          <cell r="O3833" t="str">
            <v>Y</v>
          </cell>
          <cell r="P3833" t="str">
            <v>N</v>
          </cell>
          <cell r="Q3833" t="str">
            <v>Extra Capacity</v>
          </cell>
          <cell r="S3833">
            <v>0.3</v>
          </cell>
        </row>
        <row r="3834">
          <cell r="D3834">
            <v>1208003188</v>
          </cell>
          <cell r="E3834" t="str">
            <v>GLENDA RONA</v>
          </cell>
          <cell r="F3834" t="str">
            <v>D (Ch)</v>
          </cell>
          <cell r="G3834">
            <v>17696</v>
          </cell>
          <cell r="H3834" t="str">
            <v>Choice</v>
          </cell>
          <cell r="I3834">
            <v>0.82291666666666663</v>
          </cell>
          <cell r="J3834">
            <v>0.34375</v>
          </cell>
          <cell r="K3834">
            <v>11.5</v>
          </cell>
          <cell r="L3834">
            <v>364.33</v>
          </cell>
          <cell r="M3834">
            <v>365.95</v>
          </cell>
          <cell r="O3834" t="str">
            <v>Y</v>
          </cell>
          <cell r="P3834" t="str">
            <v>N</v>
          </cell>
          <cell r="Q3834" t="str">
            <v>Extra Capacity</v>
          </cell>
          <cell r="S3834">
            <v>0.31</v>
          </cell>
        </row>
        <row r="3835">
          <cell r="D3835">
            <v>1108006627</v>
          </cell>
          <cell r="E3835" t="str">
            <v>JAKE BROOKES</v>
          </cell>
          <cell r="F3835" t="str">
            <v>D General (Orio</v>
          </cell>
          <cell r="G3835" t="str">
            <v>Invsd Smt checked</v>
          </cell>
          <cell r="H3835" t="str">
            <v>Orion</v>
          </cell>
          <cell r="I3835">
            <v>0.33333333333333331</v>
          </cell>
          <cell r="J3835">
            <v>0.75</v>
          </cell>
          <cell r="K3835">
            <v>9.6666666669999994</v>
          </cell>
          <cell r="L3835">
            <v>175.16</v>
          </cell>
          <cell r="O3835" t="str">
            <v>Y</v>
          </cell>
          <cell r="P3835" t="str">
            <v>N</v>
          </cell>
          <cell r="Q3835" t="str">
            <v>Long Term Sick</v>
          </cell>
          <cell r="S3835">
            <v>0.26</v>
          </cell>
        </row>
        <row r="3836">
          <cell r="D3836">
            <v>1208001701</v>
          </cell>
          <cell r="E3836" t="str">
            <v>JAMES MCCLEMENTS</v>
          </cell>
          <cell r="F3836" t="str">
            <v>D (MD)</v>
          </cell>
          <cell r="G3836">
            <v>353024</v>
          </cell>
          <cell r="H3836" t="str">
            <v>Mayday</v>
          </cell>
          <cell r="I3836">
            <v>0.3125</v>
          </cell>
          <cell r="J3836">
            <v>0.60416666666666663</v>
          </cell>
          <cell r="K3836">
            <v>6.6666666670000003</v>
          </cell>
          <cell r="L3836">
            <v>215.27</v>
          </cell>
          <cell r="O3836" t="str">
            <v>Y</v>
          </cell>
          <cell r="P3836" t="str">
            <v>N</v>
          </cell>
          <cell r="Q3836" t="str">
            <v>Extra Capacity</v>
          </cell>
          <cell r="S3836">
            <v>0.18</v>
          </cell>
        </row>
        <row r="3837">
          <cell r="D3837">
            <v>1208001715</v>
          </cell>
          <cell r="E3837" t="str">
            <v>JAMES MCCLEMENTS</v>
          </cell>
          <cell r="F3837" t="str">
            <v>D (MD)</v>
          </cell>
          <cell r="G3837">
            <v>353024</v>
          </cell>
          <cell r="H3837" t="str">
            <v>Mayday</v>
          </cell>
          <cell r="I3837">
            <v>0.60416666666666663</v>
          </cell>
          <cell r="J3837">
            <v>0.85416666666666663</v>
          </cell>
          <cell r="K3837">
            <v>5.6666666670000003</v>
          </cell>
          <cell r="L3837">
            <v>182.98</v>
          </cell>
          <cell r="O3837" t="str">
            <v>Y</v>
          </cell>
          <cell r="P3837" t="str">
            <v>N</v>
          </cell>
          <cell r="Q3837" t="str">
            <v>Extra Capacity</v>
          </cell>
          <cell r="S3837">
            <v>0.15</v>
          </cell>
        </row>
        <row r="3838">
          <cell r="D3838">
            <v>1208003637</v>
          </cell>
          <cell r="E3838" t="str">
            <v>JANICE GOODWIN</v>
          </cell>
          <cell r="F3838" t="str">
            <v>D (Amb)</v>
          </cell>
          <cell r="G3838">
            <v>769554</v>
          </cell>
          <cell r="H3838" t="str">
            <v>Ambition</v>
          </cell>
          <cell r="I3838">
            <v>0.625</v>
          </cell>
          <cell r="J3838">
            <v>0.84375</v>
          </cell>
          <cell r="K3838">
            <v>5.25</v>
          </cell>
          <cell r="L3838">
            <v>205.28</v>
          </cell>
          <cell r="O3838" t="str">
            <v>Y</v>
          </cell>
          <cell r="P3838" t="str">
            <v>N</v>
          </cell>
          <cell r="Q3838" t="str">
            <v>Short Term Sick</v>
          </cell>
          <cell r="S3838">
            <v>0.14000000000000001</v>
          </cell>
        </row>
        <row r="3839">
          <cell r="D3839">
            <v>1208003177</v>
          </cell>
          <cell r="E3839" t="str">
            <v>JASMINE ESGUERRA</v>
          </cell>
          <cell r="F3839" t="str">
            <v>D (Ch)</v>
          </cell>
          <cell r="G3839">
            <v>17707</v>
          </cell>
          <cell r="H3839" t="str">
            <v>Choice</v>
          </cell>
          <cell r="I3839">
            <v>0.82291666666666663</v>
          </cell>
          <cell r="J3839">
            <v>0.34375</v>
          </cell>
          <cell r="K3839">
            <v>11.5</v>
          </cell>
          <cell r="L3839">
            <v>364.33</v>
          </cell>
          <cell r="O3839" t="str">
            <v>Y</v>
          </cell>
          <cell r="P3839" t="str">
            <v>N</v>
          </cell>
          <cell r="Q3839" t="str">
            <v>Extra Capacity</v>
          </cell>
          <cell r="S3839">
            <v>0.31</v>
          </cell>
        </row>
        <row r="3840">
          <cell r="D3840">
            <v>1208002097</v>
          </cell>
          <cell r="E3840" t="str">
            <v>JASON WENT</v>
          </cell>
          <cell r="F3840" t="str">
            <v>D / 5 General (</v>
          </cell>
          <cell r="G3840" t="str">
            <v>604-161705</v>
          </cell>
          <cell r="H3840" t="str">
            <v>Blue Arrow</v>
          </cell>
          <cell r="I3840">
            <v>0.83333333333333337</v>
          </cell>
          <cell r="J3840">
            <v>0.33333333333333331</v>
          </cell>
          <cell r="K3840">
            <v>11.33333333</v>
          </cell>
          <cell r="L3840">
            <v>248.7</v>
          </cell>
          <cell r="O3840" t="str">
            <v>Y</v>
          </cell>
          <cell r="P3840" t="str">
            <v>N</v>
          </cell>
          <cell r="Q3840" t="str">
            <v>Extra Capacity</v>
          </cell>
          <cell r="S3840">
            <v>0.3</v>
          </cell>
        </row>
        <row r="3841">
          <cell r="D3841">
            <v>1208000807</v>
          </cell>
          <cell r="E3841" t="str">
            <v>JOAN LEWIS</v>
          </cell>
          <cell r="F3841" t="str">
            <v>D (MD)</v>
          </cell>
          <cell r="G3841">
            <v>353510</v>
          </cell>
          <cell r="H3841" t="str">
            <v>Mayday</v>
          </cell>
          <cell r="I3841">
            <v>0.3125</v>
          </cell>
          <cell r="J3841">
            <v>0.64583333333333337</v>
          </cell>
          <cell r="K3841">
            <v>7.6666666670000003</v>
          </cell>
          <cell r="L3841">
            <v>247.56</v>
          </cell>
          <cell r="O3841" t="str">
            <v>Y</v>
          </cell>
          <cell r="P3841" t="str">
            <v>N</v>
          </cell>
          <cell r="Q3841" t="str">
            <v>Extra Capacity</v>
          </cell>
          <cell r="S3841">
            <v>0.2</v>
          </cell>
        </row>
        <row r="3842">
          <cell r="D3842">
            <v>1208000810</v>
          </cell>
          <cell r="E3842" t="str">
            <v>JOAN LEWIS</v>
          </cell>
          <cell r="F3842" t="str">
            <v>D (MD)</v>
          </cell>
          <cell r="G3842">
            <v>353510</v>
          </cell>
          <cell r="H3842" t="str">
            <v>Mayday</v>
          </cell>
          <cell r="I3842">
            <v>0.64583333333333337</v>
          </cell>
          <cell r="J3842">
            <v>0.85416666666666663</v>
          </cell>
          <cell r="K3842">
            <v>5</v>
          </cell>
          <cell r="L3842">
            <v>161.44999999999999</v>
          </cell>
          <cell r="O3842" t="str">
            <v>Y</v>
          </cell>
          <cell r="P3842" t="str">
            <v>N</v>
          </cell>
          <cell r="Q3842" t="str">
            <v>Extra Capacity</v>
          </cell>
          <cell r="S3842">
            <v>0.13</v>
          </cell>
        </row>
        <row r="3843">
          <cell r="D3843">
            <v>1208000811</v>
          </cell>
          <cell r="E3843" t="str">
            <v>JOANNE DUCKER</v>
          </cell>
          <cell r="F3843" t="str">
            <v>D / 5 General (</v>
          </cell>
          <cell r="G3843" t="str">
            <v>604-161706</v>
          </cell>
          <cell r="H3843" t="str">
            <v>Blue Arrow</v>
          </cell>
          <cell r="I3843">
            <v>0.64583333333333337</v>
          </cell>
          <cell r="J3843">
            <v>0.85416666666666663</v>
          </cell>
          <cell r="K3843">
            <v>5</v>
          </cell>
          <cell r="L3843">
            <v>84.4</v>
          </cell>
          <cell r="O3843" t="str">
            <v>Y</v>
          </cell>
          <cell r="P3843" t="str">
            <v>N</v>
          </cell>
          <cell r="Q3843" t="str">
            <v>Extra Capacity</v>
          </cell>
          <cell r="S3843">
            <v>0.13</v>
          </cell>
        </row>
        <row r="3844">
          <cell r="D3844">
            <v>1208002101</v>
          </cell>
          <cell r="E3844" t="str">
            <v>JOELIS PASCUA</v>
          </cell>
          <cell r="F3844" t="str">
            <v>D (Ch)</v>
          </cell>
          <cell r="G3844">
            <v>17715</v>
          </cell>
          <cell r="H3844" t="str">
            <v>Choice</v>
          </cell>
          <cell r="I3844">
            <v>0.83333333333333337</v>
          </cell>
          <cell r="J3844">
            <v>0.33333333333333331</v>
          </cell>
          <cell r="K3844">
            <v>11.33333333</v>
          </cell>
          <cell r="L3844">
            <v>359.05</v>
          </cell>
          <cell r="O3844" t="str">
            <v>Y</v>
          </cell>
          <cell r="P3844" t="str">
            <v>N</v>
          </cell>
          <cell r="Q3844" t="str">
            <v>Extra Capacity</v>
          </cell>
          <cell r="S3844">
            <v>0.3</v>
          </cell>
        </row>
        <row r="3845">
          <cell r="D3845">
            <v>1208003994</v>
          </cell>
          <cell r="E3845" t="str">
            <v>JOSEPH BASS</v>
          </cell>
          <cell r="F3845" t="str">
            <v>D (MD)</v>
          </cell>
          <cell r="G3845">
            <v>352681</v>
          </cell>
          <cell r="H3845" t="str">
            <v>Mayday</v>
          </cell>
          <cell r="I3845">
            <v>0.88541666666666663</v>
          </cell>
          <cell r="J3845">
            <v>0.30208333333333331</v>
          </cell>
          <cell r="K3845">
            <v>9</v>
          </cell>
          <cell r="L3845">
            <v>377.79</v>
          </cell>
          <cell r="O3845" t="str">
            <v>Y</v>
          </cell>
          <cell r="P3845" t="str">
            <v>N</v>
          </cell>
          <cell r="Q3845" t="str">
            <v>Extra Capacity</v>
          </cell>
          <cell r="S3845">
            <v>0.24</v>
          </cell>
        </row>
        <row r="3846">
          <cell r="D3846">
            <v>1208001131</v>
          </cell>
          <cell r="E3846" t="str">
            <v>JOSEPHINE MOLLOY</v>
          </cell>
          <cell r="F3846" t="str">
            <v>D (Amb)</v>
          </cell>
          <cell r="G3846">
            <v>769648</v>
          </cell>
          <cell r="H3846" t="str">
            <v>Ambition</v>
          </cell>
          <cell r="I3846">
            <v>0.8125</v>
          </cell>
          <cell r="J3846">
            <v>0.33333333333333331</v>
          </cell>
          <cell r="K3846">
            <v>11.83333333</v>
          </cell>
          <cell r="L3846">
            <v>601.49</v>
          </cell>
          <cell r="O3846" t="str">
            <v>Y</v>
          </cell>
          <cell r="P3846" t="str">
            <v>N</v>
          </cell>
          <cell r="Q3846" t="str">
            <v>Vacancy</v>
          </cell>
          <cell r="S3846">
            <v>0.32</v>
          </cell>
        </row>
        <row r="3847">
          <cell r="D3847">
            <v>1208002098</v>
          </cell>
          <cell r="E3847" t="str">
            <v>LETECIA MENIANO</v>
          </cell>
          <cell r="F3847" t="str">
            <v>D (MD)</v>
          </cell>
          <cell r="G3847">
            <v>353132</v>
          </cell>
          <cell r="H3847" t="str">
            <v>Mayday</v>
          </cell>
          <cell r="I3847">
            <v>0.83333333333333337</v>
          </cell>
          <cell r="J3847">
            <v>0.33333333333333331</v>
          </cell>
          <cell r="K3847">
            <v>11.33333333</v>
          </cell>
          <cell r="L3847">
            <v>475.74</v>
          </cell>
          <cell r="O3847" t="str">
            <v>Y</v>
          </cell>
          <cell r="P3847" t="str">
            <v>N</v>
          </cell>
          <cell r="Q3847" t="str">
            <v>Extra Capacity</v>
          </cell>
          <cell r="S3847">
            <v>0.3</v>
          </cell>
        </row>
        <row r="3848">
          <cell r="D3848">
            <v>1108006389</v>
          </cell>
          <cell r="E3848" t="str">
            <v>LINDSEY DAY</v>
          </cell>
          <cell r="F3848" t="str">
            <v>D (Amb)</v>
          </cell>
          <cell r="G3848">
            <v>778971</v>
          </cell>
          <cell r="H3848" t="str">
            <v>Ambition</v>
          </cell>
          <cell r="I3848">
            <v>0.32291666666666669</v>
          </cell>
          <cell r="J3848">
            <v>0.54166666666666663</v>
          </cell>
          <cell r="K3848">
            <v>5.25</v>
          </cell>
          <cell r="L3848">
            <v>205.28</v>
          </cell>
          <cell r="O3848" t="str">
            <v>Y</v>
          </cell>
          <cell r="P3848" t="str">
            <v>N</v>
          </cell>
          <cell r="Q3848" t="str">
            <v>Vacancy</v>
          </cell>
          <cell r="S3848">
            <v>0.14000000000000001</v>
          </cell>
        </row>
        <row r="3849">
          <cell r="D3849">
            <v>1208002166</v>
          </cell>
          <cell r="E3849" t="str">
            <v>MABEL MNISI</v>
          </cell>
          <cell r="F3849" t="str">
            <v>D (MD)</v>
          </cell>
          <cell r="G3849">
            <v>352990</v>
          </cell>
          <cell r="H3849" t="str">
            <v>Mayday</v>
          </cell>
          <cell r="I3849">
            <v>0.83333333333333337</v>
          </cell>
          <cell r="J3849">
            <v>0.33333333333333331</v>
          </cell>
          <cell r="K3849">
            <v>11.33333333</v>
          </cell>
          <cell r="L3849">
            <v>475.74</v>
          </cell>
          <cell r="O3849" t="str">
            <v>Y</v>
          </cell>
          <cell r="P3849" t="str">
            <v>N</v>
          </cell>
          <cell r="Q3849" t="str">
            <v>Extra Capacity</v>
          </cell>
          <cell r="S3849">
            <v>0.3</v>
          </cell>
        </row>
        <row r="3850">
          <cell r="D3850">
            <v>1208002741</v>
          </cell>
          <cell r="E3850" t="str">
            <v>MERCY AFELE</v>
          </cell>
          <cell r="F3850" t="str">
            <v>D (MD)</v>
          </cell>
          <cell r="G3850">
            <v>351743</v>
          </cell>
          <cell r="H3850" t="str">
            <v>Mayday</v>
          </cell>
          <cell r="I3850">
            <v>0.83333333333333337</v>
          </cell>
          <cell r="J3850">
            <v>0.33333333333333331</v>
          </cell>
          <cell r="K3850">
            <v>11</v>
          </cell>
          <cell r="L3850">
            <v>461.75</v>
          </cell>
          <cell r="O3850" t="str">
            <v>Y</v>
          </cell>
          <cell r="P3850" t="str">
            <v>N</v>
          </cell>
          <cell r="Q3850" t="str">
            <v>Extra Capacity</v>
          </cell>
          <cell r="S3850">
            <v>0.28999999999999998</v>
          </cell>
        </row>
        <row r="3851">
          <cell r="D3851">
            <v>1208000816</v>
          </cell>
          <cell r="E3851" t="str">
            <v>MERCY SIBANDA</v>
          </cell>
          <cell r="F3851" t="str">
            <v>A (Ch)</v>
          </cell>
          <cell r="H3851" t="str">
            <v>Choice</v>
          </cell>
          <cell r="I3851">
            <v>0.3125</v>
          </cell>
          <cell r="J3851">
            <v>0.64583333333333337</v>
          </cell>
          <cell r="K3851">
            <v>7.6666666670000003</v>
          </cell>
          <cell r="L3851">
            <v>85.02</v>
          </cell>
          <cell r="O3851" t="str">
            <v>Y</v>
          </cell>
          <cell r="P3851" t="str">
            <v>N</v>
          </cell>
          <cell r="Q3851" t="str">
            <v>Extra Capacity</v>
          </cell>
          <cell r="S3851">
            <v>0.2</v>
          </cell>
        </row>
        <row r="3852">
          <cell r="D3852">
            <v>1208000819</v>
          </cell>
          <cell r="E3852" t="str">
            <v>MERCY SIBANDA</v>
          </cell>
          <cell r="F3852" t="str">
            <v>A (Ch)</v>
          </cell>
          <cell r="H3852" t="str">
            <v>Choice</v>
          </cell>
          <cell r="I3852">
            <v>0.64583333333333337</v>
          </cell>
          <cell r="J3852">
            <v>0.85416666666666663</v>
          </cell>
          <cell r="K3852">
            <v>5</v>
          </cell>
          <cell r="L3852">
            <v>55.45</v>
          </cell>
          <cell r="O3852" t="str">
            <v>Y</v>
          </cell>
          <cell r="P3852" t="str">
            <v>N</v>
          </cell>
          <cell r="Q3852" t="str">
            <v>Extra Capacity</v>
          </cell>
          <cell r="S3852">
            <v>0.13</v>
          </cell>
        </row>
        <row r="3853">
          <cell r="D3853">
            <v>1208002158</v>
          </cell>
          <cell r="E3853" t="str">
            <v>MICHAEL OKE</v>
          </cell>
          <cell r="F3853" t="str">
            <v>A (Ch)</v>
          </cell>
          <cell r="H3853" t="str">
            <v>Choice</v>
          </cell>
          <cell r="I3853">
            <v>0.3125</v>
          </cell>
          <cell r="J3853">
            <v>0.64583333333333337</v>
          </cell>
          <cell r="K3853">
            <v>7.6666666670000003</v>
          </cell>
          <cell r="L3853">
            <v>85.02</v>
          </cell>
          <cell r="O3853" t="str">
            <v>Y</v>
          </cell>
          <cell r="P3853" t="str">
            <v>N</v>
          </cell>
          <cell r="Q3853" t="str">
            <v>Extra Capacity</v>
          </cell>
          <cell r="S3853">
            <v>0.2</v>
          </cell>
        </row>
        <row r="3854">
          <cell r="D3854">
            <v>1208002458</v>
          </cell>
          <cell r="E3854" t="str">
            <v>MICHAEL OKE</v>
          </cell>
          <cell r="F3854" t="str">
            <v>A (Ch)</v>
          </cell>
          <cell r="H3854" t="str">
            <v>Choice</v>
          </cell>
          <cell r="I3854">
            <v>0.64583333333333337</v>
          </cell>
          <cell r="J3854">
            <v>0.85416666666666663</v>
          </cell>
          <cell r="K3854">
            <v>5</v>
          </cell>
          <cell r="L3854">
            <v>55.45</v>
          </cell>
          <cell r="O3854" t="str">
            <v>Y</v>
          </cell>
          <cell r="P3854" t="str">
            <v>N</v>
          </cell>
          <cell r="Q3854" t="str">
            <v>Extra Capacity</v>
          </cell>
          <cell r="S3854">
            <v>0.13</v>
          </cell>
        </row>
        <row r="3855">
          <cell r="D3855">
            <v>1208003178</v>
          </cell>
          <cell r="E3855" t="str">
            <v>MZUKISI SPEELMAN</v>
          </cell>
          <cell r="F3855" t="str">
            <v>A (Ch)</v>
          </cell>
          <cell r="G3855">
            <v>17698</v>
          </cell>
          <cell r="H3855" t="str">
            <v>Choice</v>
          </cell>
          <cell r="I3855">
            <v>0.32291666666666669</v>
          </cell>
          <cell r="J3855">
            <v>0.54166666666666663</v>
          </cell>
          <cell r="K3855">
            <v>5.25</v>
          </cell>
          <cell r="L3855">
            <v>58.22</v>
          </cell>
          <cell r="O3855" t="str">
            <v>Y</v>
          </cell>
          <cell r="P3855" t="str">
            <v>N</v>
          </cell>
          <cell r="Q3855" t="str">
            <v>Long Term Sick</v>
          </cell>
          <cell r="S3855">
            <v>0.14000000000000001</v>
          </cell>
        </row>
        <row r="3856">
          <cell r="D3856">
            <v>1208003179</v>
          </cell>
          <cell r="E3856" t="str">
            <v>MZUKISI SPEELMAN</v>
          </cell>
          <cell r="F3856" t="str">
            <v>A (Ch)</v>
          </cell>
          <cell r="G3856">
            <v>17698</v>
          </cell>
          <cell r="H3856" t="str">
            <v>Choice</v>
          </cell>
          <cell r="I3856">
            <v>0.63541666666666663</v>
          </cell>
          <cell r="J3856">
            <v>0.85416666666666663</v>
          </cell>
          <cell r="K3856">
            <v>5.25</v>
          </cell>
          <cell r="L3856">
            <v>58.22</v>
          </cell>
          <cell r="O3856" t="str">
            <v>Y</v>
          </cell>
          <cell r="P3856" t="str">
            <v>N</v>
          </cell>
          <cell r="Q3856" t="str">
            <v>Long Term Sick</v>
          </cell>
          <cell r="S3856">
            <v>0.14000000000000001</v>
          </cell>
        </row>
        <row r="3857">
          <cell r="D3857">
            <v>1208002609</v>
          </cell>
          <cell r="E3857" t="str">
            <v>PAT NKOSI</v>
          </cell>
          <cell r="F3857" t="str">
            <v>D (MD)</v>
          </cell>
          <cell r="G3857">
            <v>364642</v>
          </cell>
          <cell r="H3857" t="str">
            <v>Mayday</v>
          </cell>
          <cell r="I3857">
            <v>0.625</v>
          </cell>
          <cell r="J3857">
            <v>0.875</v>
          </cell>
          <cell r="K3857">
            <v>5.75</v>
          </cell>
          <cell r="L3857">
            <v>185.67</v>
          </cell>
          <cell r="O3857" t="str">
            <v>Y</v>
          </cell>
          <cell r="P3857" t="str">
            <v>N</v>
          </cell>
          <cell r="Q3857" t="str">
            <v>Long Term Sick</v>
          </cell>
          <cell r="S3857">
            <v>0.15</v>
          </cell>
        </row>
        <row r="3858">
          <cell r="D3858">
            <v>1208003756</v>
          </cell>
          <cell r="E3858" t="str">
            <v>PAT NKOSI</v>
          </cell>
          <cell r="F3858" t="str">
            <v>D (MD)</v>
          </cell>
          <cell r="G3858">
            <v>364640</v>
          </cell>
          <cell r="H3858" t="str">
            <v>Mayday</v>
          </cell>
          <cell r="I3858">
            <v>0.3125</v>
          </cell>
          <cell r="J3858">
            <v>0.60416666666666663</v>
          </cell>
          <cell r="K3858">
            <v>6.6666666670000003</v>
          </cell>
          <cell r="L3858">
            <v>215.27</v>
          </cell>
          <cell r="O3858" t="str">
            <v>Y</v>
          </cell>
          <cell r="P3858" t="str">
            <v>N</v>
          </cell>
          <cell r="Q3858" t="str">
            <v>Short Term Sick</v>
          </cell>
          <cell r="S3858">
            <v>0.18</v>
          </cell>
        </row>
        <row r="3859">
          <cell r="D3859">
            <v>1208000805</v>
          </cell>
          <cell r="E3859" t="str">
            <v>PEGGY MAPOGO</v>
          </cell>
          <cell r="F3859" t="str">
            <v>D (Ch)</v>
          </cell>
          <cell r="H3859" t="str">
            <v>Choice</v>
          </cell>
          <cell r="I3859">
            <v>0.3125</v>
          </cell>
          <cell r="J3859">
            <v>0.64583333333333337</v>
          </cell>
          <cell r="K3859">
            <v>7.6666666670000003</v>
          </cell>
          <cell r="L3859">
            <v>186.84</v>
          </cell>
          <cell r="O3859" t="str">
            <v>Y</v>
          </cell>
          <cell r="P3859" t="str">
            <v>N</v>
          </cell>
          <cell r="Q3859" t="str">
            <v>Extra Capacity</v>
          </cell>
          <cell r="S3859">
            <v>0.2</v>
          </cell>
        </row>
        <row r="3860">
          <cell r="D3860">
            <v>1208001245</v>
          </cell>
          <cell r="E3860" t="str">
            <v>PRUDENCE MAJOZI</v>
          </cell>
          <cell r="F3860" t="str">
            <v>D (MD)</v>
          </cell>
          <cell r="H3860" t="str">
            <v>Mayday</v>
          </cell>
          <cell r="I3860">
            <v>0.8125</v>
          </cell>
          <cell r="J3860">
            <v>0.33333333333333331</v>
          </cell>
          <cell r="K3860">
            <v>11.5</v>
          </cell>
          <cell r="L3860">
            <v>482.74</v>
          </cell>
          <cell r="O3860" t="str">
            <v>Y</v>
          </cell>
          <cell r="P3860" t="str">
            <v>N</v>
          </cell>
          <cell r="Q3860" t="str">
            <v>Vacancy</v>
          </cell>
          <cell r="S3860">
            <v>0.31</v>
          </cell>
        </row>
        <row r="3861">
          <cell r="D3861">
            <v>1208002099</v>
          </cell>
          <cell r="E3861" t="str">
            <v>RUTH NDEGWA</v>
          </cell>
          <cell r="F3861" t="str">
            <v>D (MD)</v>
          </cell>
          <cell r="G3861">
            <v>351794</v>
          </cell>
          <cell r="H3861" t="str">
            <v>Mayday</v>
          </cell>
          <cell r="I3861">
            <v>0.83333333333333337</v>
          </cell>
          <cell r="J3861">
            <v>0.33333333333333331</v>
          </cell>
          <cell r="K3861">
            <v>11.33333333</v>
          </cell>
          <cell r="L3861">
            <v>475.74</v>
          </cell>
          <cell r="O3861" t="str">
            <v>Y</v>
          </cell>
          <cell r="P3861" t="str">
            <v>N</v>
          </cell>
          <cell r="Q3861" t="str">
            <v>Extra Capacity</v>
          </cell>
          <cell r="S3861">
            <v>0.3</v>
          </cell>
        </row>
        <row r="3862">
          <cell r="D3862">
            <v>1208001730</v>
          </cell>
          <cell r="E3862" t="str">
            <v>SAM KELEM</v>
          </cell>
          <cell r="F3862" t="str">
            <v>D (Ch)</v>
          </cell>
          <cell r="H3862" t="str">
            <v>Choice</v>
          </cell>
          <cell r="I3862">
            <v>0.83333333333333337</v>
          </cell>
          <cell r="J3862">
            <v>0.33333333333333331</v>
          </cell>
          <cell r="K3862">
            <v>11.33333333</v>
          </cell>
          <cell r="L3862">
            <v>359.05</v>
          </cell>
          <cell r="O3862" t="str">
            <v>Y</v>
          </cell>
          <cell r="P3862" t="str">
            <v>N</v>
          </cell>
          <cell r="Q3862" t="str">
            <v>Extra Capacity</v>
          </cell>
          <cell r="S3862">
            <v>0.3</v>
          </cell>
        </row>
        <row r="3863">
          <cell r="D3863">
            <v>1208002644</v>
          </cell>
          <cell r="E3863" t="str">
            <v>SARAH MAKOTORE</v>
          </cell>
          <cell r="F3863" t="str">
            <v>D (Ch)</v>
          </cell>
          <cell r="G3863">
            <v>17710</v>
          </cell>
          <cell r="H3863" t="str">
            <v>Choice</v>
          </cell>
          <cell r="I3863">
            <v>0.29166666666666669</v>
          </cell>
          <cell r="J3863">
            <v>0.625</v>
          </cell>
          <cell r="K3863">
            <v>7.6666666670000003</v>
          </cell>
          <cell r="L3863">
            <v>186.84</v>
          </cell>
          <cell r="M3863">
            <v>198.24</v>
          </cell>
          <cell r="O3863" t="str">
            <v>Y</v>
          </cell>
          <cell r="P3863" t="str">
            <v>N</v>
          </cell>
          <cell r="Q3863" t="str">
            <v>Specials</v>
          </cell>
          <cell r="S3863">
            <v>0.2</v>
          </cell>
        </row>
        <row r="3864">
          <cell r="D3864">
            <v>1208002647</v>
          </cell>
          <cell r="E3864" t="str">
            <v>SARAH MAKOTORE</v>
          </cell>
          <cell r="F3864" t="str">
            <v>D (Ch)</v>
          </cell>
          <cell r="G3864">
            <v>17710</v>
          </cell>
          <cell r="H3864" t="str">
            <v>Choice</v>
          </cell>
          <cell r="I3864">
            <v>0.625</v>
          </cell>
          <cell r="J3864">
            <v>0.88541666666666663</v>
          </cell>
          <cell r="K3864">
            <v>5.9166666670000003</v>
          </cell>
          <cell r="L3864">
            <v>144.19</v>
          </cell>
          <cell r="M3864">
            <v>198.45</v>
          </cell>
          <cell r="O3864" t="str">
            <v>Y</v>
          </cell>
          <cell r="P3864" t="str">
            <v>N</v>
          </cell>
          <cell r="Q3864" t="str">
            <v>Specials</v>
          </cell>
          <cell r="S3864">
            <v>0.16</v>
          </cell>
        </row>
        <row r="3865">
          <cell r="D3865">
            <v>1108003075</v>
          </cell>
          <cell r="E3865" t="str">
            <v>SIBONGILE DOKOTERA</v>
          </cell>
          <cell r="F3865" t="str">
            <v>D (MD)</v>
          </cell>
          <cell r="G3865">
            <v>355774</v>
          </cell>
          <cell r="H3865" t="str">
            <v>Mayday</v>
          </cell>
          <cell r="I3865">
            <v>0.5625</v>
          </cell>
          <cell r="J3865">
            <v>0.85416666666666663</v>
          </cell>
          <cell r="K3865">
            <v>6.6666666670000003</v>
          </cell>
          <cell r="L3865">
            <v>215.27</v>
          </cell>
          <cell r="O3865" t="str">
            <v>Y</v>
          </cell>
          <cell r="P3865" t="str">
            <v>N</v>
          </cell>
          <cell r="Q3865" t="str">
            <v>Under Established</v>
          </cell>
          <cell r="S3865">
            <v>0.18</v>
          </cell>
        </row>
        <row r="3866">
          <cell r="D3866">
            <v>1108005201</v>
          </cell>
          <cell r="E3866" t="str">
            <v>SIBONGILE DOKOTERA</v>
          </cell>
          <cell r="F3866" t="str">
            <v>D (MD)</v>
          </cell>
          <cell r="H3866" t="str">
            <v>Mayday</v>
          </cell>
          <cell r="I3866">
            <v>0.3125</v>
          </cell>
          <cell r="J3866">
            <v>0.5625</v>
          </cell>
          <cell r="K3866">
            <v>5.6666666670000003</v>
          </cell>
          <cell r="L3866">
            <v>182.98</v>
          </cell>
          <cell r="O3866" t="str">
            <v>Y</v>
          </cell>
          <cell r="P3866" t="str">
            <v>N</v>
          </cell>
          <cell r="Q3866" t="str">
            <v>Nurse Moved</v>
          </cell>
          <cell r="S3866">
            <v>0.15</v>
          </cell>
        </row>
        <row r="3867">
          <cell r="D3867">
            <v>1208001702</v>
          </cell>
          <cell r="E3867" t="str">
            <v>SIBONISIWE NCUBE</v>
          </cell>
          <cell r="F3867" t="str">
            <v>D (Amb)</v>
          </cell>
          <cell r="G3867">
            <v>767215</v>
          </cell>
          <cell r="H3867" t="str">
            <v>Ambition</v>
          </cell>
          <cell r="I3867">
            <v>0.3125</v>
          </cell>
          <cell r="J3867">
            <v>0.60416666666666663</v>
          </cell>
          <cell r="K3867">
            <v>6.6666666670000003</v>
          </cell>
          <cell r="L3867">
            <v>260.67</v>
          </cell>
          <cell r="O3867" t="str">
            <v>Y</v>
          </cell>
          <cell r="P3867" t="str">
            <v>N</v>
          </cell>
          <cell r="Q3867" t="str">
            <v>Extra Capacity</v>
          </cell>
          <cell r="S3867">
            <v>0.18</v>
          </cell>
        </row>
        <row r="3868">
          <cell r="D3868">
            <v>1208001716</v>
          </cell>
          <cell r="E3868" t="str">
            <v>SIBONISIWE NCUBE</v>
          </cell>
          <cell r="F3868" t="str">
            <v>D (Amb)</v>
          </cell>
          <cell r="G3868">
            <v>767215</v>
          </cell>
          <cell r="H3868" t="str">
            <v>Ambition</v>
          </cell>
          <cell r="I3868">
            <v>0.60416666666666663</v>
          </cell>
          <cell r="J3868">
            <v>0.85416666666666663</v>
          </cell>
          <cell r="K3868">
            <v>5.6666666670000003</v>
          </cell>
          <cell r="L3868">
            <v>221.57</v>
          </cell>
          <cell r="O3868" t="str">
            <v>Y</v>
          </cell>
          <cell r="P3868" t="str">
            <v>N</v>
          </cell>
          <cell r="Q3868" t="str">
            <v>Extra Capacity</v>
          </cell>
          <cell r="S3868">
            <v>0.15</v>
          </cell>
        </row>
        <row r="3869">
          <cell r="D3869">
            <v>1208000809</v>
          </cell>
          <cell r="E3869" t="str">
            <v>SIPHIOISIWE NYONI</v>
          </cell>
          <cell r="F3869" t="str">
            <v>D (Amb)</v>
          </cell>
          <cell r="H3869" t="str">
            <v>Ambition</v>
          </cell>
          <cell r="I3869">
            <v>0.64583333333333337</v>
          </cell>
          <cell r="J3869">
            <v>0.85416666666666663</v>
          </cell>
          <cell r="K3869">
            <v>5</v>
          </cell>
          <cell r="L3869">
            <v>195.5</v>
          </cell>
          <cell r="O3869" t="str">
            <v>Y</v>
          </cell>
          <cell r="P3869" t="str">
            <v>N</v>
          </cell>
          <cell r="Q3869" t="str">
            <v>Extra Capacity</v>
          </cell>
          <cell r="S3869">
            <v>0.13</v>
          </cell>
        </row>
        <row r="3870">
          <cell r="D3870">
            <v>1208002072</v>
          </cell>
          <cell r="E3870" t="str">
            <v>TERESA RADEJKO</v>
          </cell>
          <cell r="F3870" t="str">
            <v>D (Amb)</v>
          </cell>
          <cell r="G3870">
            <v>769556</v>
          </cell>
          <cell r="H3870" t="str">
            <v>Ambition</v>
          </cell>
          <cell r="I3870">
            <v>0.60416666666666663</v>
          </cell>
          <cell r="J3870">
            <v>0.85416666666666663</v>
          </cell>
          <cell r="K3870">
            <v>5.6666666670000003</v>
          </cell>
          <cell r="L3870">
            <v>221.57</v>
          </cell>
          <cell r="O3870" t="str">
            <v>Y</v>
          </cell>
          <cell r="P3870" t="str">
            <v>N</v>
          </cell>
          <cell r="Q3870" t="str">
            <v>Extra Capacity</v>
          </cell>
          <cell r="S3870">
            <v>0.15</v>
          </cell>
        </row>
        <row r="3871">
          <cell r="D3871">
            <v>1208002162</v>
          </cell>
          <cell r="E3871" t="str">
            <v>VANESSA GOULD</v>
          </cell>
          <cell r="F3871" t="str">
            <v>A /2 General (M</v>
          </cell>
          <cell r="G3871" t="str">
            <v>604-162581</v>
          </cell>
          <cell r="H3871" t="str">
            <v>Medacs</v>
          </cell>
          <cell r="I3871">
            <v>0.64583333333333337</v>
          </cell>
          <cell r="J3871">
            <v>0.85416666666666663</v>
          </cell>
          <cell r="K3871">
            <v>5</v>
          </cell>
          <cell r="L3871">
            <v>48.75</v>
          </cell>
          <cell r="O3871" t="str">
            <v>Y</v>
          </cell>
          <cell r="P3871" t="str">
            <v>N</v>
          </cell>
          <cell r="Q3871" t="str">
            <v>Extra Capacity</v>
          </cell>
          <cell r="S3871">
            <v>0.13</v>
          </cell>
        </row>
        <row r="3872">
          <cell r="D3872">
            <v>1208003598</v>
          </cell>
          <cell r="E3872" t="str">
            <v>VICTORIA MAESTRANI</v>
          </cell>
          <cell r="F3872" t="str">
            <v>D (MD)</v>
          </cell>
          <cell r="G3872">
            <v>353513</v>
          </cell>
          <cell r="H3872" t="str">
            <v>Mayday</v>
          </cell>
          <cell r="I3872">
            <v>0.29166666666666669</v>
          </cell>
          <cell r="J3872">
            <v>0.625</v>
          </cell>
          <cell r="K3872">
            <v>7.5</v>
          </cell>
          <cell r="L3872">
            <v>242.17</v>
          </cell>
          <cell r="O3872" t="str">
            <v>Y</v>
          </cell>
          <cell r="P3872" t="str">
            <v>N</v>
          </cell>
          <cell r="Q3872" t="str">
            <v>Extra Capacity</v>
          </cell>
          <cell r="S3872">
            <v>0.2</v>
          </cell>
        </row>
        <row r="3873">
          <cell r="D3873">
            <v>1208003746</v>
          </cell>
          <cell r="E3873" t="str">
            <v>VICTORIA VALETE</v>
          </cell>
          <cell r="F3873" t="str">
            <v>D (MD)</v>
          </cell>
          <cell r="G3873">
            <v>353026</v>
          </cell>
          <cell r="H3873" t="str">
            <v>Mayday</v>
          </cell>
          <cell r="I3873">
            <v>0.83333333333333337</v>
          </cell>
          <cell r="J3873">
            <v>0.33333333333333331</v>
          </cell>
          <cell r="K3873">
            <v>11</v>
          </cell>
          <cell r="L3873">
            <v>461.75</v>
          </cell>
          <cell r="O3873" t="str">
            <v>Y</v>
          </cell>
          <cell r="P3873" t="str">
            <v>N</v>
          </cell>
          <cell r="Q3873" t="str">
            <v>Extra Capacity</v>
          </cell>
          <cell r="S3873">
            <v>0.28999999999999998</v>
          </cell>
        </row>
        <row r="3874">
          <cell r="D3874">
            <v>1108003080</v>
          </cell>
          <cell r="E3874" t="str">
            <v>AMBER PERRY</v>
          </cell>
          <cell r="F3874" t="str">
            <v>D (MD)</v>
          </cell>
          <cell r="G3874">
            <v>353521</v>
          </cell>
          <cell r="H3874" t="str">
            <v>Mayday</v>
          </cell>
          <cell r="I3874">
            <v>0.3125</v>
          </cell>
          <cell r="J3874">
            <v>0.5625</v>
          </cell>
          <cell r="K3874">
            <v>5.6666666670000003</v>
          </cell>
          <cell r="L3874">
            <v>182.98</v>
          </cell>
          <cell r="O3874" t="str">
            <v>Y</v>
          </cell>
          <cell r="P3874" t="str">
            <v>N</v>
          </cell>
          <cell r="Q3874" t="str">
            <v>Annual Leave</v>
          </cell>
          <cell r="S3874">
            <v>0.15</v>
          </cell>
        </row>
        <row r="3875">
          <cell r="D3875">
            <v>1208002610</v>
          </cell>
          <cell r="E3875" t="str">
            <v>ARJE ZAMBARRANO</v>
          </cell>
          <cell r="F3875" t="str">
            <v>D (MD)</v>
          </cell>
          <cell r="G3875">
            <v>354132</v>
          </cell>
          <cell r="H3875" t="str">
            <v>Mayday</v>
          </cell>
          <cell r="I3875">
            <v>0.29166666666666669</v>
          </cell>
          <cell r="J3875">
            <v>0.54166666666666663</v>
          </cell>
          <cell r="K3875">
            <v>5.75</v>
          </cell>
          <cell r="L3875">
            <v>185.67</v>
          </cell>
          <cell r="O3875" t="str">
            <v>Y</v>
          </cell>
          <cell r="P3875" t="str">
            <v>N</v>
          </cell>
          <cell r="Q3875" t="str">
            <v>Long Term Sick</v>
          </cell>
          <cell r="S3875">
            <v>0.15</v>
          </cell>
        </row>
        <row r="3876">
          <cell r="D3876">
            <v>1208003775</v>
          </cell>
          <cell r="E3876" t="str">
            <v>ARJE ZAMBARRANO</v>
          </cell>
          <cell r="F3876" t="str">
            <v>D (MD)</v>
          </cell>
          <cell r="G3876">
            <v>354132</v>
          </cell>
          <cell r="H3876" t="str">
            <v>Mayday</v>
          </cell>
          <cell r="I3876">
            <v>0.625</v>
          </cell>
          <cell r="J3876">
            <v>0.875</v>
          </cell>
          <cell r="K3876">
            <v>5.75</v>
          </cell>
          <cell r="L3876">
            <v>185.67</v>
          </cell>
          <cell r="O3876" t="str">
            <v>Y</v>
          </cell>
          <cell r="P3876" t="str">
            <v>N</v>
          </cell>
          <cell r="Q3876" t="str">
            <v>Short Term Sick</v>
          </cell>
          <cell r="S3876">
            <v>0.15</v>
          </cell>
        </row>
        <row r="3877">
          <cell r="D3877">
            <v>1208004013</v>
          </cell>
          <cell r="E3877" t="str">
            <v>ATINUKE OKE-OLATUNDE</v>
          </cell>
          <cell r="F3877" t="str">
            <v>D (MD)</v>
          </cell>
          <cell r="H3877" t="str">
            <v>Mayday</v>
          </cell>
          <cell r="I3877">
            <v>0.84375</v>
          </cell>
          <cell r="J3877">
            <v>0.3125</v>
          </cell>
          <cell r="K3877">
            <v>10.25</v>
          </cell>
          <cell r="L3877">
            <v>430.26</v>
          </cell>
          <cell r="O3877" t="str">
            <v>Y</v>
          </cell>
          <cell r="P3877" t="str">
            <v>N</v>
          </cell>
          <cell r="Q3877" t="str">
            <v>Extra Capacity</v>
          </cell>
          <cell r="S3877">
            <v>0.27</v>
          </cell>
        </row>
        <row r="3878">
          <cell r="D3878">
            <v>1208000825</v>
          </cell>
          <cell r="E3878" t="str">
            <v>BERNADETTE SHINYA-NDUNUWANI</v>
          </cell>
          <cell r="F3878" t="str">
            <v>D (MD)</v>
          </cell>
          <cell r="G3878">
            <v>352480</v>
          </cell>
          <cell r="H3878" t="str">
            <v>Mayday</v>
          </cell>
          <cell r="I3878">
            <v>0.3125</v>
          </cell>
          <cell r="J3878">
            <v>0.64583333333333337</v>
          </cell>
          <cell r="K3878">
            <v>7.6666666670000003</v>
          </cell>
          <cell r="L3878">
            <v>247.56</v>
          </cell>
          <cell r="O3878" t="str">
            <v>Y</v>
          </cell>
          <cell r="P3878" t="str">
            <v>N</v>
          </cell>
          <cell r="Q3878" t="str">
            <v>Extra Capacity</v>
          </cell>
          <cell r="S3878">
            <v>0.2</v>
          </cell>
        </row>
        <row r="3879">
          <cell r="D3879">
            <v>1208000828</v>
          </cell>
          <cell r="E3879" t="str">
            <v>BERNADETTE SHINYA-NDUNUWANI</v>
          </cell>
          <cell r="F3879" t="str">
            <v>D (MD)</v>
          </cell>
          <cell r="G3879">
            <v>352480</v>
          </cell>
          <cell r="H3879" t="str">
            <v>Mayday</v>
          </cell>
          <cell r="I3879">
            <v>0.64583333333333337</v>
          </cell>
          <cell r="J3879">
            <v>0.85416666666666663</v>
          </cell>
          <cell r="K3879">
            <v>5</v>
          </cell>
          <cell r="L3879">
            <v>161.44999999999999</v>
          </cell>
          <cell r="O3879" t="str">
            <v>Y</v>
          </cell>
          <cell r="P3879" t="str">
            <v>N</v>
          </cell>
          <cell r="Q3879" t="str">
            <v>Extra Capacity</v>
          </cell>
          <cell r="S3879">
            <v>0.13</v>
          </cell>
        </row>
        <row r="3880">
          <cell r="D3880">
            <v>1208003683</v>
          </cell>
          <cell r="E3880" t="str">
            <v>BRENDA GWEKWERERE</v>
          </cell>
          <cell r="F3880" t="str">
            <v>D (Ch)</v>
          </cell>
          <cell r="G3880">
            <v>17707</v>
          </cell>
          <cell r="H3880" t="str">
            <v>Choice</v>
          </cell>
          <cell r="I3880">
            <v>0.8125</v>
          </cell>
          <cell r="J3880">
            <v>0.33333333333333331</v>
          </cell>
          <cell r="K3880">
            <v>11.83333333</v>
          </cell>
          <cell r="L3880">
            <v>374.89</v>
          </cell>
          <cell r="O3880" t="str">
            <v>Y</v>
          </cell>
          <cell r="P3880" t="str">
            <v>N</v>
          </cell>
          <cell r="Q3880" t="str">
            <v>Extra Capacity</v>
          </cell>
          <cell r="S3880">
            <v>0.32</v>
          </cell>
        </row>
        <row r="3881">
          <cell r="D3881">
            <v>1208003778</v>
          </cell>
          <cell r="E3881" t="str">
            <v>BRIGHTNESS NDEBELE</v>
          </cell>
          <cell r="F3881" t="str">
            <v>D (MD)</v>
          </cell>
          <cell r="G3881">
            <v>353560</v>
          </cell>
          <cell r="H3881" t="str">
            <v>Mayday</v>
          </cell>
          <cell r="I3881">
            <v>0.32291666666666669</v>
          </cell>
          <cell r="J3881">
            <v>0.84375</v>
          </cell>
          <cell r="K3881">
            <v>11.5</v>
          </cell>
          <cell r="L3881">
            <v>371.33</v>
          </cell>
          <cell r="O3881" t="str">
            <v>Y</v>
          </cell>
          <cell r="P3881" t="str">
            <v>N</v>
          </cell>
          <cell r="Q3881" t="str">
            <v>Extra Capacity</v>
          </cell>
          <cell r="S3881">
            <v>0.31</v>
          </cell>
        </row>
        <row r="3882">
          <cell r="D3882">
            <v>1208004414</v>
          </cell>
          <cell r="E3882" t="str">
            <v>CHARLES MARARIRAKWENDA</v>
          </cell>
          <cell r="F3882" t="str">
            <v>A (Ch)</v>
          </cell>
          <cell r="G3882">
            <v>17703</v>
          </cell>
          <cell r="H3882" t="str">
            <v>Choice</v>
          </cell>
          <cell r="I3882">
            <v>0.32291666666666669</v>
          </cell>
          <cell r="J3882">
            <v>0.57291666666666663</v>
          </cell>
          <cell r="K3882">
            <v>5.6666666670000003</v>
          </cell>
          <cell r="L3882">
            <v>62.84</v>
          </cell>
          <cell r="M3882">
            <v>64.63</v>
          </cell>
          <cell r="O3882" t="str">
            <v>Y</v>
          </cell>
          <cell r="P3882" t="str">
            <v>N</v>
          </cell>
          <cell r="Q3882" t="str">
            <v>Vacancy</v>
          </cell>
          <cell r="S3882">
            <v>0.15</v>
          </cell>
        </row>
        <row r="3883">
          <cell r="D3883">
            <v>1108005004</v>
          </cell>
          <cell r="E3883" t="str">
            <v>CHRIS STULAR</v>
          </cell>
          <cell r="F3883" t="str">
            <v>D General (Orio</v>
          </cell>
          <cell r="G3883" t="str">
            <v>Invsd Smt checked</v>
          </cell>
          <cell r="H3883" t="str">
            <v>Orion</v>
          </cell>
          <cell r="I3883">
            <v>0.33333333333333331</v>
          </cell>
          <cell r="J3883">
            <v>0.75</v>
          </cell>
          <cell r="K3883">
            <v>9.5</v>
          </cell>
          <cell r="L3883">
            <v>172.14</v>
          </cell>
          <cell r="O3883" t="str">
            <v>Y</v>
          </cell>
          <cell r="P3883" t="str">
            <v>N</v>
          </cell>
          <cell r="Q3883" t="str">
            <v>Backfill</v>
          </cell>
          <cell r="S3883">
            <v>0.25</v>
          </cell>
        </row>
        <row r="3884">
          <cell r="D3884">
            <v>1108003086</v>
          </cell>
          <cell r="E3884" t="str">
            <v>DORICA MUNJERI</v>
          </cell>
          <cell r="F3884" t="str">
            <v>A (Ch)</v>
          </cell>
          <cell r="H3884" t="str">
            <v>Choice</v>
          </cell>
          <cell r="I3884">
            <v>0.83333333333333337</v>
          </cell>
          <cell r="J3884">
            <v>0.33333333333333331</v>
          </cell>
          <cell r="K3884">
            <v>11.33333333</v>
          </cell>
          <cell r="L3884">
            <v>167.58</v>
          </cell>
          <cell r="O3884" t="str">
            <v>Y</v>
          </cell>
          <cell r="P3884" t="str">
            <v>N</v>
          </cell>
          <cell r="Q3884" t="str">
            <v>Maternity Leave</v>
          </cell>
          <cell r="S3884">
            <v>0.3</v>
          </cell>
        </row>
        <row r="3885">
          <cell r="D3885">
            <v>1208002040</v>
          </cell>
          <cell r="E3885" t="str">
            <v>EMMANUEL SALAKO</v>
          </cell>
          <cell r="F3885" t="str">
            <v>D (MD)</v>
          </cell>
          <cell r="G3885">
            <v>353897</v>
          </cell>
          <cell r="H3885" t="str">
            <v>Mayday</v>
          </cell>
          <cell r="I3885">
            <v>0.3125</v>
          </cell>
          <cell r="J3885">
            <v>0.625</v>
          </cell>
          <cell r="K3885">
            <v>7.1666666670000003</v>
          </cell>
          <cell r="L3885">
            <v>231.41</v>
          </cell>
          <cell r="O3885" t="str">
            <v>Y</v>
          </cell>
          <cell r="P3885" t="str">
            <v>N</v>
          </cell>
          <cell r="Q3885" t="str">
            <v>Extra Capacity</v>
          </cell>
          <cell r="S3885">
            <v>0.19</v>
          </cell>
        </row>
        <row r="3886">
          <cell r="D3886">
            <v>1208002074</v>
          </cell>
          <cell r="E3886" t="str">
            <v>EMMANUEL SALAKO</v>
          </cell>
          <cell r="F3886" t="str">
            <v>D (MD)</v>
          </cell>
          <cell r="G3886">
            <v>353897</v>
          </cell>
          <cell r="H3886" t="str">
            <v>Mayday</v>
          </cell>
          <cell r="I3886">
            <v>0.625</v>
          </cell>
          <cell r="J3886">
            <v>0.85416666666666663</v>
          </cell>
          <cell r="K3886">
            <v>5.5</v>
          </cell>
          <cell r="L3886">
            <v>177.59</v>
          </cell>
          <cell r="O3886" t="str">
            <v>Y</v>
          </cell>
          <cell r="P3886" t="str">
            <v>N</v>
          </cell>
          <cell r="Q3886" t="str">
            <v>Extra Capacity</v>
          </cell>
          <cell r="S3886">
            <v>0.15</v>
          </cell>
        </row>
        <row r="3887">
          <cell r="D3887">
            <v>1208004260</v>
          </cell>
          <cell r="E3887" t="str">
            <v>EUNICE ADEBANJO</v>
          </cell>
          <cell r="F3887" t="str">
            <v>D (Ch)</v>
          </cell>
          <cell r="G3887">
            <v>17693</v>
          </cell>
          <cell r="H3887" t="str">
            <v>Choice</v>
          </cell>
          <cell r="I3887">
            <v>0.82291666666666663</v>
          </cell>
          <cell r="J3887">
            <v>0.3125</v>
          </cell>
          <cell r="K3887">
            <v>11.41666667</v>
          </cell>
          <cell r="L3887">
            <v>361.69</v>
          </cell>
          <cell r="O3887" t="str">
            <v>Y</v>
          </cell>
          <cell r="P3887" t="str">
            <v>N</v>
          </cell>
          <cell r="Q3887" t="str">
            <v>Extra Capacity</v>
          </cell>
          <cell r="S3887">
            <v>0.3</v>
          </cell>
        </row>
        <row r="3888">
          <cell r="D3888">
            <v>1208000823</v>
          </cell>
          <cell r="E3888" t="str">
            <v>EVELYN PANESA</v>
          </cell>
          <cell r="F3888" t="str">
            <v>D (Ch)</v>
          </cell>
          <cell r="H3888" t="str">
            <v>Choice</v>
          </cell>
          <cell r="I3888">
            <v>0.3125</v>
          </cell>
          <cell r="J3888">
            <v>0.64583333333333337</v>
          </cell>
          <cell r="K3888">
            <v>7.6666666670000003</v>
          </cell>
          <cell r="L3888">
            <v>186.84</v>
          </cell>
          <cell r="O3888" t="str">
            <v>Y</v>
          </cell>
          <cell r="P3888" t="str">
            <v>N</v>
          </cell>
          <cell r="Q3888" t="str">
            <v>Extra Capacity</v>
          </cell>
          <cell r="S3888">
            <v>0.2</v>
          </cell>
        </row>
        <row r="3889">
          <cell r="D3889">
            <v>1208000826</v>
          </cell>
          <cell r="E3889" t="str">
            <v>EVELYN PANESA</v>
          </cell>
          <cell r="F3889" t="str">
            <v>D (Ch)</v>
          </cell>
          <cell r="H3889" t="str">
            <v>Choice</v>
          </cell>
          <cell r="I3889">
            <v>0.64583333333333337</v>
          </cell>
          <cell r="J3889">
            <v>0.85416666666666663</v>
          </cell>
          <cell r="K3889">
            <v>5</v>
          </cell>
          <cell r="L3889">
            <v>121.85</v>
          </cell>
          <cell r="O3889" t="str">
            <v>Y</v>
          </cell>
          <cell r="P3889" t="str">
            <v>N</v>
          </cell>
          <cell r="Q3889" t="str">
            <v>Extra Capacity</v>
          </cell>
          <cell r="S3889">
            <v>0.13</v>
          </cell>
        </row>
        <row r="3890">
          <cell r="D3890">
            <v>1108004649</v>
          </cell>
          <cell r="E3890" t="str">
            <v>FIONA DURKIN-GREER</v>
          </cell>
          <cell r="F3890" t="str">
            <v>D (MD)</v>
          </cell>
          <cell r="G3890">
            <v>353566</v>
          </cell>
          <cell r="H3890" t="str">
            <v>Mayday</v>
          </cell>
          <cell r="I3890">
            <v>0.5625</v>
          </cell>
          <cell r="J3890">
            <v>0.85416666666666663</v>
          </cell>
          <cell r="K3890">
            <v>6.6666666670000003</v>
          </cell>
          <cell r="L3890">
            <v>215.27</v>
          </cell>
          <cell r="O3890" t="str">
            <v>Y</v>
          </cell>
          <cell r="P3890" t="str">
            <v>N</v>
          </cell>
          <cell r="Q3890" t="str">
            <v>Vacancy</v>
          </cell>
          <cell r="S3890">
            <v>0.18</v>
          </cell>
        </row>
        <row r="3891">
          <cell r="D3891">
            <v>1208000830</v>
          </cell>
          <cell r="E3891" t="str">
            <v>GERTHY ALBANO</v>
          </cell>
          <cell r="F3891" t="str">
            <v>D (Ch)</v>
          </cell>
          <cell r="H3891" t="str">
            <v>Choice</v>
          </cell>
          <cell r="I3891">
            <v>0.83333333333333337</v>
          </cell>
          <cell r="J3891">
            <v>0.33333333333333331</v>
          </cell>
          <cell r="K3891">
            <v>11.33333333</v>
          </cell>
          <cell r="L3891">
            <v>359.05</v>
          </cell>
          <cell r="O3891" t="str">
            <v>Y</v>
          </cell>
          <cell r="P3891" t="str">
            <v>N</v>
          </cell>
          <cell r="Q3891" t="str">
            <v>Extra Capacity</v>
          </cell>
          <cell r="S3891">
            <v>0.3</v>
          </cell>
        </row>
        <row r="3892">
          <cell r="D3892">
            <v>1108006629</v>
          </cell>
          <cell r="E3892" t="str">
            <v>JAKE BROOKES</v>
          </cell>
          <cell r="F3892" t="str">
            <v>D General (Orio</v>
          </cell>
          <cell r="G3892" t="str">
            <v>Invsd Smt checked</v>
          </cell>
          <cell r="H3892" t="str">
            <v>Orion</v>
          </cell>
          <cell r="I3892">
            <v>0.33333333333333331</v>
          </cell>
          <cell r="J3892">
            <v>0.75</v>
          </cell>
          <cell r="K3892">
            <v>9.6666666669999994</v>
          </cell>
          <cell r="L3892">
            <v>175.16</v>
          </cell>
          <cell r="O3892" t="str">
            <v>Y</v>
          </cell>
          <cell r="P3892" t="str">
            <v>N</v>
          </cell>
          <cell r="Q3892" t="str">
            <v>Long Term Sick</v>
          </cell>
          <cell r="S3892">
            <v>0.26</v>
          </cell>
        </row>
        <row r="3893">
          <cell r="D3893">
            <v>1208001703</v>
          </cell>
          <cell r="E3893" t="str">
            <v>JAMES MCCLEMENTS</v>
          </cell>
          <cell r="F3893" t="str">
            <v>D (MD)</v>
          </cell>
          <cell r="G3893">
            <v>353024</v>
          </cell>
          <cell r="H3893" t="str">
            <v>Mayday</v>
          </cell>
          <cell r="I3893">
            <v>0.3125</v>
          </cell>
          <cell r="J3893">
            <v>0.60416666666666663</v>
          </cell>
          <cell r="K3893">
            <v>6.6666666670000003</v>
          </cell>
          <cell r="L3893">
            <v>215.27</v>
          </cell>
          <cell r="O3893" t="str">
            <v>Y</v>
          </cell>
          <cell r="P3893" t="str">
            <v>N</v>
          </cell>
          <cell r="Q3893" t="str">
            <v>Extra Capacity</v>
          </cell>
          <cell r="S3893">
            <v>0.18</v>
          </cell>
        </row>
        <row r="3894">
          <cell r="D3894">
            <v>1208001718</v>
          </cell>
          <cell r="E3894" t="str">
            <v>JAMES MCCLEMENTS</v>
          </cell>
          <cell r="F3894" t="str">
            <v>D (MD)</v>
          </cell>
          <cell r="G3894">
            <v>353024</v>
          </cell>
          <cell r="H3894" t="str">
            <v>Mayday</v>
          </cell>
          <cell r="I3894">
            <v>0.60416666666666663</v>
          </cell>
          <cell r="J3894">
            <v>0.85416666666666663</v>
          </cell>
          <cell r="K3894">
            <v>5.6666666670000003</v>
          </cell>
          <cell r="L3894">
            <v>182.98</v>
          </cell>
          <cell r="O3894" t="str">
            <v>Y</v>
          </cell>
          <cell r="P3894" t="str">
            <v>N</v>
          </cell>
          <cell r="Q3894" t="str">
            <v>Extra Capacity</v>
          </cell>
          <cell r="S3894">
            <v>0.15</v>
          </cell>
        </row>
        <row r="3895">
          <cell r="D3895">
            <v>1208003315</v>
          </cell>
          <cell r="E3895" t="str">
            <v>JANE DUNSMURE</v>
          </cell>
          <cell r="F3895" t="str">
            <v>D/5 (PS)</v>
          </cell>
          <cell r="H3895" t="str">
            <v>Pinnacle Staffing</v>
          </cell>
          <cell r="I3895">
            <v>0.82291666666666663</v>
          </cell>
          <cell r="J3895">
            <v>0.34375</v>
          </cell>
          <cell r="K3895">
            <v>11.5</v>
          </cell>
          <cell r="L3895">
            <v>254</v>
          </cell>
          <cell r="O3895" t="str">
            <v>Y</v>
          </cell>
          <cell r="P3895" t="str">
            <v>N</v>
          </cell>
          <cell r="Q3895" t="str">
            <v>Short Term Sick</v>
          </cell>
          <cell r="S3895">
            <v>0.31</v>
          </cell>
        </row>
        <row r="3896">
          <cell r="D3896">
            <v>1108006076</v>
          </cell>
          <cell r="E3896" t="str">
            <v>JASMINE ESGUERRA</v>
          </cell>
          <cell r="F3896" t="str">
            <v>D (Ch)</v>
          </cell>
          <cell r="H3896" t="str">
            <v>Choice</v>
          </cell>
          <cell r="I3896">
            <v>0.83333333333333337</v>
          </cell>
          <cell r="J3896">
            <v>0.33333333333333331</v>
          </cell>
          <cell r="K3896">
            <v>11.33333333</v>
          </cell>
          <cell r="L3896">
            <v>359.05</v>
          </cell>
          <cell r="O3896" t="str">
            <v>Y</v>
          </cell>
          <cell r="P3896" t="str">
            <v>N</v>
          </cell>
          <cell r="Q3896" t="str">
            <v>Short Term Sick</v>
          </cell>
          <cell r="S3896">
            <v>0.3</v>
          </cell>
        </row>
        <row r="3897">
          <cell r="D3897">
            <v>1208000351</v>
          </cell>
          <cell r="E3897" t="str">
            <v>JASON WENT</v>
          </cell>
          <cell r="F3897" t="str">
            <v>D / 5 General (</v>
          </cell>
          <cell r="G3897" t="str">
            <v>604-161911</v>
          </cell>
          <cell r="H3897" t="str">
            <v>Blue Arrow</v>
          </cell>
          <cell r="I3897">
            <v>0.83333333333333337</v>
          </cell>
          <cell r="J3897">
            <v>0.33333333333333331</v>
          </cell>
          <cell r="K3897">
            <v>11</v>
          </cell>
          <cell r="L3897">
            <v>241.38</v>
          </cell>
          <cell r="O3897" t="str">
            <v>Y</v>
          </cell>
          <cell r="P3897" t="str">
            <v>N</v>
          </cell>
          <cell r="Q3897" t="str">
            <v>Extra Capacity</v>
          </cell>
          <cell r="S3897">
            <v>0.28999999999999998</v>
          </cell>
        </row>
        <row r="3898">
          <cell r="D3898">
            <v>1008006995</v>
          </cell>
          <cell r="E3898" t="str">
            <v>JESSICA BELLAMY</v>
          </cell>
          <cell r="F3898" t="str">
            <v>D (MD)</v>
          </cell>
          <cell r="G3898">
            <v>352452</v>
          </cell>
          <cell r="H3898" t="str">
            <v>Mayday</v>
          </cell>
          <cell r="I3898">
            <v>0.82291666666666663</v>
          </cell>
          <cell r="J3898">
            <v>0.34375</v>
          </cell>
          <cell r="K3898">
            <v>11.5</v>
          </cell>
          <cell r="L3898">
            <v>482.74</v>
          </cell>
          <cell r="O3898" t="str">
            <v>Y</v>
          </cell>
          <cell r="P3898" t="str">
            <v>N</v>
          </cell>
          <cell r="Q3898" t="str">
            <v>Vacancy</v>
          </cell>
          <cell r="S3898">
            <v>0.31</v>
          </cell>
        </row>
        <row r="3899">
          <cell r="D3899">
            <v>1208002103</v>
          </cell>
          <cell r="E3899" t="str">
            <v>JOELIS PASCUA</v>
          </cell>
          <cell r="F3899" t="str">
            <v>D (Ch)</v>
          </cell>
          <cell r="G3899">
            <v>17715</v>
          </cell>
          <cell r="H3899" t="str">
            <v>Choice</v>
          </cell>
          <cell r="I3899">
            <v>0.83333333333333337</v>
          </cell>
          <cell r="J3899">
            <v>0.33333333333333331</v>
          </cell>
          <cell r="K3899">
            <v>11.33333333</v>
          </cell>
          <cell r="L3899">
            <v>359.05</v>
          </cell>
          <cell r="O3899" t="str">
            <v>Y</v>
          </cell>
          <cell r="P3899" t="str">
            <v>N</v>
          </cell>
          <cell r="Q3899" t="str">
            <v>Extra Capacity</v>
          </cell>
          <cell r="S3899">
            <v>0.3</v>
          </cell>
        </row>
        <row r="3900">
          <cell r="D3900">
            <v>1208002104</v>
          </cell>
          <cell r="E3900" t="str">
            <v>JOSEPH BASS</v>
          </cell>
          <cell r="F3900" t="str">
            <v>D (MD)</v>
          </cell>
          <cell r="G3900">
            <v>352680</v>
          </cell>
          <cell r="H3900" t="str">
            <v>Mayday</v>
          </cell>
          <cell r="I3900">
            <v>0.83333333333333337</v>
          </cell>
          <cell r="J3900">
            <v>0.33333333333333331</v>
          </cell>
          <cell r="K3900">
            <v>11.33333333</v>
          </cell>
          <cell r="L3900">
            <v>475.74</v>
          </cell>
          <cell r="O3900" t="str">
            <v>Y</v>
          </cell>
          <cell r="P3900" t="str">
            <v>N</v>
          </cell>
          <cell r="Q3900" t="str">
            <v>Extra Capacity</v>
          </cell>
          <cell r="S3900">
            <v>0.3</v>
          </cell>
        </row>
        <row r="3901">
          <cell r="D3901">
            <v>1208001132</v>
          </cell>
          <cell r="E3901" t="str">
            <v>JOSEPHINE MOLLOY</v>
          </cell>
          <cell r="F3901" t="str">
            <v>D (Amb)</v>
          </cell>
          <cell r="G3901">
            <v>769649</v>
          </cell>
          <cell r="H3901" t="str">
            <v>Ambition</v>
          </cell>
          <cell r="I3901">
            <v>0.8125</v>
          </cell>
          <cell r="J3901">
            <v>0.33333333333333331</v>
          </cell>
          <cell r="K3901">
            <v>11.83333333</v>
          </cell>
          <cell r="L3901">
            <v>601.49</v>
          </cell>
          <cell r="O3901" t="str">
            <v>Y</v>
          </cell>
          <cell r="P3901" t="str">
            <v>N</v>
          </cell>
          <cell r="Q3901" t="str">
            <v>Vacancy</v>
          </cell>
          <cell r="S3901">
            <v>0.32</v>
          </cell>
        </row>
        <row r="3902">
          <cell r="D3902">
            <v>1208004281</v>
          </cell>
          <cell r="E3902" t="str">
            <v>KATH WILDREDGE</v>
          </cell>
          <cell r="F3902" t="str">
            <v>D (MD)</v>
          </cell>
          <cell r="G3902">
            <v>352465</v>
          </cell>
          <cell r="H3902" t="str">
            <v>Mayday</v>
          </cell>
          <cell r="I3902">
            <v>0.83333333333333337</v>
          </cell>
          <cell r="J3902">
            <v>0.33333333333333331</v>
          </cell>
          <cell r="K3902">
            <v>11</v>
          </cell>
          <cell r="L3902">
            <v>461.75</v>
          </cell>
          <cell r="O3902" t="str">
            <v>Y</v>
          </cell>
          <cell r="P3902" t="str">
            <v>N</v>
          </cell>
          <cell r="Q3902" t="str">
            <v>Short Term Sick</v>
          </cell>
          <cell r="S3902">
            <v>0.28999999999999998</v>
          </cell>
        </row>
        <row r="3903">
          <cell r="D3903">
            <v>1208002102</v>
          </cell>
          <cell r="E3903" t="str">
            <v>LETECIA MENIANO</v>
          </cell>
          <cell r="F3903" t="str">
            <v>D (MD)</v>
          </cell>
          <cell r="G3903">
            <v>353136</v>
          </cell>
          <cell r="H3903" t="str">
            <v>Mayday</v>
          </cell>
          <cell r="I3903">
            <v>0.83333333333333337</v>
          </cell>
          <cell r="J3903">
            <v>0.33333333333333331</v>
          </cell>
          <cell r="K3903">
            <v>11.33333333</v>
          </cell>
          <cell r="L3903">
            <v>475.74</v>
          </cell>
          <cell r="O3903" t="str">
            <v>Y</v>
          </cell>
          <cell r="P3903" t="str">
            <v>N</v>
          </cell>
          <cell r="Q3903" t="str">
            <v>Extra Capacity</v>
          </cell>
          <cell r="S3903">
            <v>0.3</v>
          </cell>
        </row>
        <row r="3904">
          <cell r="D3904">
            <v>1208002178</v>
          </cell>
          <cell r="E3904" t="str">
            <v>MABEL MNISI</v>
          </cell>
          <cell r="F3904" t="str">
            <v>D (MD)</v>
          </cell>
          <cell r="G3904">
            <v>352991</v>
          </cell>
          <cell r="H3904" t="str">
            <v>Mayday</v>
          </cell>
          <cell r="I3904">
            <v>0.83333333333333337</v>
          </cell>
          <cell r="J3904">
            <v>0.33333333333333331</v>
          </cell>
          <cell r="K3904">
            <v>11.33333333</v>
          </cell>
          <cell r="L3904">
            <v>475.74</v>
          </cell>
          <cell r="O3904" t="str">
            <v>Y</v>
          </cell>
          <cell r="P3904" t="str">
            <v>N</v>
          </cell>
          <cell r="Q3904" t="str">
            <v>Extra Capacity</v>
          </cell>
          <cell r="S3904">
            <v>0.3</v>
          </cell>
        </row>
        <row r="3905">
          <cell r="D3905">
            <v>1208000833</v>
          </cell>
          <cell r="E3905" t="str">
            <v>MERCY SIBANDA</v>
          </cell>
          <cell r="F3905" t="str">
            <v>A (Ch)</v>
          </cell>
          <cell r="H3905" t="str">
            <v>Choice</v>
          </cell>
          <cell r="I3905">
            <v>0.3125</v>
          </cell>
          <cell r="J3905">
            <v>0.64583333333333337</v>
          </cell>
          <cell r="K3905">
            <v>7.6666666670000003</v>
          </cell>
          <cell r="L3905">
            <v>85.02</v>
          </cell>
          <cell r="O3905" t="str">
            <v>Y</v>
          </cell>
          <cell r="P3905" t="str">
            <v>N</v>
          </cell>
          <cell r="Q3905" t="str">
            <v>Extra Capacity</v>
          </cell>
          <cell r="S3905">
            <v>0.2</v>
          </cell>
        </row>
        <row r="3906">
          <cell r="D3906">
            <v>1208000836</v>
          </cell>
          <cell r="E3906" t="str">
            <v>MERCY SIBANDA</v>
          </cell>
          <cell r="F3906" t="str">
            <v>A (Ch)</v>
          </cell>
          <cell r="H3906" t="str">
            <v>Choice</v>
          </cell>
          <cell r="I3906">
            <v>0.64583333333333337</v>
          </cell>
          <cell r="J3906">
            <v>0.85416666666666663</v>
          </cell>
          <cell r="K3906">
            <v>5</v>
          </cell>
          <cell r="L3906">
            <v>55.45</v>
          </cell>
          <cell r="O3906" t="str">
            <v>Y</v>
          </cell>
          <cell r="P3906" t="str">
            <v>N</v>
          </cell>
          <cell r="Q3906" t="str">
            <v>Extra Capacity</v>
          </cell>
          <cell r="S3906">
            <v>0.13</v>
          </cell>
        </row>
        <row r="3907">
          <cell r="D3907">
            <v>1208002174</v>
          </cell>
          <cell r="E3907" t="str">
            <v>MICHAEL OKE</v>
          </cell>
          <cell r="F3907" t="str">
            <v>A (Ch)</v>
          </cell>
          <cell r="H3907" t="str">
            <v>Choice</v>
          </cell>
          <cell r="I3907">
            <v>0.3125</v>
          </cell>
          <cell r="J3907">
            <v>0.64583333333333337</v>
          </cell>
          <cell r="K3907">
            <v>7.6666666670000003</v>
          </cell>
          <cell r="L3907">
            <v>85.02</v>
          </cell>
          <cell r="O3907" t="str">
            <v>Y</v>
          </cell>
          <cell r="P3907" t="str">
            <v>N</v>
          </cell>
          <cell r="Q3907" t="str">
            <v>Extra Capacity</v>
          </cell>
          <cell r="S3907">
            <v>0.2</v>
          </cell>
        </row>
        <row r="3908">
          <cell r="D3908">
            <v>1208002459</v>
          </cell>
          <cell r="E3908" t="str">
            <v>MICHAEL OKE</v>
          </cell>
          <cell r="F3908" t="str">
            <v>A (Ch)</v>
          </cell>
          <cell r="H3908" t="str">
            <v>Choice</v>
          </cell>
          <cell r="I3908">
            <v>0.64583333333333337</v>
          </cell>
          <cell r="J3908">
            <v>0.85416666666666663</v>
          </cell>
          <cell r="K3908">
            <v>5</v>
          </cell>
          <cell r="L3908">
            <v>55.45</v>
          </cell>
          <cell r="O3908" t="str">
            <v>Y</v>
          </cell>
          <cell r="P3908" t="str">
            <v>N</v>
          </cell>
          <cell r="Q3908" t="str">
            <v>Extra Capacity</v>
          </cell>
          <cell r="S3908">
            <v>0.13</v>
          </cell>
        </row>
        <row r="3909">
          <cell r="D3909">
            <v>1208002106</v>
          </cell>
          <cell r="E3909" t="str">
            <v>MIRIAM MUCHDNJE</v>
          </cell>
          <cell r="F3909" t="str">
            <v>D (Amb)</v>
          </cell>
          <cell r="G3909">
            <v>772124</v>
          </cell>
          <cell r="H3909" t="str">
            <v>Ambition</v>
          </cell>
          <cell r="I3909">
            <v>0.83333333333333337</v>
          </cell>
          <cell r="J3909">
            <v>0.33333333333333331</v>
          </cell>
          <cell r="K3909">
            <v>11.33333333</v>
          </cell>
          <cell r="L3909">
            <v>576.07000000000005</v>
          </cell>
          <cell r="O3909" t="str">
            <v>Y</v>
          </cell>
          <cell r="P3909" t="str">
            <v>N</v>
          </cell>
          <cell r="Q3909" t="str">
            <v>Extra Capacity</v>
          </cell>
          <cell r="S3909">
            <v>0.3</v>
          </cell>
        </row>
        <row r="3910">
          <cell r="D3910">
            <v>1208000365</v>
          </cell>
          <cell r="E3910" t="str">
            <v>MZUKISI SPEELMAN</v>
          </cell>
          <cell r="F3910" t="str">
            <v>A (Ch)</v>
          </cell>
          <cell r="G3910">
            <v>17694</v>
          </cell>
          <cell r="H3910" t="str">
            <v>Choice</v>
          </cell>
          <cell r="I3910">
            <v>0.3125</v>
          </cell>
          <cell r="J3910">
            <v>0.5625</v>
          </cell>
          <cell r="K3910">
            <v>5.6666666670000003</v>
          </cell>
          <cell r="L3910">
            <v>62.84</v>
          </cell>
          <cell r="O3910" t="str">
            <v>Y</v>
          </cell>
          <cell r="P3910" t="str">
            <v>N</v>
          </cell>
          <cell r="Q3910" t="str">
            <v>Under Established</v>
          </cell>
          <cell r="S3910">
            <v>0.15</v>
          </cell>
        </row>
        <row r="3911">
          <cell r="D3911">
            <v>1208000824</v>
          </cell>
          <cell r="E3911" t="str">
            <v>PEGGY MAPOGO</v>
          </cell>
          <cell r="F3911" t="str">
            <v>D (Ch)</v>
          </cell>
          <cell r="H3911" t="str">
            <v>Choice</v>
          </cell>
          <cell r="I3911">
            <v>0.3125</v>
          </cell>
          <cell r="J3911">
            <v>0.64583333333333337</v>
          </cell>
          <cell r="K3911">
            <v>7.6666666670000003</v>
          </cell>
          <cell r="L3911">
            <v>186.84</v>
          </cell>
          <cell r="O3911" t="str">
            <v>Y</v>
          </cell>
          <cell r="P3911" t="str">
            <v>N</v>
          </cell>
          <cell r="Q3911" t="str">
            <v>Extra Capacity</v>
          </cell>
          <cell r="S3911">
            <v>0.2</v>
          </cell>
        </row>
        <row r="3912">
          <cell r="D3912">
            <v>1208000827</v>
          </cell>
          <cell r="E3912" t="str">
            <v>PEGGY MAPOGO</v>
          </cell>
          <cell r="F3912" t="str">
            <v>D (Ch)</v>
          </cell>
          <cell r="H3912" t="str">
            <v>Choice</v>
          </cell>
          <cell r="I3912">
            <v>0.64583333333333337</v>
          </cell>
          <cell r="J3912">
            <v>0.85416666666666663</v>
          </cell>
          <cell r="K3912">
            <v>5</v>
          </cell>
          <cell r="L3912">
            <v>121.85</v>
          </cell>
          <cell r="O3912" t="str">
            <v>Y</v>
          </cell>
          <cell r="P3912" t="str">
            <v>N</v>
          </cell>
          <cell r="Q3912" t="str">
            <v>Extra Capacity</v>
          </cell>
          <cell r="S3912">
            <v>0.13</v>
          </cell>
        </row>
        <row r="3913">
          <cell r="D3913">
            <v>1208003811</v>
          </cell>
          <cell r="E3913" t="str">
            <v>PRUDENCE MAJOZI</v>
          </cell>
          <cell r="F3913" t="str">
            <v>D (MD)</v>
          </cell>
          <cell r="G3913">
            <v>352992</v>
          </cell>
          <cell r="H3913" t="str">
            <v>Mayday</v>
          </cell>
          <cell r="I3913">
            <v>0.88541666666666663</v>
          </cell>
          <cell r="J3913">
            <v>0.3125</v>
          </cell>
          <cell r="K3913">
            <v>9.25</v>
          </cell>
          <cell r="L3913">
            <v>388.29</v>
          </cell>
          <cell r="O3913" t="str">
            <v>Y</v>
          </cell>
          <cell r="P3913" t="str">
            <v>N</v>
          </cell>
          <cell r="Q3913" t="str">
            <v>Specials</v>
          </cell>
          <cell r="S3913">
            <v>0.25</v>
          </cell>
        </row>
        <row r="3914">
          <cell r="D3914">
            <v>1208000837</v>
          </cell>
          <cell r="E3914" t="str">
            <v>RAY THWALA</v>
          </cell>
          <cell r="F3914" t="str">
            <v>A (Ch)</v>
          </cell>
          <cell r="H3914" t="str">
            <v>Choice</v>
          </cell>
          <cell r="I3914">
            <v>0.83333333333333337</v>
          </cell>
          <cell r="J3914">
            <v>0.33333333333333331</v>
          </cell>
          <cell r="K3914">
            <v>11.33333333</v>
          </cell>
          <cell r="L3914">
            <v>167.58</v>
          </cell>
          <cell r="O3914" t="str">
            <v>Y</v>
          </cell>
          <cell r="P3914" t="str">
            <v>N</v>
          </cell>
          <cell r="Q3914" t="str">
            <v>Extra Capacity</v>
          </cell>
          <cell r="S3914">
            <v>0.3</v>
          </cell>
        </row>
        <row r="3915">
          <cell r="D3915">
            <v>1208004259</v>
          </cell>
          <cell r="E3915" t="str">
            <v>RITCHIE RUBIA</v>
          </cell>
          <cell r="F3915" t="str">
            <v>D (Ch)</v>
          </cell>
          <cell r="G3915">
            <v>17697</v>
          </cell>
          <cell r="H3915" t="str">
            <v>Choice</v>
          </cell>
          <cell r="I3915">
            <v>0.82291666666666663</v>
          </cell>
          <cell r="J3915">
            <v>0.3125</v>
          </cell>
          <cell r="K3915">
            <v>11.41666667</v>
          </cell>
          <cell r="L3915">
            <v>361.69</v>
          </cell>
          <cell r="O3915" t="str">
            <v>Y</v>
          </cell>
          <cell r="P3915" t="str">
            <v>N</v>
          </cell>
          <cell r="Q3915" t="str">
            <v>Extra Capacity</v>
          </cell>
          <cell r="S3915">
            <v>0.3</v>
          </cell>
        </row>
        <row r="3916">
          <cell r="D3916">
            <v>1208004166</v>
          </cell>
          <cell r="E3916" t="str">
            <v>RUTA KAIRYTE</v>
          </cell>
          <cell r="F3916" t="str">
            <v>D (Amb)</v>
          </cell>
          <cell r="G3916">
            <v>769562</v>
          </cell>
          <cell r="H3916" t="str">
            <v>Ambition</v>
          </cell>
          <cell r="I3916">
            <v>0.625</v>
          </cell>
          <cell r="J3916">
            <v>0.84375</v>
          </cell>
          <cell r="K3916">
            <v>5.25</v>
          </cell>
          <cell r="L3916">
            <v>205.28</v>
          </cell>
          <cell r="O3916" t="str">
            <v>Y</v>
          </cell>
          <cell r="P3916" t="str">
            <v>N</v>
          </cell>
          <cell r="Q3916" t="str">
            <v>Short Term Sick</v>
          </cell>
          <cell r="S3916">
            <v>0.14000000000000001</v>
          </cell>
        </row>
        <row r="3917">
          <cell r="D3917">
            <v>1208001732</v>
          </cell>
          <cell r="E3917" t="str">
            <v>SAMSON BARACENA</v>
          </cell>
          <cell r="F3917" t="str">
            <v>D (Ch)</v>
          </cell>
          <cell r="G3917">
            <v>17776</v>
          </cell>
          <cell r="H3917" t="str">
            <v>Choice</v>
          </cell>
          <cell r="I3917">
            <v>0.83333333333333337</v>
          </cell>
          <cell r="J3917">
            <v>0.33333333333333331</v>
          </cell>
          <cell r="K3917">
            <v>11.33333333</v>
          </cell>
          <cell r="L3917">
            <v>359.05</v>
          </cell>
          <cell r="O3917" t="str">
            <v>Y</v>
          </cell>
          <cell r="P3917" t="str">
            <v>N</v>
          </cell>
          <cell r="Q3917" t="str">
            <v>Extra Capacity</v>
          </cell>
          <cell r="S3917">
            <v>0.3</v>
          </cell>
        </row>
        <row r="3918">
          <cell r="D3918">
            <v>1208002651</v>
          </cell>
          <cell r="E3918" t="str">
            <v>SARAH MAKOTORE</v>
          </cell>
          <cell r="F3918" t="str">
            <v>D (Ch)</v>
          </cell>
          <cell r="G3918">
            <v>17710</v>
          </cell>
          <cell r="H3918" t="str">
            <v>Choice</v>
          </cell>
          <cell r="I3918">
            <v>0.29166666666666669</v>
          </cell>
          <cell r="J3918">
            <v>0.625</v>
          </cell>
          <cell r="K3918">
            <v>7.6666666670000003</v>
          </cell>
          <cell r="L3918">
            <v>186.84</v>
          </cell>
          <cell r="M3918">
            <v>198.45</v>
          </cell>
          <cell r="O3918" t="str">
            <v>Y</v>
          </cell>
          <cell r="P3918" t="str">
            <v>N</v>
          </cell>
          <cell r="Q3918" t="str">
            <v>Specials</v>
          </cell>
          <cell r="S3918">
            <v>0.2</v>
          </cell>
        </row>
        <row r="3919">
          <cell r="D3919">
            <v>1208002653</v>
          </cell>
          <cell r="E3919" t="str">
            <v>SARAH MAKOTORE</v>
          </cell>
          <cell r="F3919" t="str">
            <v>D (Ch)</v>
          </cell>
          <cell r="G3919">
            <v>17710</v>
          </cell>
          <cell r="H3919" t="str">
            <v>Choice</v>
          </cell>
          <cell r="I3919">
            <v>0.625</v>
          </cell>
          <cell r="J3919">
            <v>0.88541666666666663</v>
          </cell>
          <cell r="K3919">
            <v>5.9166666670000003</v>
          </cell>
          <cell r="L3919">
            <v>144.19</v>
          </cell>
          <cell r="M3919">
            <v>198.45</v>
          </cell>
          <cell r="O3919" t="str">
            <v>Y</v>
          </cell>
          <cell r="P3919" t="str">
            <v>N</v>
          </cell>
          <cell r="Q3919" t="str">
            <v>Specials</v>
          </cell>
          <cell r="S3919">
            <v>0.16</v>
          </cell>
        </row>
        <row r="3920">
          <cell r="D3920">
            <v>1108006072</v>
          </cell>
          <cell r="E3920" t="str">
            <v>SIBONISIWE NCUBE</v>
          </cell>
          <cell r="F3920" t="str">
            <v>D (Amb)</v>
          </cell>
          <cell r="G3920">
            <v>767278</v>
          </cell>
          <cell r="H3920" t="str">
            <v>Ambition</v>
          </cell>
          <cell r="I3920">
            <v>0.3125</v>
          </cell>
          <cell r="J3920">
            <v>0.54166666666666663</v>
          </cell>
          <cell r="K3920">
            <v>5.5</v>
          </cell>
          <cell r="L3920">
            <v>215.05</v>
          </cell>
          <cell r="O3920" t="str">
            <v>Y</v>
          </cell>
          <cell r="P3920" t="str">
            <v>N</v>
          </cell>
          <cell r="Q3920" t="str">
            <v>Short Term Sick</v>
          </cell>
          <cell r="S3920">
            <v>0.15</v>
          </cell>
        </row>
        <row r="3921">
          <cell r="D3921">
            <v>1208002175</v>
          </cell>
          <cell r="E3921" t="str">
            <v>SIBONISIWE NCUBE</v>
          </cell>
          <cell r="F3921" t="str">
            <v>D (Amb)</v>
          </cell>
          <cell r="G3921">
            <v>767284</v>
          </cell>
          <cell r="H3921" t="str">
            <v>Ambition</v>
          </cell>
          <cell r="I3921">
            <v>0.64583333333333337</v>
          </cell>
          <cell r="J3921">
            <v>0.85416666666666663</v>
          </cell>
          <cell r="K3921">
            <v>5</v>
          </cell>
          <cell r="L3921">
            <v>195.5</v>
          </cell>
          <cell r="O3921" t="str">
            <v>Y</v>
          </cell>
          <cell r="P3921" t="str">
            <v>N</v>
          </cell>
          <cell r="Q3921" t="str">
            <v>Extra Capacity</v>
          </cell>
          <cell r="S3921">
            <v>0.13</v>
          </cell>
        </row>
        <row r="3922">
          <cell r="D3922">
            <v>1208003807</v>
          </cell>
          <cell r="E3922" t="str">
            <v>TEMBE NGIDI</v>
          </cell>
          <cell r="F3922" t="str">
            <v>D (MD)</v>
          </cell>
          <cell r="G3922">
            <v>353536</v>
          </cell>
          <cell r="H3922" t="str">
            <v>Mayday</v>
          </cell>
          <cell r="I3922">
            <v>0.88541666666666663</v>
          </cell>
          <cell r="J3922">
            <v>0.3125</v>
          </cell>
          <cell r="K3922">
            <v>9.25</v>
          </cell>
          <cell r="L3922">
            <v>388.29</v>
          </cell>
          <cell r="O3922" t="str">
            <v>Y</v>
          </cell>
          <cell r="P3922" t="str">
            <v>N</v>
          </cell>
          <cell r="Q3922" t="str">
            <v>Annual Leave</v>
          </cell>
          <cell r="S3922">
            <v>0.25</v>
          </cell>
        </row>
        <row r="3923">
          <cell r="D3923">
            <v>1108004652</v>
          </cell>
          <cell r="E3923" t="str">
            <v>TRUST CHIWUNDURA</v>
          </cell>
          <cell r="F3923" t="str">
            <v>A (Ch)</v>
          </cell>
          <cell r="G3923">
            <v>17704</v>
          </cell>
          <cell r="H3923" t="str">
            <v>Choice</v>
          </cell>
          <cell r="I3923">
            <v>0.83333333333333337</v>
          </cell>
          <cell r="J3923">
            <v>0.33333333333333331</v>
          </cell>
          <cell r="K3923">
            <v>11.33333333</v>
          </cell>
          <cell r="L3923">
            <v>167.58</v>
          </cell>
          <cell r="O3923" t="str">
            <v>Y</v>
          </cell>
          <cell r="P3923" t="str">
            <v>N</v>
          </cell>
          <cell r="Q3923" t="str">
            <v>Vacancy</v>
          </cell>
          <cell r="S3923">
            <v>0.3</v>
          </cell>
        </row>
        <row r="3924">
          <cell r="D3924">
            <v>1208002176</v>
          </cell>
          <cell r="E3924" t="str">
            <v>VANESSA GOULD</v>
          </cell>
          <cell r="F3924" t="str">
            <v>A /2 General (M</v>
          </cell>
          <cell r="G3924" t="str">
            <v>604-162581</v>
          </cell>
          <cell r="H3924" t="str">
            <v>Medacs</v>
          </cell>
          <cell r="I3924">
            <v>0.64583333333333337</v>
          </cell>
          <cell r="J3924">
            <v>0.85416666666666663</v>
          </cell>
          <cell r="K3924">
            <v>5</v>
          </cell>
          <cell r="L3924">
            <v>48.75</v>
          </cell>
          <cell r="O3924" t="str">
            <v>Y</v>
          </cell>
          <cell r="P3924" t="str">
            <v>N</v>
          </cell>
          <cell r="Q3924" t="str">
            <v>Extra Capacity</v>
          </cell>
          <cell r="S3924">
            <v>0.13</v>
          </cell>
        </row>
        <row r="3925">
          <cell r="D3925">
            <v>1208003849</v>
          </cell>
          <cell r="E3925" t="str">
            <v>VICTORIA MAESTRANI</v>
          </cell>
          <cell r="F3925" t="str">
            <v>D (MD)</v>
          </cell>
          <cell r="G3925">
            <v>353511</v>
          </cell>
          <cell r="H3925" t="str">
            <v>Mayday</v>
          </cell>
          <cell r="I3925">
            <v>0.3125</v>
          </cell>
          <cell r="J3925">
            <v>0.85416666666666663</v>
          </cell>
          <cell r="K3925">
            <v>12.33333333</v>
          </cell>
          <cell r="L3925">
            <v>398.24</v>
          </cell>
          <cell r="O3925" t="str">
            <v>Y</v>
          </cell>
          <cell r="P3925" t="str">
            <v>N</v>
          </cell>
          <cell r="Q3925" t="str">
            <v>Short Term Sick</v>
          </cell>
          <cell r="S3925">
            <v>0.33</v>
          </cell>
        </row>
        <row r="3926">
          <cell r="D3926">
            <v>1208002045</v>
          </cell>
          <cell r="E3926" t="str">
            <v>ALLI SUBRAMANIAM</v>
          </cell>
          <cell r="F3926" t="str">
            <v>D (MD)</v>
          </cell>
          <cell r="G3926">
            <v>355586</v>
          </cell>
          <cell r="H3926" t="str">
            <v>Mayday</v>
          </cell>
          <cell r="I3926">
            <v>0.3125</v>
          </cell>
          <cell r="J3926">
            <v>0.625</v>
          </cell>
          <cell r="K3926">
            <v>7.1666666670000003</v>
          </cell>
          <cell r="L3926">
            <v>231.41</v>
          </cell>
          <cell r="O3926" t="str">
            <v>Y</v>
          </cell>
          <cell r="P3926" t="str">
            <v>N</v>
          </cell>
          <cell r="Q3926" t="str">
            <v>Extra Capacity</v>
          </cell>
          <cell r="S3926">
            <v>0.19</v>
          </cell>
        </row>
        <row r="3927">
          <cell r="D3927">
            <v>1208002077</v>
          </cell>
          <cell r="E3927" t="str">
            <v>ALLI SUBRAMANIAM</v>
          </cell>
          <cell r="F3927" t="str">
            <v>D (MD)</v>
          </cell>
          <cell r="G3927">
            <v>355586</v>
          </cell>
          <cell r="H3927" t="str">
            <v>Mayday</v>
          </cell>
          <cell r="I3927">
            <v>0.625</v>
          </cell>
          <cell r="J3927">
            <v>0.85416666666666663</v>
          </cell>
          <cell r="K3927">
            <v>5.5</v>
          </cell>
          <cell r="L3927">
            <v>177.59</v>
          </cell>
          <cell r="O3927" t="str">
            <v>Y</v>
          </cell>
          <cell r="P3927" t="str">
            <v>N</v>
          </cell>
          <cell r="Q3927" t="str">
            <v>Extra Capacity</v>
          </cell>
          <cell r="S3927">
            <v>0.15</v>
          </cell>
        </row>
        <row r="3928">
          <cell r="D3928">
            <v>1208004482</v>
          </cell>
          <cell r="E3928" t="str">
            <v>ANTHONY OGOEGBUNAN</v>
          </cell>
          <cell r="F3928" t="str">
            <v>D (MD)</v>
          </cell>
          <cell r="G3928">
            <v>355224</v>
          </cell>
          <cell r="H3928" t="str">
            <v>Mayday</v>
          </cell>
          <cell r="I3928">
            <v>0.8125</v>
          </cell>
          <cell r="J3928">
            <v>0.33333333333333331</v>
          </cell>
          <cell r="K3928">
            <v>11.83333333</v>
          </cell>
          <cell r="L3928">
            <v>496.73</v>
          </cell>
          <cell r="O3928" t="str">
            <v>Y</v>
          </cell>
          <cell r="P3928" t="str">
            <v>N</v>
          </cell>
          <cell r="Q3928" t="str">
            <v>Short Term Sick</v>
          </cell>
          <cell r="S3928">
            <v>0.32</v>
          </cell>
        </row>
        <row r="3929">
          <cell r="D3929">
            <v>1208004014</v>
          </cell>
          <cell r="E3929" t="str">
            <v>ATINUKE OKE-OLATUNDE</v>
          </cell>
          <cell r="F3929" t="str">
            <v>D (MD)</v>
          </cell>
          <cell r="G3929">
            <v>354378</v>
          </cell>
          <cell r="H3929" t="str">
            <v>Mayday</v>
          </cell>
          <cell r="I3929">
            <v>0.84375</v>
          </cell>
          <cell r="J3929">
            <v>0.3125</v>
          </cell>
          <cell r="K3929">
            <v>10.25</v>
          </cell>
          <cell r="L3929">
            <v>430.26</v>
          </cell>
          <cell r="O3929" t="str">
            <v>Y</v>
          </cell>
          <cell r="P3929" t="str">
            <v>N</v>
          </cell>
          <cell r="Q3929" t="str">
            <v>Extra Capacity</v>
          </cell>
          <cell r="S3929">
            <v>0.27</v>
          </cell>
        </row>
        <row r="3930">
          <cell r="D3930">
            <v>1208000839</v>
          </cell>
          <cell r="E3930" t="str">
            <v>BERNADETTE SHINYA-NDUNUWANI</v>
          </cell>
          <cell r="F3930" t="str">
            <v>D (MD)</v>
          </cell>
          <cell r="G3930">
            <v>352480</v>
          </cell>
          <cell r="H3930" t="str">
            <v>Mayday</v>
          </cell>
          <cell r="I3930">
            <v>0.3125</v>
          </cell>
          <cell r="J3930">
            <v>0.64583333333333337</v>
          </cell>
          <cell r="K3930">
            <v>7.6666666670000003</v>
          </cell>
          <cell r="L3930">
            <v>247.56</v>
          </cell>
          <cell r="O3930" t="str">
            <v>Y</v>
          </cell>
          <cell r="P3930" t="str">
            <v>N</v>
          </cell>
          <cell r="Q3930" t="str">
            <v>Extra Capacity</v>
          </cell>
          <cell r="S3930">
            <v>0.2</v>
          </cell>
        </row>
        <row r="3931">
          <cell r="D3931">
            <v>1208000842</v>
          </cell>
          <cell r="E3931" t="str">
            <v>BERNADETTE SHINYA-NDUNUWANI</v>
          </cell>
          <cell r="F3931" t="str">
            <v>D (MD)</v>
          </cell>
          <cell r="G3931">
            <v>352480</v>
          </cell>
          <cell r="H3931" t="str">
            <v>Mayday</v>
          </cell>
          <cell r="I3931">
            <v>0.64583333333333337</v>
          </cell>
          <cell r="J3931">
            <v>0.85416666666666663</v>
          </cell>
          <cell r="K3931">
            <v>5</v>
          </cell>
          <cell r="L3931">
            <v>161.44999999999999</v>
          </cell>
          <cell r="O3931" t="str">
            <v>Y</v>
          </cell>
          <cell r="P3931" t="str">
            <v>N</v>
          </cell>
          <cell r="Q3931" t="str">
            <v>Extra Capacity</v>
          </cell>
          <cell r="S3931">
            <v>0.13</v>
          </cell>
        </row>
        <row r="3932">
          <cell r="D3932">
            <v>1208003684</v>
          </cell>
          <cell r="E3932" t="str">
            <v>BRENDA GWEKWERERE</v>
          </cell>
          <cell r="F3932" t="str">
            <v>D (Ch)</v>
          </cell>
          <cell r="G3932">
            <v>17707</v>
          </cell>
          <cell r="H3932" t="str">
            <v>Choice</v>
          </cell>
          <cell r="I3932">
            <v>0.8125</v>
          </cell>
          <cell r="J3932">
            <v>0.33333333333333331</v>
          </cell>
          <cell r="K3932">
            <v>11.83333333</v>
          </cell>
          <cell r="L3932">
            <v>374.89</v>
          </cell>
          <cell r="O3932" t="str">
            <v>Y</v>
          </cell>
          <cell r="P3932" t="str">
            <v>N</v>
          </cell>
          <cell r="Q3932" t="str">
            <v>Extra Capacity</v>
          </cell>
          <cell r="S3932">
            <v>0.32</v>
          </cell>
        </row>
        <row r="3933">
          <cell r="D3933">
            <v>1208004496</v>
          </cell>
          <cell r="E3933" t="str">
            <v>BRIGHTNESS NDEBELE</v>
          </cell>
          <cell r="F3933" t="str">
            <v>D (MD)</v>
          </cell>
          <cell r="G3933">
            <v>353508</v>
          </cell>
          <cell r="H3933" t="str">
            <v>Mayday</v>
          </cell>
          <cell r="I3933">
            <v>0.88541666666666663</v>
          </cell>
          <cell r="J3933">
            <v>0.3125</v>
          </cell>
          <cell r="K3933">
            <v>9.25</v>
          </cell>
          <cell r="L3933">
            <v>388.29</v>
          </cell>
          <cell r="O3933" t="str">
            <v>Y</v>
          </cell>
          <cell r="P3933" t="str">
            <v>N</v>
          </cell>
          <cell r="Q3933" t="str">
            <v>Vacancy</v>
          </cell>
          <cell r="S3933">
            <v>0.25</v>
          </cell>
        </row>
        <row r="3934">
          <cell r="D3934">
            <v>1208003191</v>
          </cell>
          <cell r="E3934" t="str">
            <v>CHARLES MARARIRAKWENDA</v>
          </cell>
          <cell r="F3934" t="str">
            <v>A (Ch)</v>
          </cell>
          <cell r="H3934" t="str">
            <v>Choice</v>
          </cell>
          <cell r="I3934">
            <v>0.32291666666666669</v>
          </cell>
          <cell r="J3934">
            <v>0.54166666666666663</v>
          </cell>
          <cell r="K3934">
            <v>5.25</v>
          </cell>
          <cell r="L3934">
            <v>58.22</v>
          </cell>
          <cell r="O3934" t="str">
            <v>Y</v>
          </cell>
          <cell r="P3934" t="str">
            <v>N</v>
          </cell>
          <cell r="Q3934" t="str">
            <v>Extra Capacity</v>
          </cell>
          <cell r="S3934">
            <v>0.14000000000000001</v>
          </cell>
        </row>
        <row r="3935">
          <cell r="D3935">
            <v>1208003192</v>
          </cell>
          <cell r="E3935" t="str">
            <v>CHARLES MARARIRAKWENDA</v>
          </cell>
          <cell r="F3935" t="str">
            <v>A (Ch)</v>
          </cell>
          <cell r="H3935" t="str">
            <v>Choice</v>
          </cell>
          <cell r="I3935">
            <v>0.63541666666666663</v>
          </cell>
          <cell r="J3935">
            <v>0.85416666666666663</v>
          </cell>
          <cell r="K3935">
            <v>5.25</v>
          </cell>
          <cell r="L3935">
            <v>58.22</v>
          </cell>
          <cell r="O3935" t="str">
            <v>Y</v>
          </cell>
          <cell r="P3935" t="str">
            <v>N</v>
          </cell>
          <cell r="Q3935" t="str">
            <v>Extra Capacity</v>
          </cell>
          <cell r="S3935">
            <v>0.14000000000000001</v>
          </cell>
        </row>
        <row r="3936">
          <cell r="D3936">
            <v>1108005005</v>
          </cell>
          <cell r="E3936" t="str">
            <v>CHRIS STULAR</v>
          </cell>
          <cell r="F3936" t="str">
            <v>D General (Orio</v>
          </cell>
          <cell r="G3936" t="str">
            <v>Invsd Smt checked</v>
          </cell>
          <cell r="H3936" t="str">
            <v>Orion</v>
          </cell>
          <cell r="I3936">
            <v>0.33333333333333331</v>
          </cell>
          <cell r="J3936">
            <v>0.75</v>
          </cell>
          <cell r="K3936">
            <v>9.5</v>
          </cell>
          <cell r="L3936">
            <v>172.14</v>
          </cell>
          <cell r="O3936" t="str">
            <v>Y</v>
          </cell>
          <cell r="P3936" t="str">
            <v>N</v>
          </cell>
          <cell r="Q3936" t="str">
            <v>Backfill</v>
          </cell>
          <cell r="S3936">
            <v>0.25</v>
          </cell>
        </row>
        <row r="3937">
          <cell r="D3937">
            <v>1208001705</v>
          </cell>
          <cell r="E3937" t="str">
            <v>COLLEN SIBANDA</v>
          </cell>
          <cell r="F3937" t="str">
            <v>D (Ch)</v>
          </cell>
          <cell r="G3937">
            <v>17699</v>
          </cell>
          <cell r="H3937" t="str">
            <v>Choice</v>
          </cell>
          <cell r="I3937">
            <v>0.3125</v>
          </cell>
          <cell r="J3937">
            <v>0.60416666666666663</v>
          </cell>
          <cell r="K3937">
            <v>6.6666666670000003</v>
          </cell>
          <cell r="L3937">
            <v>162.47</v>
          </cell>
          <cell r="O3937" t="str">
            <v>Y</v>
          </cell>
          <cell r="P3937" t="str">
            <v>N</v>
          </cell>
          <cell r="Q3937" t="str">
            <v>Extra Capacity</v>
          </cell>
          <cell r="S3937">
            <v>0.18</v>
          </cell>
        </row>
        <row r="3938">
          <cell r="D3938">
            <v>1208001719</v>
          </cell>
          <cell r="E3938" t="str">
            <v>COLLEN SIBANDA</v>
          </cell>
          <cell r="F3938" t="str">
            <v>D (Ch)</v>
          </cell>
          <cell r="G3938">
            <v>17699</v>
          </cell>
          <cell r="H3938" t="str">
            <v>Choice</v>
          </cell>
          <cell r="I3938">
            <v>0.60416666666666663</v>
          </cell>
          <cell r="J3938">
            <v>0.85416666666666663</v>
          </cell>
          <cell r="K3938">
            <v>5.6666666670000003</v>
          </cell>
          <cell r="L3938">
            <v>138.1</v>
          </cell>
          <cell r="O3938" t="str">
            <v>Y</v>
          </cell>
          <cell r="P3938" t="str">
            <v>N</v>
          </cell>
          <cell r="Q3938" t="str">
            <v>Extra Capacity</v>
          </cell>
          <cell r="S3938">
            <v>0.15</v>
          </cell>
        </row>
        <row r="3939">
          <cell r="D3939">
            <v>1208000352</v>
          </cell>
          <cell r="E3939" t="str">
            <v>CYNTHIA DELMO</v>
          </cell>
          <cell r="F3939" t="str">
            <v>D (Ch)</v>
          </cell>
          <cell r="G3939">
            <v>17702</v>
          </cell>
          <cell r="H3939" t="str">
            <v>Choice</v>
          </cell>
          <cell r="I3939">
            <v>0.83333333333333337</v>
          </cell>
          <cell r="J3939">
            <v>0.33333333333333331</v>
          </cell>
          <cell r="K3939">
            <v>11</v>
          </cell>
          <cell r="L3939">
            <v>348.49</v>
          </cell>
          <cell r="O3939" t="str">
            <v>Y</v>
          </cell>
          <cell r="P3939" t="str">
            <v>N</v>
          </cell>
          <cell r="Q3939" t="str">
            <v>Extra Capacity</v>
          </cell>
          <cell r="S3939">
            <v>0.28999999999999998</v>
          </cell>
        </row>
        <row r="3940">
          <cell r="D3940">
            <v>1208000367</v>
          </cell>
          <cell r="E3940" t="str">
            <v>DAMILOLA AIKI</v>
          </cell>
          <cell r="F3940" t="str">
            <v>A (Ch)</v>
          </cell>
          <cell r="H3940" t="str">
            <v>Choice</v>
          </cell>
          <cell r="I3940">
            <v>0.3125</v>
          </cell>
          <cell r="J3940">
            <v>0.5625</v>
          </cell>
          <cell r="K3940">
            <v>5.6666666670000003</v>
          </cell>
          <cell r="L3940">
            <v>62.84</v>
          </cell>
          <cell r="O3940" t="str">
            <v>Y</v>
          </cell>
          <cell r="P3940" t="str">
            <v>N</v>
          </cell>
          <cell r="Q3940" t="str">
            <v>Annual Leave</v>
          </cell>
          <cell r="S3940">
            <v>0.15</v>
          </cell>
        </row>
        <row r="3941">
          <cell r="D3941">
            <v>1208003194</v>
          </cell>
          <cell r="E3941" t="str">
            <v>DAMILOLA AIKI</v>
          </cell>
          <cell r="F3941" t="str">
            <v>A (Ch)</v>
          </cell>
          <cell r="H3941" t="str">
            <v>Choice</v>
          </cell>
          <cell r="I3941">
            <v>0.63541666666666663</v>
          </cell>
          <cell r="J3941">
            <v>0.85416666666666663</v>
          </cell>
          <cell r="K3941">
            <v>5.25</v>
          </cell>
          <cell r="L3941">
            <v>58.22</v>
          </cell>
          <cell r="O3941" t="str">
            <v>Y</v>
          </cell>
          <cell r="P3941" t="str">
            <v>N</v>
          </cell>
          <cell r="Q3941" t="str">
            <v>Extra Capacity</v>
          </cell>
          <cell r="S3941">
            <v>0.14000000000000001</v>
          </cell>
        </row>
        <row r="3942">
          <cell r="D3942">
            <v>1208002660</v>
          </cell>
          <cell r="E3942" t="str">
            <v>DENNIS DVENGE</v>
          </cell>
          <cell r="F3942" t="str">
            <v>D (Ch)</v>
          </cell>
          <cell r="G3942">
            <v>17710</v>
          </cell>
          <cell r="H3942" t="str">
            <v>Choice</v>
          </cell>
          <cell r="I3942">
            <v>0.88541666666666663</v>
          </cell>
          <cell r="J3942">
            <v>0.3125</v>
          </cell>
          <cell r="K3942">
            <v>9.25</v>
          </cell>
          <cell r="L3942">
            <v>293.05</v>
          </cell>
          <cell r="M3942">
            <v>317.92</v>
          </cell>
          <cell r="O3942" t="str">
            <v>Y</v>
          </cell>
          <cell r="P3942" t="str">
            <v>N</v>
          </cell>
          <cell r="Q3942" t="str">
            <v>Specials</v>
          </cell>
          <cell r="S3942">
            <v>0.25</v>
          </cell>
        </row>
        <row r="3943">
          <cell r="D3943">
            <v>1208001733</v>
          </cell>
          <cell r="E3943" t="str">
            <v>EDMA ITALIA</v>
          </cell>
          <cell r="F3943" t="str">
            <v>D (Ch)</v>
          </cell>
          <cell r="G3943">
            <v>17699</v>
          </cell>
          <cell r="H3943" t="str">
            <v>Choice</v>
          </cell>
          <cell r="I3943">
            <v>0.83333333333333337</v>
          </cell>
          <cell r="J3943">
            <v>0.33333333333333331</v>
          </cell>
          <cell r="K3943">
            <v>11.33333333</v>
          </cell>
          <cell r="L3943">
            <v>359.05</v>
          </cell>
          <cell r="O3943" t="str">
            <v>Y</v>
          </cell>
          <cell r="P3943" t="str">
            <v>N</v>
          </cell>
          <cell r="Q3943" t="str">
            <v>Extra Capacity</v>
          </cell>
          <cell r="S3943">
            <v>0.3</v>
          </cell>
        </row>
        <row r="3944">
          <cell r="D3944">
            <v>1208000841</v>
          </cell>
          <cell r="E3944" t="str">
            <v>FLORENCE DLAMINI</v>
          </cell>
          <cell r="F3944" t="str">
            <v>D (MD)</v>
          </cell>
          <cell r="G3944">
            <v>353518</v>
          </cell>
          <cell r="H3944" t="str">
            <v>Mayday</v>
          </cell>
          <cell r="I3944">
            <v>0.3125</v>
          </cell>
          <cell r="J3944">
            <v>0.64583333333333337</v>
          </cell>
          <cell r="K3944">
            <v>7.6666666670000003</v>
          </cell>
          <cell r="L3944">
            <v>247.56</v>
          </cell>
          <cell r="O3944" t="str">
            <v>Y</v>
          </cell>
          <cell r="P3944" t="str">
            <v>N</v>
          </cell>
          <cell r="Q3944" t="str">
            <v>Extra Capacity</v>
          </cell>
          <cell r="S3944">
            <v>0.2</v>
          </cell>
        </row>
        <row r="3945">
          <cell r="D3945">
            <v>1208002186</v>
          </cell>
          <cell r="E3945" t="str">
            <v>FLORENCE DLAMINI</v>
          </cell>
          <cell r="F3945" t="str">
            <v>D (MD)</v>
          </cell>
          <cell r="G3945">
            <v>353518</v>
          </cell>
          <cell r="H3945" t="str">
            <v>Mayday</v>
          </cell>
          <cell r="I3945">
            <v>0.64583333333333337</v>
          </cell>
          <cell r="J3945">
            <v>0.85416666666666663</v>
          </cell>
          <cell r="K3945">
            <v>5</v>
          </cell>
          <cell r="L3945">
            <v>161.44999999999999</v>
          </cell>
          <cell r="O3945" t="str">
            <v>Y</v>
          </cell>
          <cell r="P3945" t="str">
            <v>N</v>
          </cell>
          <cell r="Q3945" t="str">
            <v>Extra Capacity</v>
          </cell>
          <cell r="S3945">
            <v>0.13</v>
          </cell>
        </row>
        <row r="3946">
          <cell r="D3946">
            <v>1208000848</v>
          </cell>
          <cell r="E3946" t="str">
            <v>FURTHERMORE MUTSINZE</v>
          </cell>
          <cell r="F3946" t="str">
            <v>A (Ch)</v>
          </cell>
          <cell r="H3946" t="str">
            <v>Choice</v>
          </cell>
          <cell r="I3946">
            <v>0.3125</v>
          </cell>
          <cell r="J3946">
            <v>0.64583333333333337</v>
          </cell>
          <cell r="K3946">
            <v>7.6666666670000003</v>
          </cell>
          <cell r="L3946">
            <v>85.02</v>
          </cell>
          <cell r="O3946" t="str">
            <v>Y</v>
          </cell>
          <cell r="P3946" t="str">
            <v>N</v>
          </cell>
          <cell r="Q3946" t="str">
            <v>Extra Capacity</v>
          </cell>
          <cell r="S3946">
            <v>0.2</v>
          </cell>
        </row>
        <row r="3947">
          <cell r="D3947">
            <v>1208000850</v>
          </cell>
          <cell r="E3947" t="str">
            <v>FURTHERMORE MUTSINZE</v>
          </cell>
          <cell r="F3947" t="str">
            <v>A (Ch)</v>
          </cell>
          <cell r="G3947">
            <v>17708</v>
          </cell>
          <cell r="H3947" t="str">
            <v>Choice</v>
          </cell>
          <cell r="I3947">
            <v>0.64583333333333337</v>
          </cell>
          <cell r="J3947">
            <v>0.85416666666666663</v>
          </cell>
          <cell r="K3947">
            <v>5</v>
          </cell>
          <cell r="L3947">
            <v>55.45</v>
          </cell>
          <cell r="O3947" t="str">
            <v>Y</v>
          </cell>
          <cell r="P3947" t="str">
            <v>N</v>
          </cell>
          <cell r="Q3947" t="str">
            <v>Extra Capacity</v>
          </cell>
          <cell r="S3947">
            <v>0.13</v>
          </cell>
        </row>
        <row r="3948">
          <cell r="D3948">
            <v>1208004654</v>
          </cell>
          <cell r="E3948" t="str">
            <v>GARY WILSON</v>
          </cell>
          <cell r="F3948" t="str">
            <v>D (MD)</v>
          </cell>
          <cell r="H3948" t="str">
            <v>Mayday</v>
          </cell>
          <cell r="I3948">
            <v>0.52083333333333337</v>
          </cell>
          <cell r="J3948">
            <v>0.85416666666666663</v>
          </cell>
          <cell r="K3948">
            <v>7.6666666670000003</v>
          </cell>
          <cell r="L3948">
            <v>247.56</v>
          </cell>
          <cell r="O3948" t="str">
            <v>Y</v>
          </cell>
          <cell r="P3948" t="str">
            <v>N</v>
          </cell>
          <cell r="Q3948" t="str">
            <v>Vacancy</v>
          </cell>
          <cell r="S3948">
            <v>0.2</v>
          </cell>
        </row>
        <row r="3949">
          <cell r="D3949">
            <v>1108003089</v>
          </cell>
          <cell r="E3949" t="str">
            <v>GEORGE MALETE</v>
          </cell>
          <cell r="F3949" t="str">
            <v>A (Ch)</v>
          </cell>
          <cell r="G3949">
            <v>17853</v>
          </cell>
          <cell r="H3949" t="str">
            <v>Choice</v>
          </cell>
          <cell r="I3949">
            <v>0.3125</v>
          </cell>
          <cell r="J3949">
            <v>0.5625</v>
          </cell>
          <cell r="K3949">
            <v>5.6666666670000003</v>
          </cell>
          <cell r="L3949">
            <v>62.84</v>
          </cell>
          <cell r="O3949" t="str">
            <v>Y</v>
          </cell>
          <cell r="P3949" t="str">
            <v>N</v>
          </cell>
          <cell r="Q3949" t="str">
            <v>Under Established</v>
          </cell>
          <cell r="S3949">
            <v>0.15</v>
          </cell>
        </row>
        <row r="3950">
          <cell r="D3950">
            <v>1208002769</v>
          </cell>
          <cell r="E3950" t="str">
            <v>GEORGE MALETE</v>
          </cell>
          <cell r="F3950" t="str">
            <v>A (Ch)</v>
          </cell>
          <cell r="G3950">
            <v>17853</v>
          </cell>
          <cell r="H3950" t="str">
            <v>Choice</v>
          </cell>
          <cell r="I3950">
            <v>0.5625</v>
          </cell>
          <cell r="J3950">
            <v>0.85416666666666663</v>
          </cell>
          <cell r="K3950">
            <v>6.6666666670000003</v>
          </cell>
          <cell r="L3950">
            <v>73.930000000000007</v>
          </cell>
          <cell r="O3950" t="str">
            <v>Y</v>
          </cell>
          <cell r="P3950" t="str">
            <v>N</v>
          </cell>
          <cell r="Q3950" t="str">
            <v>Extra Capacity</v>
          </cell>
          <cell r="S3950">
            <v>0.18</v>
          </cell>
        </row>
        <row r="3951">
          <cell r="D3951">
            <v>1208003190</v>
          </cell>
          <cell r="E3951" t="str">
            <v>GLENDA RONA</v>
          </cell>
          <cell r="F3951" t="str">
            <v>D (Ch)</v>
          </cell>
          <cell r="G3951">
            <v>17707</v>
          </cell>
          <cell r="H3951" t="str">
            <v>Choice</v>
          </cell>
          <cell r="I3951">
            <v>0.82291666666666663</v>
          </cell>
          <cell r="J3951">
            <v>0.34375</v>
          </cell>
          <cell r="K3951">
            <v>11.5</v>
          </cell>
          <cell r="L3951">
            <v>364.33</v>
          </cell>
          <cell r="O3951" t="str">
            <v>Y</v>
          </cell>
          <cell r="P3951" t="str">
            <v>N</v>
          </cell>
          <cell r="Q3951" t="str">
            <v>Extra Capacity</v>
          </cell>
          <cell r="S3951">
            <v>0.31</v>
          </cell>
        </row>
        <row r="3952">
          <cell r="D3952">
            <v>1208002502</v>
          </cell>
          <cell r="E3952" t="str">
            <v>JAKE BROOKES</v>
          </cell>
          <cell r="F3952" t="str">
            <v>D General (Orio</v>
          </cell>
          <cell r="G3952" t="str">
            <v>Invsd Smt checked</v>
          </cell>
          <cell r="H3952" t="str">
            <v>Orion</v>
          </cell>
          <cell r="I3952">
            <v>0.33333333333333331</v>
          </cell>
          <cell r="J3952">
            <v>0.75</v>
          </cell>
          <cell r="K3952">
            <v>9.6666666669999994</v>
          </cell>
          <cell r="L3952">
            <v>175.16</v>
          </cell>
          <cell r="O3952" t="str">
            <v>Y</v>
          </cell>
          <cell r="P3952" t="str">
            <v>N</v>
          </cell>
          <cell r="Q3952" t="str">
            <v>Long Term Sick</v>
          </cell>
          <cell r="S3952">
            <v>0.26</v>
          </cell>
        </row>
        <row r="3953">
          <cell r="D3953">
            <v>1208001706</v>
          </cell>
          <cell r="E3953" t="str">
            <v>JAMES MCCLEMENTS</v>
          </cell>
          <cell r="F3953" t="str">
            <v>D (MD)</v>
          </cell>
          <cell r="G3953">
            <v>353024</v>
          </cell>
          <cell r="H3953" t="str">
            <v>Mayday</v>
          </cell>
          <cell r="I3953">
            <v>0.3125</v>
          </cell>
          <cell r="J3953">
            <v>0.60416666666666663</v>
          </cell>
          <cell r="K3953">
            <v>6.6666666670000003</v>
          </cell>
          <cell r="L3953">
            <v>215.27</v>
          </cell>
          <cell r="O3953" t="str">
            <v>Y</v>
          </cell>
          <cell r="P3953" t="str">
            <v>N</v>
          </cell>
          <cell r="Q3953" t="str">
            <v>Extra Capacity</v>
          </cell>
          <cell r="S3953">
            <v>0.18</v>
          </cell>
        </row>
        <row r="3954">
          <cell r="D3954">
            <v>1208001720</v>
          </cell>
          <cell r="E3954" t="str">
            <v>JAMES MCCLEMENTS</v>
          </cell>
          <cell r="F3954" t="str">
            <v>D (MD)</v>
          </cell>
          <cell r="G3954">
            <v>353024</v>
          </cell>
          <cell r="H3954" t="str">
            <v>Mayday</v>
          </cell>
          <cell r="I3954">
            <v>0.60416666666666663</v>
          </cell>
          <cell r="J3954">
            <v>0.85416666666666663</v>
          </cell>
          <cell r="K3954">
            <v>5.6666666670000003</v>
          </cell>
          <cell r="L3954">
            <v>182.98</v>
          </cell>
          <cell r="O3954" t="str">
            <v>Y</v>
          </cell>
          <cell r="P3954" t="str">
            <v>N</v>
          </cell>
          <cell r="Q3954" t="str">
            <v>Extra Capacity</v>
          </cell>
          <cell r="S3954">
            <v>0.15</v>
          </cell>
        </row>
        <row r="3955">
          <cell r="D3955">
            <v>1208001734</v>
          </cell>
          <cell r="E3955" t="str">
            <v>JASMINE ESGUERRA</v>
          </cell>
          <cell r="F3955" t="str">
            <v>D (Ch)</v>
          </cell>
          <cell r="H3955" t="str">
            <v>Choice</v>
          </cell>
          <cell r="I3955">
            <v>0.83333333333333337</v>
          </cell>
          <cell r="J3955">
            <v>0.33333333333333331</v>
          </cell>
          <cell r="K3955">
            <v>11.33333333</v>
          </cell>
          <cell r="L3955">
            <v>359.05</v>
          </cell>
          <cell r="O3955" t="str">
            <v>Y</v>
          </cell>
          <cell r="P3955" t="str">
            <v>N</v>
          </cell>
          <cell r="Q3955" t="str">
            <v>Extra Capacity</v>
          </cell>
          <cell r="S3955">
            <v>0.3</v>
          </cell>
        </row>
        <row r="3956">
          <cell r="D3956">
            <v>1208001133</v>
          </cell>
          <cell r="E3956" t="str">
            <v>JOSEPHINE MOLLOY</v>
          </cell>
          <cell r="F3956" t="str">
            <v>D (Amb)</v>
          </cell>
          <cell r="G3956">
            <v>769650</v>
          </cell>
          <cell r="H3956" t="str">
            <v>Ambition</v>
          </cell>
          <cell r="I3956">
            <v>0.8125</v>
          </cell>
          <cell r="J3956">
            <v>0.33333333333333331</v>
          </cell>
          <cell r="K3956">
            <v>11.83333333</v>
          </cell>
          <cell r="L3956">
            <v>601.49</v>
          </cell>
          <cell r="O3956" t="str">
            <v>Y</v>
          </cell>
          <cell r="P3956" t="str">
            <v>N</v>
          </cell>
          <cell r="Q3956" t="str">
            <v>Vacancy</v>
          </cell>
          <cell r="S3956">
            <v>0.32</v>
          </cell>
        </row>
        <row r="3957">
          <cell r="D3957">
            <v>1208002107</v>
          </cell>
          <cell r="E3957" t="str">
            <v>LETECIA MENIANO</v>
          </cell>
          <cell r="F3957" t="str">
            <v>D (MD)</v>
          </cell>
          <cell r="G3957">
            <v>353134</v>
          </cell>
          <cell r="H3957" t="str">
            <v>Mayday</v>
          </cell>
          <cell r="I3957">
            <v>0.83333333333333337</v>
          </cell>
          <cell r="J3957">
            <v>0.33333333333333331</v>
          </cell>
          <cell r="K3957">
            <v>11.33333333</v>
          </cell>
          <cell r="L3957">
            <v>475.74</v>
          </cell>
          <cell r="O3957" t="str">
            <v>Y</v>
          </cell>
          <cell r="P3957" t="str">
            <v>N</v>
          </cell>
          <cell r="Q3957" t="str">
            <v>Extra Capacity</v>
          </cell>
          <cell r="S3957">
            <v>0.3</v>
          </cell>
        </row>
        <row r="3958">
          <cell r="D3958">
            <v>1208002192</v>
          </cell>
          <cell r="E3958" t="str">
            <v>MABEL MNISI</v>
          </cell>
          <cell r="F3958" t="str">
            <v>D (MD)</v>
          </cell>
          <cell r="G3958">
            <v>352991</v>
          </cell>
          <cell r="H3958" t="str">
            <v>Mayday</v>
          </cell>
          <cell r="I3958">
            <v>0.83333333333333337</v>
          </cell>
          <cell r="J3958">
            <v>0.33333333333333331</v>
          </cell>
          <cell r="K3958">
            <v>11.33333333</v>
          </cell>
          <cell r="L3958">
            <v>475.74</v>
          </cell>
          <cell r="O3958" t="str">
            <v>Y</v>
          </cell>
          <cell r="P3958" t="str">
            <v>N</v>
          </cell>
          <cell r="Q3958" t="str">
            <v>Extra Capacity</v>
          </cell>
          <cell r="S3958">
            <v>0.3</v>
          </cell>
        </row>
        <row r="3959">
          <cell r="D3959">
            <v>1208002184</v>
          </cell>
          <cell r="E3959" t="str">
            <v>MICHAEL OKE</v>
          </cell>
          <cell r="F3959" t="str">
            <v>A (Ch)</v>
          </cell>
          <cell r="H3959" t="str">
            <v>Choice</v>
          </cell>
          <cell r="I3959">
            <v>0.3125</v>
          </cell>
          <cell r="J3959">
            <v>0.64583333333333337</v>
          </cell>
          <cell r="K3959">
            <v>7.6666666670000003</v>
          </cell>
          <cell r="L3959">
            <v>85.02</v>
          </cell>
          <cell r="O3959" t="str">
            <v>Y</v>
          </cell>
          <cell r="P3959" t="str">
            <v>N</v>
          </cell>
          <cell r="Q3959" t="str">
            <v>Extra Capacity</v>
          </cell>
          <cell r="S3959">
            <v>0.2</v>
          </cell>
        </row>
        <row r="3960">
          <cell r="D3960">
            <v>1208002189</v>
          </cell>
          <cell r="E3960" t="str">
            <v>MICHAEL OKE</v>
          </cell>
          <cell r="F3960" t="str">
            <v>A (Ch)</v>
          </cell>
          <cell r="H3960" t="str">
            <v>Choice</v>
          </cell>
          <cell r="I3960">
            <v>0.64583333333333337</v>
          </cell>
          <cell r="J3960">
            <v>0.85416666666666663</v>
          </cell>
          <cell r="K3960">
            <v>5</v>
          </cell>
          <cell r="L3960">
            <v>55.45</v>
          </cell>
          <cell r="O3960" t="str">
            <v>Y</v>
          </cell>
          <cell r="P3960" t="str">
            <v>N</v>
          </cell>
          <cell r="Q3960" t="str">
            <v>Extra Capacity</v>
          </cell>
          <cell r="S3960">
            <v>0.13</v>
          </cell>
        </row>
        <row r="3961">
          <cell r="D3961">
            <v>1208000847</v>
          </cell>
          <cell r="E3961" t="str">
            <v>MZUKISI SPEELMAN</v>
          </cell>
          <cell r="F3961" t="str">
            <v>A (Ch)</v>
          </cell>
          <cell r="H3961" t="str">
            <v>Choice</v>
          </cell>
          <cell r="I3961">
            <v>0.3125</v>
          </cell>
          <cell r="J3961">
            <v>0.64583333333333337</v>
          </cell>
          <cell r="K3961">
            <v>7.6666666670000003</v>
          </cell>
          <cell r="L3961">
            <v>85.02</v>
          </cell>
          <cell r="O3961" t="str">
            <v>Y</v>
          </cell>
          <cell r="P3961" t="str">
            <v>N</v>
          </cell>
          <cell r="Q3961" t="str">
            <v>Extra Capacity</v>
          </cell>
          <cell r="S3961">
            <v>0.2</v>
          </cell>
        </row>
        <row r="3962">
          <cell r="D3962">
            <v>1208000851</v>
          </cell>
          <cell r="E3962" t="str">
            <v>MZUKISI SPEELMAN</v>
          </cell>
          <cell r="F3962" t="str">
            <v>A (Ch)</v>
          </cell>
          <cell r="H3962" t="str">
            <v>Choice</v>
          </cell>
          <cell r="I3962">
            <v>0.64583333333333337</v>
          </cell>
          <cell r="J3962">
            <v>0.85416666666666663</v>
          </cell>
          <cell r="K3962">
            <v>5</v>
          </cell>
          <cell r="L3962">
            <v>55.45</v>
          </cell>
          <cell r="O3962" t="str">
            <v>Y</v>
          </cell>
          <cell r="P3962" t="str">
            <v>N</v>
          </cell>
          <cell r="Q3962" t="str">
            <v>Extra Capacity</v>
          </cell>
          <cell r="S3962">
            <v>0.13</v>
          </cell>
        </row>
        <row r="3963">
          <cell r="D3963">
            <v>1208004451</v>
          </cell>
          <cell r="E3963" t="str">
            <v>NCAMISILE MAJOZI</v>
          </cell>
          <cell r="F3963" t="str">
            <v>D (Amb)</v>
          </cell>
          <cell r="H3963" t="str">
            <v>Ambition</v>
          </cell>
          <cell r="I3963">
            <v>0.64583333333333337</v>
          </cell>
          <cell r="J3963">
            <v>0.83333333333333337</v>
          </cell>
          <cell r="K3963">
            <v>4.5</v>
          </cell>
          <cell r="L3963">
            <v>175.95</v>
          </cell>
          <cell r="O3963" t="str">
            <v>Y</v>
          </cell>
          <cell r="P3963" t="str">
            <v>N</v>
          </cell>
          <cell r="Q3963" t="str">
            <v>Extra Capacity</v>
          </cell>
          <cell r="S3963">
            <v>0.12</v>
          </cell>
        </row>
        <row r="3964">
          <cell r="D3964">
            <v>1208002111</v>
          </cell>
          <cell r="E3964" t="str">
            <v>OMAR SENGHORE</v>
          </cell>
          <cell r="F3964" t="str">
            <v>D (MD)</v>
          </cell>
          <cell r="G3964">
            <v>354095</v>
          </cell>
          <cell r="H3964" t="str">
            <v>Mayday</v>
          </cell>
          <cell r="I3964">
            <v>0.83333333333333337</v>
          </cell>
          <cell r="J3964">
            <v>0.33333333333333331</v>
          </cell>
          <cell r="K3964">
            <v>11.33333333</v>
          </cell>
          <cell r="L3964">
            <v>475.74</v>
          </cell>
          <cell r="O3964" t="str">
            <v>Y</v>
          </cell>
          <cell r="P3964" t="str">
            <v>N</v>
          </cell>
          <cell r="Q3964" t="str">
            <v>Extra Capacity</v>
          </cell>
          <cell r="S3964">
            <v>0.3</v>
          </cell>
        </row>
        <row r="3965">
          <cell r="D3965">
            <v>1208004438</v>
          </cell>
          <cell r="E3965" t="str">
            <v>OWEN WENYEVE</v>
          </cell>
          <cell r="F3965" t="str">
            <v>A (Ch)</v>
          </cell>
          <cell r="G3965">
            <v>17716</v>
          </cell>
          <cell r="H3965" t="str">
            <v>Choice</v>
          </cell>
          <cell r="I3965">
            <v>0.83333333333333337</v>
          </cell>
          <cell r="J3965">
            <v>0.33333333333333331</v>
          </cell>
          <cell r="K3965">
            <v>11</v>
          </cell>
          <cell r="L3965">
            <v>162.65</v>
          </cell>
          <cell r="O3965" t="str">
            <v>Y</v>
          </cell>
          <cell r="P3965" t="str">
            <v>N</v>
          </cell>
          <cell r="Q3965" t="str">
            <v>Short Term Sick</v>
          </cell>
          <cell r="S3965">
            <v>0.28999999999999998</v>
          </cell>
        </row>
        <row r="3966">
          <cell r="D3966">
            <v>1208000840</v>
          </cell>
          <cell r="E3966" t="str">
            <v>PEGGY MAPOGO</v>
          </cell>
          <cell r="F3966" t="str">
            <v>D (Ch)</v>
          </cell>
          <cell r="H3966" t="str">
            <v>Choice</v>
          </cell>
          <cell r="I3966">
            <v>0.3125</v>
          </cell>
          <cell r="J3966">
            <v>0.64583333333333337</v>
          </cell>
          <cell r="K3966">
            <v>7.6666666670000003</v>
          </cell>
          <cell r="L3966">
            <v>186.84</v>
          </cell>
          <cell r="O3966" t="str">
            <v>Y</v>
          </cell>
          <cell r="P3966" t="str">
            <v>N</v>
          </cell>
          <cell r="Q3966" t="str">
            <v>Extra Capacity</v>
          </cell>
          <cell r="S3966">
            <v>0.2</v>
          </cell>
        </row>
        <row r="3967">
          <cell r="D3967">
            <v>1208000843</v>
          </cell>
          <cell r="E3967" t="str">
            <v>PEGGY MAPOGO</v>
          </cell>
          <cell r="F3967" t="str">
            <v>D (Ch)</v>
          </cell>
          <cell r="H3967" t="str">
            <v>Choice</v>
          </cell>
          <cell r="I3967">
            <v>0.64583333333333337</v>
          </cell>
          <cell r="J3967">
            <v>0.85416666666666663</v>
          </cell>
          <cell r="K3967">
            <v>5</v>
          </cell>
          <cell r="L3967">
            <v>121.85</v>
          </cell>
          <cell r="O3967" t="str">
            <v>Y</v>
          </cell>
          <cell r="P3967" t="str">
            <v>N</v>
          </cell>
          <cell r="Q3967" t="str">
            <v>Extra Capacity</v>
          </cell>
          <cell r="S3967">
            <v>0.13</v>
          </cell>
        </row>
        <row r="3968">
          <cell r="D3968">
            <v>1208004480</v>
          </cell>
          <cell r="E3968" t="str">
            <v>RACHEL OBERDOFF</v>
          </cell>
          <cell r="F3968" t="str">
            <v>D (MD)</v>
          </cell>
          <cell r="G3968">
            <v>355581</v>
          </cell>
          <cell r="H3968" t="str">
            <v>Mayday</v>
          </cell>
          <cell r="I3968">
            <v>0.3125</v>
          </cell>
          <cell r="J3968">
            <v>0.85416666666666663</v>
          </cell>
          <cell r="K3968">
            <v>12.33333333</v>
          </cell>
          <cell r="L3968">
            <v>398.24</v>
          </cell>
          <cell r="O3968" t="str">
            <v>Y</v>
          </cell>
          <cell r="P3968" t="str">
            <v>N</v>
          </cell>
          <cell r="Q3968" t="str">
            <v>Short Term Sick</v>
          </cell>
          <cell r="S3968">
            <v>0.33</v>
          </cell>
        </row>
        <row r="3969">
          <cell r="D3969">
            <v>1208004384</v>
          </cell>
          <cell r="E3969" t="str">
            <v>RAMANI THOMAS</v>
          </cell>
          <cell r="F3969" t="str">
            <v>D (MD)</v>
          </cell>
          <cell r="G3969">
            <v>355701</v>
          </cell>
          <cell r="H3969" t="str">
            <v>Mayday</v>
          </cell>
          <cell r="I3969">
            <v>0.83333333333333337</v>
          </cell>
          <cell r="J3969">
            <v>0.33333333333333331</v>
          </cell>
          <cell r="K3969">
            <v>11</v>
          </cell>
          <cell r="L3969">
            <v>461.75</v>
          </cell>
          <cell r="O3969" t="str">
            <v>Y</v>
          </cell>
          <cell r="P3969" t="str">
            <v>N</v>
          </cell>
          <cell r="Q3969" t="str">
            <v>Acuity</v>
          </cell>
          <cell r="S3969">
            <v>0.28999999999999998</v>
          </cell>
        </row>
        <row r="3970">
          <cell r="D3970">
            <v>1208000853</v>
          </cell>
          <cell r="E3970" t="str">
            <v>RAY THWALA</v>
          </cell>
          <cell r="F3970" t="str">
            <v>A (Ch)</v>
          </cell>
          <cell r="H3970" t="str">
            <v>Choice</v>
          </cell>
          <cell r="I3970">
            <v>0.83333333333333337</v>
          </cell>
          <cell r="J3970">
            <v>0.33333333333333331</v>
          </cell>
          <cell r="K3970">
            <v>11.33333333</v>
          </cell>
          <cell r="L3970">
            <v>167.58</v>
          </cell>
          <cell r="O3970" t="str">
            <v>Y</v>
          </cell>
          <cell r="P3970" t="str">
            <v>N</v>
          </cell>
          <cell r="Q3970" t="str">
            <v>Extra Capacity</v>
          </cell>
          <cell r="S3970">
            <v>0.3</v>
          </cell>
        </row>
        <row r="3971">
          <cell r="D3971">
            <v>1208002655</v>
          </cell>
          <cell r="E3971" t="str">
            <v>RIAZ AHMED</v>
          </cell>
          <cell r="F3971" t="str">
            <v>D/5 Mental (Med</v>
          </cell>
          <cell r="G3971" t="str">
            <v>604-162169</v>
          </cell>
          <cell r="H3971" t="str">
            <v>Medacs</v>
          </cell>
          <cell r="I3971">
            <v>0.29166666666666669</v>
          </cell>
          <cell r="J3971">
            <v>0.625</v>
          </cell>
          <cell r="K3971">
            <v>7.6666666670000003</v>
          </cell>
          <cell r="L3971">
            <v>141.30000000000001</v>
          </cell>
          <cell r="O3971" t="str">
            <v>Y</v>
          </cell>
          <cell r="P3971" t="str">
            <v>N</v>
          </cell>
          <cell r="Q3971" t="str">
            <v>Specials</v>
          </cell>
          <cell r="S3971">
            <v>0.2</v>
          </cell>
        </row>
        <row r="3972">
          <cell r="D3972">
            <v>1208002658</v>
          </cell>
          <cell r="E3972" t="str">
            <v>RIAZ AHMED</v>
          </cell>
          <cell r="F3972" t="str">
            <v>D/5 Mental (Med</v>
          </cell>
          <cell r="G3972" t="str">
            <v>604-162169</v>
          </cell>
          <cell r="H3972" t="str">
            <v>Medacs</v>
          </cell>
          <cell r="I3972">
            <v>0.625</v>
          </cell>
          <cell r="J3972">
            <v>0.88541666666666663</v>
          </cell>
          <cell r="K3972">
            <v>5.9166666670000003</v>
          </cell>
          <cell r="L3972">
            <v>109.04</v>
          </cell>
          <cell r="O3972" t="str">
            <v>Y</v>
          </cell>
          <cell r="P3972" t="str">
            <v>N</v>
          </cell>
          <cell r="Q3972" t="str">
            <v>Specials</v>
          </cell>
          <cell r="S3972">
            <v>0.16</v>
          </cell>
        </row>
        <row r="3973">
          <cell r="D3973">
            <v>1208002112</v>
          </cell>
          <cell r="E3973" t="str">
            <v>RUTH NDEGWA</v>
          </cell>
          <cell r="F3973" t="str">
            <v>D (MD)</v>
          </cell>
          <cell r="G3973">
            <v>352710</v>
          </cell>
          <cell r="H3973" t="str">
            <v>Mayday</v>
          </cell>
          <cell r="I3973">
            <v>0.83333333333333337</v>
          </cell>
          <cell r="J3973">
            <v>0.33333333333333331</v>
          </cell>
          <cell r="K3973">
            <v>11.33333333</v>
          </cell>
          <cell r="L3973">
            <v>475.74</v>
          </cell>
          <cell r="O3973" t="str">
            <v>Y</v>
          </cell>
          <cell r="P3973" t="str">
            <v>N</v>
          </cell>
          <cell r="Q3973" t="str">
            <v>Extra Capacity</v>
          </cell>
          <cell r="S3973">
            <v>0.3</v>
          </cell>
        </row>
        <row r="3974">
          <cell r="D3974">
            <v>1208003030</v>
          </cell>
          <cell r="E3974" t="str">
            <v>SHEPHERD CHIWANZA</v>
          </cell>
          <cell r="F3974" t="str">
            <v>A (Ch)</v>
          </cell>
          <cell r="G3974">
            <v>17704</v>
          </cell>
          <cell r="H3974" t="str">
            <v>Choice</v>
          </cell>
          <cell r="I3974">
            <v>0.3125</v>
          </cell>
          <cell r="J3974">
            <v>0.54166666666666663</v>
          </cell>
          <cell r="K3974">
            <v>5.5</v>
          </cell>
          <cell r="L3974">
            <v>60.99</v>
          </cell>
          <cell r="O3974" t="str">
            <v>Y</v>
          </cell>
          <cell r="P3974" t="str">
            <v>N</v>
          </cell>
          <cell r="Q3974" t="str">
            <v>Vacancy</v>
          </cell>
          <cell r="S3974">
            <v>0.15</v>
          </cell>
        </row>
        <row r="3975">
          <cell r="D3975">
            <v>1108006079</v>
          </cell>
          <cell r="E3975" t="str">
            <v>SIBONISIWE NCUBE</v>
          </cell>
          <cell r="F3975" t="str">
            <v>D (Amb)</v>
          </cell>
          <cell r="G3975">
            <v>767281</v>
          </cell>
          <cell r="H3975" t="str">
            <v>Ambition</v>
          </cell>
          <cell r="I3975">
            <v>0.3125</v>
          </cell>
          <cell r="J3975">
            <v>0.54166666666666663</v>
          </cell>
          <cell r="K3975">
            <v>5.5</v>
          </cell>
          <cell r="L3975">
            <v>215.05</v>
          </cell>
          <cell r="O3975" t="str">
            <v>Y</v>
          </cell>
          <cell r="P3975" t="str">
            <v>N</v>
          </cell>
          <cell r="Q3975" t="str">
            <v>Short Term Sick</v>
          </cell>
          <cell r="S3975">
            <v>0.15</v>
          </cell>
        </row>
        <row r="3976">
          <cell r="D3976">
            <v>1208002745</v>
          </cell>
          <cell r="E3976" t="str">
            <v>SIBONISIWE NCUBE</v>
          </cell>
          <cell r="F3976" t="str">
            <v>D (Amb)</v>
          </cell>
          <cell r="G3976">
            <v>767279</v>
          </cell>
          <cell r="H3976" t="str">
            <v>Ambition</v>
          </cell>
          <cell r="I3976">
            <v>0.625</v>
          </cell>
          <cell r="J3976">
            <v>0.875</v>
          </cell>
          <cell r="K3976">
            <v>5.6666666670000003</v>
          </cell>
          <cell r="L3976">
            <v>221.57</v>
          </cell>
          <cell r="O3976" t="str">
            <v>Y</v>
          </cell>
          <cell r="P3976" t="str">
            <v>N</v>
          </cell>
          <cell r="Q3976" t="str">
            <v>Extra Capacity</v>
          </cell>
          <cell r="S3976">
            <v>0.15</v>
          </cell>
        </row>
        <row r="3977">
          <cell r="D3977">
            <v>1208003420</v>
          </cell>
          <cell r="E3977" t="str">
            <v>TARA MASSIE</v>
          </cell>
          <cell r="F3977" t="str">
            <v>D (MD)</v>
          </cell>
          <cell r="G3977">
            <v>353661</v>
          </cell>
          <cell r="H3977" t="str">
            <v>Mayday</v>
          </cell>
          <cell r="I3977">
            <v>0.33333333333333331</v>
          </cell>
          <cell r="J3977">
            <v>0.83333333333333337</v>
          </cell>
          <cell r="K3977">
            <v>11.33333333</v>
          </cell>
          <cell r="L3977">
            <v>365.95</v>
          </cell>
          <cell r="O3977" t="str">
            <v>Y</v>
          </cell>
          <cell r="P3977" t="str">
            <v>N</v>
          </cell>
          <cell r="Q3977" t="str">
            <v>Vacancy</v>
          </cell>
          <cell r="S3977">
            <v>0.3</v>
          </cell>
        </row>
        <row r="3978">
          <cell r="D3978">
            <v>1108004746</v>
          </cell>
          <cell r="E3978" t="str">
            <v>TEMBE NGIDI</v>
          </cell>
          <cell r="F3978" t="str">
            <v>D (MD)</v>
          </cell>
          <cell r="G3978">
            <v>353535</v>
          </cell>
          <cell r="H3978" t="str">
            <v>Mayday</v>
          </cell>
          <cell r="I3978">
            <v>0.84375</v>
          </cell>
          <cell r="J3978">
            <v>0.3125</v>
          </cell>
          <cell r="K3978">
            <v>10.25</v>
          </cell>
          <cell r="L3978">
            <v>430.26</v>
          </cell>
          <cell r="O3978" t="str">
            <v>Y</v>
          </cell>
          <cell r="P3978" t="str">
            <v>N</v>
          </cell>
          <cell r="Q3978" t="str">
            <v>Vacancy</v>
          </cell>
          <cell r="S3978">
            <v>0.27</v>
          </cell>
        </row>
        <row r="3979">
          <cell r="D3979">
            <v>1208000852</v>
          </cell>
          <cell r="E3979" t="str">
            <v>TONDERA MAKAZA</v>
          </cell>
          <cell r="F3979" t="str">
            <v>A (Ch)</v>
          </cell>
          <cell r="G3979">
            <v>17694</v>
          </cell>
          <cell r="H3979" t="str">
            <v>Choice</v>
          </cell>
          <cell r="I3979">
            <v>0.83333333333333337</v>
          </cell>
          <cell r="J3979">
            <v>0.33333333333333331</v>
          </cell>
          <cell r="K3979">
            <v>11.33333333</v>
          </cell>
          <cell r="L3979">
            <v>167.58</v>
          </cell>
          <cell r="O3979" t="str">
            <v>Y</v>
          </cell>
          <cell r="P3979" t="str">
            <v>N</v>
          </cell>
          <cell r="Q3979" t="str">
            <v>Extra Capacity</v>
          </cell>
          <cell r="S3979">
            <v>0.3</v>
          </cell>
        </row>
        <row r="3980">
          <cell r="D3980">
            <v>1208002188</v>
          </cell>
          <cell r="E3980" t="str">
            <v>VANESSA GOULD</v>
          </cell>
          <cell r="F3980" t="str">
            <v>A /2 General (M</v>
          </cell>
          <cell r="G3980" t="str">
            <v>604-162581</v>
          </cell>
          <cell r="H3980" t="str">
            <v>Medacs</v>
          </cell>
          <cell r="I3980">
            <v>0.64583333333333337</v>
          </cell>
          <cell r="J3980">
            <v>0.85416666666666663</v>
          </cell>
          <cell r="K3980">
            <v>5</v>
          </cell>
          <cell r="L3980">
            <v>48.75</v>
          </cell>
          <cell r="O3980" t="str">
            <v>Y</v>
          </cell>
          <cell r="P3980" t="str">
            <v>N</v>
          </cell>
          <cell r="Q3980" t="str">
            <v>Extra Capacity</v>
          </cell>
          <cell r="S3980">
            <v>0.13</v>
          </cell>
        </row>
        <row r="3981">
          <cell r="D3981">
            <v>1208004282</v>
          </cell>
          <cell r="E3981" t="str">
            <v>VICTORIA VALETE</v>
          </cell>
          <cell r="F3981" t="str">
            <v>D (MD)</v>
          </cell>
          <cell r="G3981">
            <v>353025</v>
          </cell>
          <cell r="H3981" t="str">
            <v>Mayday</v>
          </cell>
          <cell r="I3981">
            <v>0.3125</v>
          </cell>
          <cell r="J3981">
            <v>0.85416666666666663</v>
          </cell>
          <cell r="K3981">
            <v>12.33333333</v>
          </cell>
          <cell r="L3981">
            <v>398.24</v>
          </cell>
          <cell r="O3981" t="str">
            <v>Y</v>
          </cell>
          <cell r="P3981" t="str">
            <v>N</v>
          </cell>
          <cell r="Q3981" t="str">
            <v>Extra Capacity</v>
          </cell>
          <cell r="S3981">
            <v>0.33</v>
          </cell>
        </row>
        <row r="3982">
          <cell r="D3982">
            <v>1208002050</v>
          </cell>
          <cell r="E3982" t="str">
            <v>ALLI SUBRAMANIAM</v>
          </cell>
          <cell r="F3982" t="str">
            <v>D (MD)</v>
          </cell>
          <cell r="H3982" t="str">
            <v>Mayday</v>
          </cell>
          <cell r="I3982">
            <v>0.3125</v>
          </cell>
          <cell r="J3982">
            <v>0.625</v>
          </cell>
          <cell r="K3982">
            <v>7.1666666670000003</v>
          </cell>
          <cell r="L3982">
            <v>231.41</v>
          </cell>
          <cell r="O3982" t="str">
            <v>Y</v>
          </cell>
          <cell r="P3982" t="str">
            <v>N</v>
          </cell>
          <cell r="Q3982" t="str">
            <v>Extra Capacity</v>
          </cell>
          <cell r="S3982">
            <v>0.19</v>
          </cell>
        </row>
        <row r="3983">
          <cell r="D3983">
            <v>1208002081</v>
          </cell>
          <cell r="E3983" t="str">
            <v>ALLI SUBRAMANIAM</v>
          </cell>
          <cell r="F3983" t="str">
            <v>D (MD)</v>
          </cell>
          <cell r="H3983" t="str">
            <v>Mayday</v>
          </cell>
          <cell r="I3983">
            <v>0.625</v>
          </cell>
          <cell r="J3983">
            <v>0.85416666666666663</v>
          </cell>
          <cell r="K3983">
            <v>5.5</v>
          </cell>
          <cell r="L3983">
            <v>177.59</v>
          </cell>
          <cell r="O3983" t="str">
            <v>Y</v>
          </cell>
          <cell r="P3983" t="str">
            <v>N</v>
          </cell>
          <cell r="Q3983" t="str">
            <v>Extra Capacity</v>
          </cell>
          <cell r="S3983">
            <v>0.15</v>
          </cell>
        </row>
        <row r="3984">
          <cell r="D3984">
            <v>1208003125</v>
          </cell>
          <cell r="E3984" t="str">
            <v>ALMA DEPENA</v>
          </cell>
          <cell r="F3984" t="str">
            <v>D (Ch)</v>
          </cell>
          <cell r="G3984">
            <v>17702</v>
          </cell>
          <cell r="H3984" t="str">
            <v>Choice</v>
          </cell>
          <cell r="I3984">
            <v>0.88541666666666663</v>
          </cell>
          <cell r="J3984">
            <v>0.33333333333333331</v>
          </cell>
          <cell r="K3984">
            <v>10.41666667</v>
          </cell>
          <cell r="L3984">
            <v>330.01</v>
          </cell>
          <cell r="O3984" t="str">
            <v>Y</v>
          </cell>
          <cell r="P3984" t="str">
            <v>N</v>
          </cell>
          <cell r="Q3984" t="str">
            <v>Extra Capacity</v>
          </cell>
          <cell r="S3984">
            <v>0.28000000000000003</v>
          </cell>
        </row>
        <row r="3985">
          <cell r="D3985">
            <v>1108003098</v>
          </cell>
          <cell r="E3985" t="str">
            <v>AMBER PERRY</v>
          </cell>
          <cell r="F3985" t="str">
            <v>D (MD)</v>
          </cell>
          <cell r="G3985">
            <v>353521</v>
          </cell>
          <cell r="H3985" t="str">
            <v>Mayday</v>
          </cell>
          <cell r="I3985">
            <v>0.3125</v>
          </cell>
          <cell r="J3985">
            <v>0.5625</v>
          </cell>
          <cell r="K3985">
            <v>5.6666666670000003</v>
          </cell>
          <cell r="L3985">
            <v>182.98</v>
          </cell>
          <cell r="O3985" t="str">
            <v>Y</v>
          </cell>
          <cell r="P3985" t="str">
            <v>N</v>
          </cell>
          <cell r="Q3985" t="str">
            <v>Annual Leave</v>
          </cell>
          <cell r="S3985">
            <v>0.15</v>
          </cell>
        </row>
        <row r="3986">
          <cell r="D3986">
            <v>1208004015</v>
          </cell>
          <cell r="E3986" t="str">
            <v>ATINUKE OKE-OLATUNDE</v>
          </cell>
          <cell r="F3986" t="str">
            <v>D (MD)</v>
          </cell>
          <cell r="G3986">
            <v>354377</v>
          </cell>
          <cell r="H3986" t="str">
            <v>Mayday</v>
          </cell>
          <cell r="I3986">
            <v>0.84375</v>
          </cell>
          <cell r="J3986">
            <v>0.3125</v>
          </cell>
          <cell r="K3986">
            <v>10.25</v>
          </cell>
          <cell r="L3986">
            <v>430.26</v>
          </cell>
          <cell r="O3986" t="str">
            <v>Y</v>
          </cell>
          <cell r="P3986" t="str">
            <v>N</v>
          </cell>
          <cell r="Q3986" t="str">
            <v>Extra Capacity</v>
          </cell>
          <cell r="S3986">
            <v>0.27</v>
          </cell>
        </row>
        <row r="3987">
          <cell r="D3987">
            <v>1208000857</v>
          </cell>
          <cell r="E3987" t="str">
            <v>BERNADETTE SHINYA-NDUNUWANI</v>
          </cell>
          <cell r="F3987" t="str">
            <v>D (MD)</v>
          </cell>
          <cell r="G3987">
            <v>352480</v>
          </cell>
          <cell r="H3987" t="str">
            <v>Mayday</v>
          </cell>
          <cell r="I3987">
            <v>0.3125</v>
          </cell>
          <cell r="J3987">
            <v>0.64583333333333337</v>
          </cell>
          <cell r="K3987">
            <v>7.6666666670000003</v>
          </cell>
          <cell r="L3987">
            <v>247.56</v>
          </cell>
          <cell r="O3987" t="str">
            <v>Y</v>
          </cell>
          <cell r="P3987" t="str">
            <v>N</v>
          </cell>
          <cell r="Q3987" t="str">
            <v>Extra Capacity</v>
          </cell>
          <cell r="S3987">
            <v>0.2</v>
          </cell>
        </row>
        <row r="3988">
          <cell r="D3988">
            <v>1208003685</v>
          </cell>
          <cell r="E3988" t="str">
            <v>BRENDA GWEKWERERE</v>
          </cell>
          <cell r="F3988" t="str">
            <v>D (Ch)</v>
          </cell>
          <cell r="G3988">
            <v>17788</v>
          </cell>
          <cell r="H3988" t="str">
            <v>Choice</v>
          </cell>
          <cell r="I3988">
            <v>0.8125</v>
          </cell>
          <cell r="J3988">
            <v>0.33333333333333331</v>
          </cell>
          <cell r="K3988">
            <v>11.83333333</v>
          </cell>
          <cell r="L3988">
            <v>374.89</v>
          </cell>
          <cell r="O3988" t="str">
            <v>Y</v>
          </cell>
          <cell r="P3988" t="str">
            <v>N</v>
          </cell>
          <cell r="Q3988" t="str">
            <v>Extra Capacity</v>
          </cell>
          <cell r="S3988">
            <v>0.32</v>
          </cell>
        </row>
        <row r="3989">
          <cell r="D3989">
            <v>1208003780</v>
          </cell>
          <cell r="E3989" t="str">
            <v>BRIGHTNESS NDEBELE</v>
          </cell>
          <cell r="F3989" t="str">
            <v>D (MD)</v>
          </cell>
          <cell r="G3989">
            <v>353560</v>
          </cell>
          <cell r="H3989" t="str">
            <v>Mayday</v>
          </cell>
          <cell r="I3989">
            <v>0.82291666666666663</v>
          </cell>
          <cell r="J3989">
            <v>0.34375</v>
          </cell>
          <cell r="K3989">
            <v>11.5</v>
          </cell>
          <cell r="L3989">
            <v>482.74</v>
          </cell>
          <cell r="O3989" t="str">
            <v>Y</v>
          </cell>
          <cell r="P3989" t="str">
            <v>N</v>
          </cell>
          <cell r="Q3989" t="str">
            <v>Extra Capacity</v>
          </cell>
          <cell r="S3989">
            <v>0.31</v>
          </cell>
        </row>
        <row r="3990">
          <cell r="D3990">
            <v>1208001735</v>
          </cell>
          <cell r="E3990" t="str">
            <v>CARL HIBBERT</v>
          </cell>
          <cell r="F3990" t="str">
            <v>D (Ch)</v>
          </cell>
          <cell r="H3990" t="str">
            <v>Choice</v>
          </cell>
          <cell r="I3990">
            <v>0.83333333333333337</v>
          </cell>
          <cell r="J3990">
            <v>0.33333333333333331</v>
          </cell>
          <cell r="K3990">
            <v>11.33333333</v>
          </cell>
          <cell r="L3990">
            <v>359.05</v>
          </cell>
          <cell r="O3990" t="str">
            <v>Y</v>
          </cell>
          <cell r="P3990" t="str">
            <v>N</v>
          </cell>
          <cell r="Q3990" t="str">
            <v>Extra Capacity</v>
          </cell>
          <cell r="S3990">
            <v>0.3</v>
          </cell>
        </row>
        <row r="3991">
          <cell r="D3991">
            <v>1108004750</v>
          </cell>
          <cell r="E3991" t="str">
            <v>CATH CHIDAVAYENZI</v>
          </cell>
          <cell r="F3991" t="str">
            <v>D (Ch)</v>
          </cell>
          <cell r="G3991">
            <v>17695</v>
          </cell>
          <cell r="H3991" t="str">
            <v>Choice</v>
          </cell>
          <cell r="I3991">
            <v>0.84375</v>
          </cell>
          <cell r="J3991">
            <v>0.3125</v>
          </cell>
          <cell r="K3991">
            <v>10.25</v>
          </cell>
          <cell r="L3991">
            <v>324.73</v>
          </cell>
          <cell r="O3991" t="str">
            <v>Y</v>
          </cell>
          <cell r="P3991" t="str">
            <v>N</v>
          </cell>
          <cell r="Q3991" t="str">
            <v>Vacancy</v>
          </cell>
          <cell r="S3991">
            <v>0.27</v>
          </cell>
        </row>
        <row r="3992">
          <cell r="D3992">
            <v>1208000858</v>
          </cell>
          <cell r="E3992" t="str">
            <v>COLLEN SIBANDA</v>
          </cell>
          <cell r="F3992" t="str">
            <v>D (Ch)</v>
          </cell>
          <cell r="H3992" t="str">
            <v>Choice</v>
          </cell>
          <cell r="I3992">
            <v>0.3125</v>
          </cell>
          <cell r="J3992">
            <v>0.64583333333333337</v>
          </cell>
          <cell r="K3992">
            <v>7.6666666670000003</v>
          </cell>
          <cell r="L3992">
            <v>186.84</v>
          </cell>
          <cell r="O3992" t="str">
            <v>Y</v>
          </cell>
          <cell r="P3992" t="str">
            <v>N</v>
          </cell>
          <cell r="Q3992" t="str">
            <v>Extra Capacity</v>
          </cell>
          <cell r="S3992">
            <v>0.2</v>
          </cell>
        </row>
        <row r="3993">
          <cell r="D3993">
            <v>1208000860</v>
          </cell>
          <cell r="E3993" t="str">
            <v>COLLEN SIBANDA</v>
          </cell>
          <cell r="F3993" t="str">
            <v>D (Ch)</v>
          </cell>
          <cell r="H3993" t="str">
            <v>Choice</v>
          </cell>
          <cell r="I3993">
            <v>0.64583333333333337</v>
          </cell>
          <cell r="J3993">
            <v>0.85416666666666663</v>
          </cell>
          <cell r="K3993">
            <v>5</v>
          </cell>
          <cell r="L3993">
            <v>121.85</v>
          </cell>
          <cell r="O3993" t="str">
            <v>Y</v>
          </cell>
          <cell r="P3993" t="str">
            <v>N</v>
          </cell>
          <cell r="Q3993" t="str">
            <v>Extra Capacity</v>
          </cell>
          <cell r="S3993">
            <v>0.13</v>
          </cell>
        </row>
        <row r="3994">
          <cell r="D3994">
            <v>1208004494</v>
          </cell>
          <cell r="E3994" t="str">
            <v>DAMILOLA AIKI</v>
          </cell>
          <cell r="F3994" t="str">
            <v>A (Ch)</v>
          </cell>
          <cell r="G3994">
            <v>17694</v>
          </cell>
          <cell r="H3994" t="str">
            <v>Choice</v>
          </cell>
          <cell r="I3994">
            <v>0.3125</v>
          </cell>
          <cell r="J3994">
            <v>0.5625</v>
          </cell>
          <cell r="K3994">
            <v>5.6666666670000003</v>
          </cell>
          <cell r="L3994">
            <v>62.84</v>
          </cell>
          <cell r="O3994" t="str">
            <v>Y</v>
          </cell>
          <cell r="P3994" t="str">
            <v>N</v>
          </cell>
          <cell r="Q3994" t="str">
            <v>Under Established</v>
          </cell>
          <cell r="S3994">
            <v>0.15</v>
          </cell>
        </row>
        <row r="3995">
          <cell r="D3995">
            <v>1208004578</v>
          </cell>
          <cell r="E3995" t="str">
            <v>DAMILOLA AIKI</v>
          </cell>
          <cell r="F3995" t="str">
            <v>A (Ch)</v>
          </cell>
          <cell r="G3995">
            <v>17694</v>
          </cell>
          <cell r="H3995" t="str">
            <v>Choice</v>
          </cell>
          <cell r="I3995">
            <v>0.5625</v>
          </cell>
          <cell r="J3995">
            <v>0.85416666666666663</v>
          </cell>
          <cell r="K3995">
            <v>6.6666666670000003</v>
          </cell>
          <cell r="L3995">
            <v>73.930000000000007</v>
          </cell>
          <cell r="O3995" t="str">
            <v>Y</v>
          </cell>
          <cell r="P3995" t="str">
            <v>N</v>
          </cell>
          <cell r="Q3995" t="str">
            <v>Under Established</v>
          </cell>
          <cell r="S3995">
            <v>0.18</v>
          </cell>
        </row>
        <row r="3996">
          <cell r="D3996">
            <v>1208002667</v>
          </cell>
          <cell r="E3996" t="str">
            <v>DENNIS DVENGE</v>
          </cell>
          <cell r="F3996" t="str">
            <v>D (Ch)</v>
          </cell>
          <cell r="H3996" t="str">
            <v>Choice</v>
          </cell>
          <cell r="I3996">
            <v>0.88541666666666663</v>
          </cell>
          <cell r="J3996">
            <v>0.3125</v>
          </cell>
          <cell r="K3996">
            <v>9.25</v>
          </cell>
          <cell r="L3996">
            <v>293.05</v>
          </cell>
          <cell r="O3996" t="str">
            <v>Y</v>
          </cell>
          <cell r="P3996" t="str">
            <v>N</v>
          </cell>
          <cell r="Q3996" t="str">
            <v>Specials</v>
          </cell>
          <cell r="S3996">
            <v>0.25</v>
          </cell>
        </row>
        <row r="3997">
          <cell r="D3997">
            <v>1208000869</v>
          </cell>
          <cell r="E3997" t="str">
            <v>DOROTHY MUTEMWA</v>
          </cell>
          <cell r="F3997" t="str">
            <v>A (Ch)</v>
          </cell>
          <cell r="G3997">
            <v>17775</v>
          </cell>
          <cell r="H3997" t="str">
            <v>Choice</v>
          </cell>
          <cell r="I3997">
            <v>0.64583333333333337</v>
          </cell>
          <cell r="J3997">
            <v>0.85416666666666663</v>
          </cell>
          <cell r="K3997">
            <v>5</v>
          </cell>
          <cell r="L3997">
            <v>55.45</v>
          </cell>
          <cell r="O3997" t="str">
            <v>Y</v>
          </cell>
          <cell r="P3997" t="str">
            <v>N</v>
          </cell>
          <cell r="Q3997" t="str">
            <v>Extra Capacity</v>
          </cell>
          <cell r="S3997">
            <v>0.13</v>
          </cell>
        </row>
        <row r="3998">
          <cell r="D3998">
            <v>1208004503</v>
          </cell>
          <cell r="E3998" t="str">
            <v>DOROTHY MUTEMWA</v>
          </cell>
          <cell r="F3998" t="str">
            <v>A (Ch)</v>
          </cell>
          <cell r="G3998">
            <v>17775</v>
          </cell>
          <cell r="H3998" t="str">
            <v>Choice</v>
          </cell>
          <cell r="I3998">
            <v>0.3125</v>
          </cell>
          <cell r="J3998">
            <v>0.54166666666666663</v>
          </cell>
          <cell r="K3998">
            <v>5.5</v>
          </cell>
          <cell r="L3998">
            <v>60.99</v>
          </cell>
          <cell r="O3998" t="str">
            <v>Y</v>
          </cell>
          <cell r="P3998" t="str">
            <v>N</v>
          </cell>
          <cell r="Q3998" t="str">
            <v>Short Term Sick</v>
          </cell>
          <cell r="S3998">
            <v>0.15</v>
          </cell>
        </row>
        <row r="3999">
          <cell r="D3999">
            <v>1208002115</v>
          </cell>
          <cell r="E3999" t="str">
            <v>ELSIE CHIKUKWA</v>
          </cell>
          <cell r="F3999" t="str">
            <v>D (MD)</v>
          </cell>
          <cell r="G3999">
            <v>352988</v>
          </cell>
          <cell r="H3999" t="str">
            <v>Mayday</v>
          </cell>
          <cell r="I3999">
            <v>0.83333333333333337</v>
          </cell>
          <cell r="J3999">
            <v>0.33333333333333331</v>
          </cell>
          <cell r="K3999">
            <v>11.33333333</v>
          </cell>
          <cell r="L3999">
            <v>475.74</v>
          </cell>
          <cell r="O3999" t="str">
            <v>Y</v>
          </cell>
          <cell r="P3999" t="str">
            <v>N</v>
          </cell>
          <cell r="Q3999" t="str">
            <v>Extra Capacity</v>
          </cell>
          <cell r="S3999">
            <v>0.3</v>
          </cell>
        </row>
        <row r="4000">
          <cell r="D4000">
            <v>1208003126</v>
          </cell>
          <cell r="E4000" t="str">
            <v>EUNICE ADEBANJO</v>
          </cell>
          <cell r="F4000" t="str">
            <v>D (Ch)</v>
          </cell>
          <cell r="G4000">
            <v>17800</v>
          </cell>
          <cell r="H4000" t="str">
            <v>Choice</v>
          </cell>
          <cell r="I4000">
            <v>0.88541666666666663</v>
          </cell>
          <cell r="J4000">
            <v>0.33333333333333331</v>
          </cell>
          <cell r="K4000">
            <v>10.41666667</v>
          </cell>
          <cell r="L4000">
            <v>330.01</v>
          </cell>
          <cell r="O4000" t="str">
            <v>Y</v>
          </cell>
          <cell r="P4000" t="str">
            <v>N</v>
          </cell>
          <cell r="Q4000" t="str">
            <v>Extra Capacity</v>
          </cell>
          <cell r="S4000">
            <v>0.28000000000000003</v>
          </cell>
        </row>
        <row r="4001">
          <cell r="D4001">
            <v>1108000822</v>
          </cell>
          <cell r="E4001" t="str">
            <v>EVE IKOLOUT</v>
          </cell>
          <cell r="F4001" t="str">
            <v>A (Ch)</v>
          </cell>
          <cell r="G4001">
            <v>17708</v>
          </cell>
          <cell r="H4001" t="str">
            <v>Choice</v>
          </cell>
          <cell r="I4001">
            <v>0.625</v>
          </cell>
          <cell r="J4001">
            <v>0.875</v>
          </cell>
          <cell r="K4001">
            <v>5.75</v>
          </cell>
          <cell r="L4001">
            <v>63.77</v>
          </cell>
          <cell r="O4001" t="str">
            <v>Y</v>
          </cell>
          <cell r="P4001" t="str">
            <v>N</v>
          </cell>
          <cell r="Q4001" t="str">
            <v>Maternity Leave</v>
          </cell>
          <cell r="S4001">
            <v>0.15</v>
          </cell>
        </row>
        <row r="4002">
          <cell r="D4002">
            <v>1208004696</v>
          </cell>
          <cell r="E4002" t="str">
            <v>FIONA BRUNTON</v>
          </cell>
          <cell r="F4002" t="str">
            <v>D (Amb)</v>
          </cell>
          <cell r="G4002">
            <v>769564</v>
          </cell>
          <cell r="H4002" t="str">
            <v>Ambition</v>
          </cell>
          <cell r="I4002">
            <v>0.3125</v>
          </cell>
          <cell r="J4002">
            <v>0.625</v>
          </cell>
          <cell r="K4002">
            <v>7.1666666670000003</v>
          </cell>
          <cell r="L4002">
            <v>280.22000000000003</v>
          </cell>
          <cell r="O4002" t="str">
            <v>Y</v>
          </cell>
          <cell r="P4002" t="str">
            <v>N</v>
          </cell>
          <cell r="Q4002" t="str">
            <v>Short Term Sick</v>
          </cell>
          <cell r="S4002">
            <v>0.19</v>
          </cell>
        </row>
        <row r="4003">
          <cell r="D4003">
            <v>1108004660</v>
          </cell>
          <cell r="E4003" t="str">
            <v>FIONA DURKIN-GREER</v>
          </cell>
          <cell r="F4003" t="str">
            <v>D (MD)</v>
          </cell>
          <cell r="G4003">
            <v>353566</v>
          </cell>
          <cell r="H4003" t="str">
            <v>Mayday</v>
          </cell>
          <cell r="I4003">
            <v>0.5625</v>
          </cell>
          <cell r="J4003">
            <v>0.85416666666666663</v>
          </cell>
          <cell r="K4003">
            <v>6.6666666670000003</v>
          </cell>
          <cell r="L4003">
            <v>215.27</v>
          </cell>
          <cell r="O4003" t="str">
            <v>Y</v>
          </cell>
          <cell r="P4003" t="str">
            <v>N</v>
          </cell>
          <cell r="Q4003" t="str">
            <v>Vacancy</v>
          </cell>
          <cell r="S4003">
            <v>0.18</v>
          </cell>
        </row>
        <row r="4004">
          <cell r="D4004">
            <v>1208002197</v>
          </cell>
          <cell r="E4004" t="str">
            <v>FLORENCE DLAMINI</v>
          </cell>
          <cell r="F4004" t="str">
            <v>D (MD)</v>
          </cell>
          <cell r="G4004">
            <v>353518</v>
          </cell>
          <cell r="H4004" t="str">
            <v>Mayday</v>
          </cell>
          <cell r="I4004">
            <v>0.3125</v>
          </cell>
          <cell r="J4004">
            <v>0.64583333333333337</v>
          </cell>
          <cell r="K4004">
            <v>7.6666666670000003</v>
          </cell>
          <cell r="L4004">
            <v>247.56</v>
          </cell>
          <cell r="O4004" t="str">
            <v>Y</v>
          </cell>
          <cell r="P4004" t="str">
            <v>N</v>
          </cell>
          <cell r="Q4004" t="str">
            <v>Extra Capacity</v>
          </cell>
          <cell r="S4004">
            <v>0.2</v>
          </cell>
        </row>
        <row r="4005">
          <cell r="D4005">
            <v>1208004519</v>
          </cell>
          <cell r="E4005" t="str">
            <v>FLORENCE DLAMINI</v>
          </cell>
          <cell r="F4005" t="str">
            <v>D (MD)</v>
          </cell>
          <cell r="G4005">
            <v>353517</v>
          </cell>
          <cell r="H4005" t="str">
            <v>Mayday</v>
          </cell>
          <cell r="I4005">
            <v>0.64583333333333337</v>
          </cell>
          <cell r="J4005">
            <v>0.85416666666666663</v>
          </cell>
          <cell r="K4005">
            <v>5</v>
          </cell>
          <cell r="L4005">
            <v>161.44999999999999</v>
          </cell>
          <cell r="O4005" t="str">
            <v>Y</v>
          </cell>
          <cell r="P4005" t="str">
            <v>N</v>
          </cell>
          <cell r="Q4005" t="str">
            <v>Short Term Sick</v>
          </cell>
          <cell r="S4005">
            <v>0.13</v>
          </cell>
        </row>
        <row r="4006">
          <cell r="D4006">
            <v>1208004681</v>
          </cell>
          <cell r="E4006" t="str">
            <v>GALE HARLEY</v>
          </cell>
          <cell r="F4006" t="str">
            <v>D (Amb)</v>
          </cell>
          <cell r="H4006" t="str">
            <v>Ambition</v>
          </cell>
          <cell r="I4006">
            <v>0.3125</v>
          </cell>
          <cell r="J4006">
            <v>0.83333333333333337</v>
          </cell>
          <cell r="K4006">
            <v>11.83333333</v>
          </cell>
          <cell r="L4006">
            <v>462.68</v>
          </cell>
          <cell r="O4006" t="str">
            <v>Y</v>
          </cell>
          <cell r="P4006" t="str">
            <v>N</v>
          </cell>
          <cell r="Q4006" t="str">
            <v>Extra Capacity</v>
          </cell>
          <cell r="S4006">
            <v>0.32</v>
          </cell>
        </row>
        <row r="4007">
          <cell r="D4007">
            <v>1208000864</v>
          </cell>
          <cell r="E4007" t="str">
            <v>GERTHY ALBANO</v>
          </cell>
          <cell r="F4007" t="str">
            <v>D (Ch)</v>
          </cell>
          <cell r="G4007">
            <v>17692</v>
          </cell>
          <cell r="H4007" t="str">
            <v>Choice</v>
          </cell>
          <cell r="I4007">
            <v>0.83333333333333337</v>
          </cell>
          <cell r="J4007">
            <v>0.33333333333333331</v>
          </cell>
          <cell r="K4007">
            <v>11.33333333</v>
          </cell>
          <cell r="L4007">
            <v>359.05</v>
          </cell>
          <cell r="O4007" t="str">
            <v>Y</v>
          </cell>
          <cell r="P4007" t="str">
            <v>N</v>
          </cell>
          <cell r="Q4007" t="str">
            <v>Extra Capacity</v>
          </cell>
          <cell r="S4007">
            <v>0.3</v>
          </cell>
        </row>
        <row r="4008">
          <cell r="D4008">
            <v>1108006634</v>
          </cell>
          <cell r="E4008" t="str">
            <v>JAKE BROOKES</v>
          </cell>
          <cell r="F4008" t="str">
            <v>D General (Orio</v>
          </cell>
          <cell r="G4008" t="str">
            <v>Invsd Smt checked</v>
          </cell>
          <cell r="H4008" t="str">
            <v>Orion</v>
          </cell>
          <cell r="I4008">
            <v>0.33333333333333331</v>
          </cell>
          <cell r="J4008">
            <v>0.75</v>
          </cell>
          <cell r="K4008">
            <v>9.6666666669999994</v>
          </cell>
          <cell r="L4008">
            <v>175.16</v>
          </cell>
          <cell r="O4008" t="str">
            <v>Y</v>
          </cell>
          <cell r="P4008" t="str">
            <v>N</v>
          </cell>
          <cell r="Q4008" t="str">
            <v>Long Term Sick</v>
          </cell>
          <cell r="S4008">
            <v>0.26</v>
          </cell>
        </row>
        <row r="4009">
          <cell r="D4009">
            <v>1208001708</v>
          </cell>
          <cell r="E4009" t="str">
            <v>JAMES MCCLEMENTS</v>
          </cell>
          <cell r="F4009" t="str">
            <v>D (MD)</v>
          </cell>
          <cell r="G4009">
            <v>353024</v>
          </cell>
          <cell r="H4009" t="str">
            <v>Mayday</v>
          </cell>
          <cell r="I4009">
            <v>0.3125</v>
          </cell>
          <cell r="J4009">
            <v>0.60416666666666663</v>
          </cell>
          <cell r="K4009">
            <v>6.6666666670000003</v>
          </cell>
          <cell r="L4009">
            <v>215.27</v>
          </cell>
          <cell r="O4009" t="str">
            <v>Y</v>
          </cell>
          <cell r="P4009" t="str">
            <v>N</v>
          </cell>
          <cell r="Q4009" t="str">
            <v>Extra Capacity</v>
          </cell>
          <cell r="S4009">
            <v>0.18</v>
          </cell>
        </row>
        <row r="4010">
          <cell r="D4010">
            <v>1208004389</v>
          </cell>
          <cell r="E4010" t="str">
            <v>JANINE FUNNELL</v>
          </cell>
          <cell r="F4010" t="str">
            <v>D (MD)</v>
          </cell>
          <cell r="G4010">
            <v>352910</v>
          </cell>
          <cell r="H4010" t="str">
            <v>Mayday</v>
          </cell>
          <cell r="I4010">
            <v>0.60416666666666663</v>
          </cell>
          <cell r="J4010">
            <v>0.85416666666666663</v>
          </cell>
          <cell r="K4010">
            <v>7.5</v>
          </cell>
          <cell r="L4010">
            <v>242.17</v>
          </cell>
          <cell r="O4010" t="str">
            <v>Y</v>
          </cell>
          <cell r="P4010" t="str">
            <v>N</v>
          </cell>
          <cell r="Q4010" t="str">
            <v>Acuity</v>
          </cell>
          <cell r="S4010">
            <v>0.2</v>
          </cell>
        </row>
        <row r="4011">
          <cell r="D4011">
            <v>1108003100</v>
          </cell>
          <cell r="E4011" t="str">
            <v>JEAN NGONA</v>
          </cell>
          <cell r="F4011" t="str">
            <v>D (MD)</v>
          </cell>
          <cell r="G4011">
            <v>357587</v>
          </cell>
          <cell r="H4011" t="str">
            <v>Mayday</v>
          </cell>
          <cell r="I4011">
            <v>0.5625</v>
          </cell>
          <cell r="J4011">
            <v>0.85416666666666663</v>
          </cell>
          <cell r="K4011">
            <v>6.6666666670000003</v>
          </cell>
          <cell r="L4011">
            <v>215.27</v>
          </cell>
          <cell r="O4011" t="str">
            <v>Y</v>
          </cell>
          <cell r="P4011" t="str">
            <v>N</v>
          </cell>
          <cell r="Q4011" t="str">
            <v>Under Established</v>
          </cell>
          <cell r="S4011">
            <v>0.18</v>
          </cell>
        </row>
        <row r="4012">
          <cell r="D4012">
            <v>1208002053</v>
          </cell>
          <cell r="E4012" t="str">
            <v>JOANNE BUSS</v>
          </cell>
          <cell r="F4012" t="str">
            <v>D (MD)</v>
          </cell>
          <cell r="H4012" t="str">
            <v>Mayday</v>
          </cell>
          <cell r="I4012">
            <v>0.3125</v>
          </cell>
          <cell r="J4012">
            <v>0.625</v>
          </cell>
          <cell r="K4012">
            <v>7.1666666670000003</v>
          </cell>
          <cell r="L4012">
            <v>231.41</v>
          </cell>
          <cell r="O4012" t="str">
            <v>Y</v>
          </cell>
          <cell r="P4012" t="str">
            <v>N</v>
          </cell>
          <cell r="Q4012" t="str">
            <v>Extra Capacity</v>
          </cell>
          <cell r="S4012">
            <v>0.19</v>
          </cell>
        </row>
        <row r="4013">
          <cell r="D4013">
            <v>1208004493</v>
          </cell>
          <cell r="E4013" t="str">
            <v>KAREN STRUDWICK</v>
          </cell>
          <cell r="F4013" t="str">
            <v>D (Ch)</v>
          </cell>
          <cell r="H4013" t="str">
            <v>Choice</v>
          </cell>
          <cell r="I4013">
            <v>0.3125</v>
          </cell>
          <cell r="J4013">
            <v>0.5625</v>
          </cell>
          <cell r="K4013">
            <v>5.6666666670000003</v>
          </cell>
          <cell r="L4013">
            <v>138.1</v>
          </cell>
          <cell r="O4013" t="str">
            <v>Y</v>
          </cell>
          <cell r="P4013" t="str">
            <v>N</v>
          </cell>
          <cell r="Q4013" t="str">
            <v>Under Established</v>
          </cell>
          <cell r="S4013">
            <v>0.15</v>
          </cell>
        </row>
        <row r="4014">
          <cell r="D4014">
            <v>1208002114</v>
          </cell>
          <cell r="E4014" t="str">
            <v>LETECIA MENIANO</v>
          </cell>
          <cell r="F4014" t="str">
            <v>D (MD)</v>
          </cell>
          <cell r="G4014">
            <v>353430</v>
          </cell>
          <cell r="H4014" t="str">
            <v>Mayday</v>
          </cell>
          <cell r="I4014">
            <v>0.83333333333333337</v>
          </cell>
          <cell r="J4014">
            <v>0.33333333333333331</v>
          </cell>
          <cell r="K4014">
            <v>11.33333333</v>
          </cell>
          <cell r="L4014">
            <v>475.74</v>
          </cell>
          <cell r="O4014" t="str">
            <v>Y</v>
          </cell>
          <cell r="P4014" t="str">
            <v>N</v>
          </cell>
          <cell r="Q4014" t="str">
            <v>Extra Capacity</v>
          </cell>
          <cell r="S4014">
            <v>0.3</v>
          </cell>
        </row>
        <row r="4015">
          <cell r="D4015">
            <v>1208002248</v>
          </cell>
          <cell r="E4015" t="str">
            <v>LINDSEY DAY</v>
          </cell>
          <cell r="F4015" t="str">
            <v>D (Amb)</v>
          </cell>
          <cell r="H4015" t="str">
            <v>Ambition</v>
          </cell>
          <cell r="I4015">
            <v>0.32291666666666669</v>
          </cell>
          <cell r="J4015">
            <v>0.54166666666666663</v>
          </cell>
          <cell r="K4015">
            <v>5.25</v>
          </cell>
          <cell r="L4015">
            <v>205.28</v>
          </cell>
          <cell r="O4015" t="str">
            <v>Y</v>
          </cell>
          <cell r="P4015" t="str">
            <v>N</v>
          </cell>
          <cell r="Q4015" t="str">
            <v>Vacancy</v>
          </cell>
          <cell r="S4015">
            <v>0.14000000000000001</v>
          </cell>
        </row>
        <row r="4016">
          <cell r="D4016">
            <v>1208005991</v>
          </cell>
          <cell r="E4016" t="str">
            <v>LISA LANDICHIO</v>
          </cell>
          <cell r="F4016" t="str">
            <v>D (MD)</v>
          </cell>
          <cell r="G4016">
            <v>353450</v>
          </cell>
          <cell r="H4016" t="str">
            <v>Mayday</v>
          </cell>
          <cell r="I4016">
            <v>0.83333333333333337</v>
          </cell>
          <cell r="J4016">
            <v>0.33333333333333331</v>
          </cell>
          <cell r="K4016">
            <v>11</v>
          </cell>
          <cell r="L4016">
            <v>461.75</v>
          </cell>
          <cell r="O4016" t="str">
            <v>Y</v>
          </cell>
          <cell r="P4016" t="str">
            <v>N</v>
          </cell>
          <cell r="Q4016" t="str">
            <v>Extra Capacity</v>
          </cell>
          <cell r="S4016">
            <v>0.28999999999999998</v>
          </cell>
        </row>
        <row r="4017">
          <cell r="D4017">
            <v>1208003127</v>
          </cell>
          <cell r="E4017" t="str">
            <v>LIZ BAGGIO</v>
          </cell>
          <cell r="F4017" t="str">
            <v>A/2 (PS)</v>
          </cell>
          <cell r="H4017" t="str">
            <v>Pinnacle Staffing</v>
          </cell>
          <cell r="I4017">
            <v>0.88541666666666663</v>
          </cell>
          <cell r="J4017">
            <v>0.33333333333333331</v>
          </cell>
          <cell r="K4017">
            <v>10.41666667</v>
          </cell>
          <cell r="L4017">
            <v>130.28</v>
          </cell>
          <cell r="O4017" t="str">
            <v>Y</v>
          </cell>
          <cell r="P4017" t="str">
            <v>N</v>
          </cell>
          <cell r="Q4017" t="str">
            <v>Extra Capacity</v>
          </cell>
          <cell r="S4017">
            <v>0.28000000000000003</v>
          </cell>
        </row>
        <row r="4018">
          <cell r="D4018">
            <v>1208002208</v>
          </cell>
          <cell r="E4018" t="str">
            <v>MABEL MNISI</v>
          </cell>
          <cell r="F4018" t="str">
            <v>D (MD)</v>
          </cell>
          <cell r="G4018">
            <v>352989</v>
          </cell>
          <cell r="H4018" t="str">
            <v>Mayday</v>
          </cell>
          <cell r="I4018">
            <v>0.83333333333333337</v>
          </cell>
          <cell r="J4018">
            <v>0.33333333333333331</v>
          </cell>
          <cell r="K4018">
            <v>11.33333333</v>
          </cell>
          <cell r="L4018">
            <v>475.74</v>
          </cell>
          <cell r="O4018" t="str">
            <v>Y</v>
          </cell>
          <cell r="P4018" t="str">
            <v>N</v>
          </cell>
          <cell r="Q4018" t="str">
            <v>Extra Capacity</v>
          </cell>
          <cell r="S4018">
            <v>0.3</v>
          </cell>
        </row>
        <row r="4019">
          <cell r="D4019">
            <v>1108006207</v>
          </cell>
          <cell r="E4019" t="str">
            <v>MELWEDA CASIDSID</v>
          </cell>
          <cell r="F4019" t="str">
            <v>D (MD)</v>
          </cell>
          <cell r="G4019">
            <v>353565</v>
          </cell>
          <cell r="H4019" t="str">
            <v>Mayday</v>
          </cell>
          <cell r="I4019">
            <v>0.88541666666666663</v>
          </cell>
          <cell r="J4019">
            <v>0.3125</v>
          </cell>
          <cell r="K4019">
            <v>9.9166666669999994</v>
          </cell>
          <cell r="L4019">
            <v>416.27</v>
          </cell>
          <cell r="O4019" t="str">
            <v>Y</v>
          </cell>
          <cell r="P4019" t="str">
            <v>N</v>
          </cell>
          <cell r="Q4019" t="str">
            <v>Vacancy</v>
          </cell>
          <cell r="S4019">
            <v>0.26</v>
          </cell>
        </row>
        <row r="4020">
          <cell r="D4020">
            <v>1208002201</v>
          </cell>
          <cell r="E4020" t="str">
            <v>MICHAEL OKE</v>
          </cell>
          <cell r="F4020" t="str">
            <v>A (Ch)</v>
          </cell>
          <cell r="H4020" t="str">
            <v>Choice</v>
          </cell>
          <cell r="I4020">
            <v>0.3125</v>
          </cell>
          <cell r="J4020">
            <v>0.64583333333333337</v>
          </cell>
          <cell r="K4020">
            <v>7.6666666670000003</v>
          </cell>
          <cell r="L4020">
            <v>85.02</v>
          </cell>
          <cell r="O4020" t="str">
            <v>Y</v>
          </cell>
          <cell r="P4020" t="str">
            <v>N</v>
          </cell>
          <cell r="Q4020" t="str">
            <v>Extra Capacity</v>
          </cell>
          <cell r="S4020">
            <v>0.2</v>
          </cell>
        </row>
        <row r="4021">
          <cell r="D4021">
            <v>1208002462</v>
          </cell>
          <cell r="E4021" t="str">
            <v>MICHAEL OKE</v>
          </cell>
          <cell r="F4021" t="str">
            <v>A (Ch)</v>
          </cell>
          <cell r="H4021" t="str">
            <v>Choice</v>
          </cell>
          <cell r="I4021">
            <v>0.64583333333333337</v>
          </cell>
          <cell r="J4021">
            <v>0.85416666666666663</v>
          </cell>
          <cell r="K4021">
            <v>5</v>
          </cell>
          <cell r="L4021">
            <v>55.45</v>
          </cell>
          <cell r="O4021" t="str">
            <v>Y</v>
          </cell>
          <cell r="P4021" t="str">
            <v>N</v>
          </cell>
          <cell r="Q4021" t="str">
            <v>Extra Capacity</v>
          </cell>
          <cell r="S4021">
            <v>0.13</v>
          </cell>
        </row>
        <row r="4022">
          <cell r="D4022">
            <v>1108006081</v>
          </cell>
          <cell r="E4022" t="str">
            <v>MMAKOOTANE NGOMANE</v>
          </cell>
          <cell r="F4022" t="str">
            <v>D (Amb)</v>
          </cell>
          <cell r="G4022">
            <v>772109</v>
          </cell>
          <cell r="H4022" t="str">
            <v>Ambition</v>
          </cell>
          <cell r="I4022">
            <v>0.625</v>
          </cell>
          <cell r="J4022">
            <v>0.85416666666666663</v>
          </cell>
          <cell r="K4022">
            <v>5.5</v>
          </cell>
          <cell r="L4022">
            <v>215.05</v>
          </cell>
          <cell r="O4022" t="str">
            <v>Y</v>
          </cell>
          <cell r="P4022" t="str">
            <v>N</v>
          </cell>
          <cell r="Q4022" t="str">
            <v>Short Term Sick</v>
          </cell>
          <cell r="S4022">
            <v>0.15</v>
          </cell>
        </row>
        <row r="4023">
          <cell r="D4023">
            <v>1208004565</v>
          </cell>
          <cell r="E4023" t="str">
            <v>MMAKOOTANE NGOMANE</v>
          </cell>
          <cell r="F4023" t="str">
            <v>D (Amb)</v>
          </cell>
          <cell r="G4023">
            <v>769568</v>
          </cell>
          <cell r="H4023" t="str">
            <v>Ambition</v>
          </cell>
          <cell r="I4023">
            <v>0.3125</v>
          </cell>
          <cell r="J4023">
            <v>0.5625</v>
          </cell>
          <cell r="K4023">
            <v>5.6666666670000003</v>
          </cell>
          <cell r="L4023">
            <v>221.57</v>
          </cell>
          <cell r="O4023" t="str">
            <v>Y</v>
          </cell>
          <cell r="P4023" t="str">
            <v>N</v>
          </cell>
          <cell r="Q4023" t="str">
            <v>Short Term Sick</v>
          </cell>
          <cell r="S4023">
            <v>0.15</v>
          </cell>
        </row>
        <row r="4024">
          <cell r="D4024">
            <v>1108003096</v>
          </cell>
          <cell r="E4024" t="str">
            <v>MZUKISI SPEELMAN</v>
          </cell>
          <cell r="F4024" t="str">
            <v>A (Ch)</v>
          </cell>
          <cell r="G4024">
            <v>17699</v>
          </cell>
          <cell r="H4024" t="str">
            <v>Choice</v>
          </cell>
          <cell r="I4024">
            <v>0.3125</v>
          </cell>
          <cell r="J4024">
            <v>0.5625</v>
          </cell>
          <cell r="K4024">
            <v>5.6666666670000003</v>
          </cell>
          <cell r="L4024">
            <v>62.84</v>
          </cell>
          <cell r="O4024" t="str">
            <v>Y</v>
          </cell>
          <cell r="P4024" t="str">
            <v>N</v>
          </cell>
          <cell r="Q4024" t="str">
            <v>Under Established</v>
          </cell>
          <cell r="S4024">
            <v>0.15</v>
          </cell>
        </row>
        <row r="4025">
          <cell r="D4025">
            <v>1208004579</v>
          </cell>
          <cell r="E4025" t="str">
            <v>MZUKISI SPEELMAN</v>
          </cell>
          <cell r="F4025" t="str">
            <v>A (Ch)</v>
          </cell>
          <cell r="G4025">
            <v>17699</v>
          </cell>
          <cell r="H4025" t="str">
            <v>Choice</v>
          </cell>
          <cell r="I4025">
            <v>0.5625</v>
          </cell>
          <cell r="J4025">
            <v>0.85416666666666663</v>
          </cell>
          <cell r="K4025">
            <v>6.6666666670000003</v>
          </cell>
          <cell r="L4025">
            <v>73.930000000000007</v>
          </cell>
          <cell r="O4025" t="str">
            <v>Y</v>
          </cell>
          <cell r="P4025" t="str">
            <v>N</v>
          </cell>
          <cell r="Q4025" t="str">
            <v>Under Established</v>
          </cell>
          <cell r="S4025">
            <v>0.18</v>
          </cell>
        </row>
        <row r="4026">
          <cell r="D4026">
            <v>1208002116</v>
          </cell>
          <cell r="E4026" t="str">
            <v>OMAR SENGHORE</v>
          </cell>
          <cell r="F4026" t="str">
            <v>D (MD)</v>
          </cell>
          <cell r="G4026">
            <v>354097</v>
          </cell>
          <cell r="H4026" t="str">
            <v>Mayday</v>
          </cell>
          <cell r="I4026">
            <v>0.83333333333333337</v>
          </cell>
          <cell r="J4026">
            <v>0.33333333333333331</v>
          </cell>
          <cell r="K4026">
            <v>11.33333333</v>
          </cell>
          <cell r="L4026">
            <v>475.74</v>
          </cell>
          <cell r="O4026" t="str">
            <v>Y</v>
          </cell>
          <cell r="P4026" t="str">
            <v>N</v>
          </cell>
          <cell r="Q4026" t="str">
            <v>Extra Capacity</v>
          </cell>
          <cell r="S4026">
            <v>0.3</v>
          </cell>
        </row>
        <row r="4027">
          <cell r="D4027">
            <v>1208001707</v>
          </cell>
          <cell r="E4027" t="str">
            <v>PEGGY MAPOGO</v>
          </cell>
          <cell r="F4027" t="str">
            <v>D (Ch)</v>
          </cell>
          <cell r="G4027">
            <v>17699</v>
          </cell>
          <cell r="H4027" t="str">
            <v>Choice</v>
          </cell>
          <cell r="I4027">
            <v>0.3125</v>
          </cell>
          <cell r="J4027">
            <v>0.60416666666666663</v>
          </cell>
          <cell r="K4027">
            <v>6.6666666670000003</v>
          </cell>
          <cell r="L4027">
            <v>162.47</v>
          </cell>
          <cell r="O4027" t="str">
            <v>Y</v>
          </cell>
          <cell r="P4027" t="str">
            <v>N</v>
          </cell>
          <cell r="Q4027" t="str">
            <v>Extra Capacity</v>
          </cell>
          <cell r="S4027">
            <v>0.18</v>
          </cell>
        </row>
        <row r="4028">
          <cell r="D4028">
            <v>1208001721</v>
          </cell>
          <cell r="E4028" t="str">
            <v>PEGGY MAPOGO</v>
          </cell>
          <cell r="F4028" t="str">
            <v>D (Ch)</v>
          </cell>
          <cell r="G4028">
            <v>17699</v>
          </cell>
          <cell r="H4028" t="str">
            <v>Choice</v>
          </cell>
          <cell r="I4028">
            <v>0.60416666666666663</v>
          </cell>
          <cell r="J4028">
            <v>0.85416666666666663</v>
          </cell>
          <cell r="K4028">
            <v>5.6666666670000003</v>
          </cell>
          <cell r="L4028">
            <v>138.1</v>
          </cell>
          <cell r="O4028" t="str">
            <v>Y</v>
          </cell>
          <cell r="P4028" t="str">
            <v>N</v>
          </cell>
          <cell r="Q4028" t="str">
            <v>Extra Capacity</v>
          </cell>
          <cell r="S4028">
            <v>0.15</v>
          </cell>
        </row>
        <row r="4029">
          <cell r="D4029">
            <v>1208004499</v>
          </cell>
          <cell r="E4029" t="str">
            <v>PRUDENCE MAJOZI</v>
          </cell>
          <cell r="F4029" t="str">
            <v>D (MD)</v>
          </cell>
          <cell r="G4029">
            <v>353887</v>
          </cell>
          <cell r="H4029" t="str">
            <v>Mayday</v>
          </cell>
          <cell r="I4029">
            <v>0.88541666666666663</v>
          </cell>
          <cell r="J4029">
            <v>0.3125</v>
          </cell>
          <cell r="K4029">
            <v>9.25</v>
          </cell>
          <cell r="L4029">
            <v>388.29</v>
          </cell>
          <cell r="O4029" t="str">
            <v>Y</v>
          </cell>
          <cell r="P4029" t="str">
            <v>N</v>
          </cell>
          <cell r="Q4029" t="str">
            <v>Vacancy</v>
          </cell>
          <cell r="S4029">
            <v>0.25</v>
          </cell>
        </row>
        <row r="4030">
          <cell r="D4030">
            <v>1208004439</v>
          </cell>
          <cell r="E4030" t="str">
            <v>RAY THWALA</v>
          </cell>
          <cell r="F4030" t="str">
            <v>A (Ch)</v>
          </cell>
          <cell r="H4030" t="str">
            <v>Choice</v>
          </cell>
          <cell r="I4030">
            <v>0.83333333333333337</v>
          </cell>
          <cell r="J4030">
            <v>0.33333333333333331</v>
          </cell>
          <cell r="K4030">
            <v>11</v>
          </cell>
          <cell r="L4030">
            <v>162.65</v>
          </cell>
          <cell r="O4030" t="str">
            <v>Y</v>
          </cell>
          <cell r="P4030" t="str">
            <v>N</v>
          </cell>
          <cell r="Q4030" t="str">
            <v>Short Term Sick</v>
          </cell>
          <cell r="S4030">
            <v>0.28999999999999998</v>
          </cell>
        </row>
        <row r="4031">
          <cell r="D4031">
            <v>1208002662</v>
          </cell>
          <cell r="E4031" t="str">
            <v>RIAZ AHMED</v>
          </cell>
          <cell r="F4031" t="str">
            <v>D/5 Mental (Med</v>
          </cell>
          <cell r="G4031" t="str">
            <v>604-162169</v>
          </cell>
          <cell r="H4031" t="str">
            <v>Medacs</v>
          </cell>
          <cell r="I4031">
            <v>0.29166666666666669</v>
          </cell>
          <cell r="J4031">
            <v>0.625</v>
          </cell>
          <cell r="K4031">
            <v>7.6666666670000003</v>
          </cell>
          <cell r="L4031">
            <v>141.30000000000001</v>
          </cell>
          <cell r="O4031" t="str">
            <v>Y</v>
          </cell>
          <cell r="P4031" t="str">
            <v>N</v>
          </cell>
          <cell r="Q4031" t="str">
            <v>Specials</v>
          </cell>
          <cell r="S4031">
            <v>0.2</v>
          </cell>
        </row>
        <row r="4032">
          <cell r="D4032">
            <v>1208002665</v>
          </cell>
          <cell r="E4032" t="str">
            <v>RIAZ AHMED</v>
          </cell>
          <cell r="F4032" t="str">
            <v>D/5 Mental (Med</v>
          </cell>
          <cell r="G4032" t="str">
            <v>604-162169</v>
          </cell>
          <cell r="H4032" t="str">
            <v>Medacs</v>
          </cell>
          <cell r="I4032">
            <v>0.625</v>
          </cell>
          <cell r="J4032">
            <v>0.88541666666666663</v>
          </cell>
          <cell r="K4032">
            <v>5.9166666670000003</v>
          </cell>
          <cell r="L4032">
            <v>109.04</v>
          </cell>
          <cell r="O4032" t="str">
            <v>Y</v>
          </cell>
          <cell r="P4032" t="str">
            <v>N</v>
          </cell>
          <cell r="Q4032" t="str">
            <v>Specials</v>
          </cell>
          <cell r="S4032">
            <v>0.16</v>
          </cell>
        </row>
        <row r="4033">
          <cell r="D4033">
            <v>1208002841</v>
          </cell>
          <cell r="E4033" t="str">
            <v>RITCHIE RUBIA</v>
          </cell>
          <cell r="F4033" t="str">
            <v>D (Ch)</v>
          </cell>
          <cell r="H4033" t="str">
            <v>Choice</v>
          </cell>
          <cell r="I4033">
            <v>0.875</v>
          </cell>
          <cell r="J4033">
            <v>0.32291666666666669</v>
          </cell>
          <cell r="K4033">
            <v>10</v>
          </cell>
          <cell r="L4033">
            <v>316.81</v>
          </cell>
          <cell r="O4033" t="str">
            <v>Y</v>
          </cell>
          <cell r="P4033" t="str">
            <v>N</v>
          </cell>
          <cell r="Q4033" t="str">
            <v>Specials</v>
          </cell>
          <cell r="S4033">
            <v>0.27</v>
          </cell>
        </row>
        <row r="4034">
          <cell r="D4034">
            <v>1208004850</v>
          </cell>
          <cell r="E4034" t="str">
            <v>ROBERT DELACOUR</v>
          </cell>
          <cell r="F4034" t="str">
            <v>D (Amb)</v>
          </cell>
          <cell r="G4034">
            <v>772156</v>
          </cell>
          <cell r="H4034" t="str">
            <v>Ambition</v>
          </cell>
          <cell r="I4034">
            <v>0.625</v>
          </cell>
          <cell r="J4034">
            <v>0.83333333333333337</v>
          </cell>
          <cell r="K4034">
            <v>5</v>
          </cell>
          <cell r="L4034">
            <v>195.5</v>
          </cell>
          <cell r="O4034" t="str">
            <v>Y</v>
          </cell>
          <cell r="P4034" t="str">
            <v>N</v>
          </cell>
          <cell r="Q4034" t="str">
            <v>Extra Capacity</v>
          </cell>
          <cell r="S4034">
            <v>0.13</v>
          </cell>
        </row>
        <row r="4035">
          <cell r="D4035">
            <v>1208002252</v>
          </cell>
          <cell r="E4035" t="str">
            <v>RODA RAMERIZ</v>
          </cell>
          <cell r="F4035" t="str">
            <v>D (Ch)</v>
          </cell>
          <cell r="G4035">
            <v>17698</v>
          </cell>
          <cell r="H4035" t="str">
            <v>Choice</v>
          </cell>
          <cell r="I4035">
            <v>0.82291666666666663</v>
          </cell>
          <cell r="J4035">
            <v>0.34375</v>
          </cell>
          <cell r="K4035">
            <v>11.5</v>
          </cell>
          <cell r="L4035">
            <v>364.33</v>
          </cell>
          <cell r="O4035" t="str">
            <v>Y</v>
          </cell>
          <cell r="P4035" t="str">
            <v>N</v>
          </cell>
          <cell r="Q4035" t="str">
            <v>Vacancy</v>
          </cell>
          <cell r="S4035">
            <v>0.31</v>
          </cell>
        </row>
        <row r="4036">
          <cell r="D4036">
            <v>1208002113</v>
          </cell>
          <cell r="E4036" t="str">
            <v>RUTH NDEGWA</v>
          </cell>
          <cell r="F4036" t="str">
            <v>D (MD)</v>
          </cell>
          <cell r="G4036">
            <v>352709</v>
          </cell>
          <cell r="H4036" t="str">
            <v>Mayday</v>
          </cell>
          <cell r="I4036">
            <v>0.83333333333333337</v>
          </cell>
          <cell r="J4036">
            <v>0.33333333333333331</v>
          </cell>
          <cell r="K4036">
            <v>11.33333333</v>
          </cell>
          <cell r="L4036">
            <v>475.74</v>
          </cell>
          <cell r="O4036" t="str">
            <v>Y</v>
          </cell>
          <cell r="P4036" t="str">
            <v>N</v>
          </cell>
          <cell r="Q4036" t="str">
            <v>Extra Capacity</v>
          </cell>
          <cell r="S4036">
            <v>0.3</v>
          </cell>
        </row>
        <row r="4037">
          <cell r="D4037">
            <v>1208001736</v>
          </cell>
          <cell r="E4037" t="str">
            <v>SAM KELEM</v>
          </cell>
          <cell r="F4037" t="str">
            <v>D (Ch)</v>
          </cell>
          <cell r="G4037">
            <v>17699</v>
          </cell>
          <cell r="H4037" t="str">
            <v>Choice</v>
          </cell>
          <cell r="I4037">
            <v>0.83333333333333337</v>
          </cell>
          <cell r="J4037">
            <v>0.33333333333333331</v>
          </cell>
          <cell r="K4037">
            <v>11.33333333</v>
          </cell>
          <cell r="L4037">
            <v>359.05</v>
          </cell>
          <cell r="O4037" t="str">
            <v>Y</v>
          </cell>
          <cell r="P4037" t="str">
            <v>N</v>
          </cell>
          <cell r="Q4037" t="str">
            <v>Extra Capacity</v>
          </cell>
          <cell r="S4037">
            <v>0.3</v>
          </cell>
        </row>
        <row r="4038">
          <cell r="D4038">
            <v>1008006965</v>
          </cell>
          <cell r="E4038" t="str">
            <v>SEREELETSO MAITIYO</v>
          </cell>
          <cell r="F4038" t="str">
            <v>D (Ch)</v>
          </cell>
          <cell r="G4038">
            <v>17712</v>
          </cell>
          <cell r="H4038" t="str">
            <v>Choice</v>
          </cell>
          <cell r="I4038">
            <v>0.625</v>
          </cell>
          <cell r="J4038">
            <v>0.85416666666666663</v>
          </cell>
          <cell r="K4038">
            <v>5.5</v>
          </cell>
          <cell r="L4038">
            <v>134.03</v>
          </cell>
          <cell r="O4038" t="str">
            <v>Y</v>
          </cell>
          <cell r="P4038" t="str">
            <v>N</v>
          </cell>
          <cell r="Q4038" t="str">
            <v>Vacancy</v>
          </cell>
          <cell r="S4038">
            <v>0.15</v>
          </cell>
        </row>
        <row r="4039">
          <cell r="D4039">
            <v>1108003583</v>
          </cell>
          <cell r="E4039" t="str">
            <v>SEREELETSO MAITIYO</v>
          </cell>
          <cell r="F4039" t="str">
            <v>D (Ch)</v>
          </cell>
          <cell r="G4039">
            <v>17712</v>
          </cell>
          <cell r="H4039" t="str">
            <v>Choice</v>
          </cell>
          <cell r="I4039">
            <v>0.3125</v>
          </cell>
          <cell r="J4039">
            <v>0.5625</v>
          </cell>
          <cell r="K4039">
            <v>5.6666666670000003</v>
          </cell>
          <cell r="L4039">
            <v>138.1</v>
          </cell>
          <cell r="O4039" t="str">
            <v>Y</v>
          </cell>
          <cell r="P4039" t="str">
            <v>N</v>
          </cell>
          <cell r="Q4039" t="str">
            <v>Vacancy</v>
          </cell>
          <cell r="S4039">
            <v>0.15</v>
          </cell>
        </row>
        <row r="4040">
          <cell r="D4040">
            <v>1108004659</v>
          </cell>
          <cell r="E4040" t="str">
            <v>SIBONGILE DOKOTERA</v>
          </cell>
          <cell r="F4040" t="str">
            <v>D (MD)</v>
          </cell>
          <cell r="G4040">
            <v>353971</v>
          </cell>
          <cell r="H4040" t="str">
            <v>Mayday</v>
          </cell>
          <cell r="I4040">
            <v>0.5625</v>
          </cell>
          <cell r="J4040">
            <v>0.85416666666666663</v>
          </cell>
          <cell r="K4040">
            <v>6.6666666670000003</v>
          </cell>
          <cell r="L4040">
            <v>215.27</v>
          </cell>
          <cell r="O4040" t="str">
            <v>Y</v>
          </cell>
          <cell r="P4040" t="str">
            <v>N</v>
          </cell>
          <cell r="Q4040" t="str">
            <v>Vacancy</v>
          </cell>
          <cell r="S4040">
            <v>0.18</v>
          </cell>
        </row>
        <row r="4041">
          <cell r="D4041">
            <v>1208001805</v>
          </cell>
          <cell r="E4041" t="str">
            <v>SIBONGILE DOKOTERA</v>
          </cell>
          <cell r="F4041" t="str">
            <v>D (MD)</v>
          </cell>
          <cell r="G4041">
            <v>353971</v>
          </cell>
          <cell r="H4041" t="str">
            <v>Mayday</v>
          </cell>
          <cell r="I4041">
            <v>0.3125</v>
          </cell>
          <cell r="J4041">
            <v>0.5625</v>
          </cell>
          <cell r="K4041">
            <v>5.6666666670000003</v>
          </cell>
          <cell r="L4041">
            <v>182.98</v>
          </cell>
          <cell r="O4041" t="str">
            <v>Y</v>
          </cell>
          <cell r="P4041" t="str">
            <v>N</v>
          </cell>
          <cell r="Q4041" t="str">
            <v>Vacancy</v>
          </cell>
          <cell r="S4041">
            <v>0.15</v>
          </cell>
        </row>
        <row r="4042">
          <cell r="D4042">
            <v>1208002250</v>
          </cell>
          <cell r="E4042" t="str">
            <v>SIBONISIWE NCUBE</v>
          </cell>
          <cell r="F4042" t="str">
            <v>D (Amb)</v>
          </cell>
          <cell r="G4042">
            <v>767283</v>
          </cell>
          <cell r="H4042" t="str">
            <v>Ambition</v>
          </cell>
          <cell r="I4042">
            <v>0.63541666666666663</v>
          </cell>
          <cell r="J4042">
            <v>0.85416666666666663</v>
          </cell>
          <cell r="K4042">
            <v>5.25</v>
          </cell>
          <cell r="L4042">
            <v>205.28</v>
          </cell>
          <cell r="O4042" t="str">
            <v>Y</v>
          </cell>
          <cell r="P4042" t="str">
            <v>N</v>
          </cell>
          <cell r="Q4042" t="str">
            <v>Vacancy</v>
          </cell>
          <cell r="S4042">
            <v>0.14000000000000001</v>
          </cell>
        </row>
        <row r="4043">
          <cell r="D4043">
            <v>1208003512</v>
          </cell>
          <cell r="E4043" t="str">
            <v>SIBONISIWE NCUBE</v>
          </cell>
          <cell r="F4043" t="str">
            <v>D (Amb)</v>
          </cell>
          <cell r="G4043">
            <v>767280</v>
          </cell>
          <cell r="H4043" t="str">
            <v>Ambition</v>
          </cell>
          <cell r="I4043">
            <v>0.3125</v>
          </cell>
          <cell r="J4043">
            <v>0.54166666666666663</v>
          </cell>
          <cell r="K4043">
            <v>5.5</v>
          </cell>
          <cell r="L4043">
            <v>215.05</v>
          </cell>
          <cell r="O4043" t="str">
            <v>Y</v>
          </cell>
          <cell r="P4043" t="str">
            <v>N</v>
          </cell>
          <cell r="Q4043" t="str">
            <v>Vacancy</v>
          </cell>
          <cell r="S4043">
            <v>0.15</v>
          </cell>
        </row>
        <row r="4044">
          <cell r="D4044">
            <v>1208003421</v>
          </cell>
          <cell r="E4044" t="str">
            <v>TARA MASSIE</v>
          </cell>
          <cell r="F4044" t="str">
            <v>D (MD)</v>
          </cell>
          <cell r="G4044">
            <v>353661</v>
          </cell>
          <cell r="H4044" t="str">
            <v>Mayday</v>
          </cell>
          <cell r="I4044">
            <v>0.33333333333333331</v>
          </cell>
          <cell r="J4044">
            <v>0.83333333333333337</v>
          </cell>
          <cell r="K4044">
            <v>11.33333333</v>
          </cell>
          <cell r="L4044">
            <v>365.95</v>
          </cell>
          <cell r="O4044" t="str">
            <v>Y</v>
          </cell>
          <cell r="P4044" t="str">
            <v>N</v>
          </cell>
          <cell r="Q4044" t="str">
            <v>Vacancy</v>
          </cell>
          <cell r="S4044">
            <v>0.3</v>
          </cell>
        </row>
        <row r="4045">
          <cell r="D4045">
            <v>1208004513</v>
          </cell>
          <cell r="E4045" t="str">
            <v>THEMBA NKOMO</v>
          </cell>
          <cell r="F4045" t="str">
            <v>A (Ch)</v>
          </cell>
          <cell r="G4045">
            <v>17700</v>
          </cell>
          <cell r="H4045" t="str">
            <v>Choice</v>
          </cell>
          <cell r="I4045">
            <v>0.58333333333333337</v>
          </cell>
          <cell r="J4045">
            <v>0.83333333333333337</v>
          </cell>
          <cell r="K4045">
            <v>5.6666666670000003</v>
          </cell>
          <cell r="L4045">
            <v>62.84</v>
          </cell>
          <cell r="O4045" t="str">
            <v>Y</v>
          </cell>
          <cell r="P4045" t="str">
            <v>N</v>
          </cell>
          <cell r="Q4045" t="str">
            <v>Short Term Sick</v>
          </cell>
          <cell r="S4045">
            <v>0.15</v>
          </cell>
        </row>
        <row r="4046">
          <cell r="D4046">
            <v>1208002211</v>
          </cell>
          <cell r="E4046" t="str">
            <v>TRUST CHIWUNDURA</v>
          </cell>
          <cell r="F4046" t="str">
            <v>A (Ch)</v>
          </cell>
          <cell r="G4046">
            <v>17716</v>
          </cell>
          <cell r="H4046" t="str">
            <v>Choice</v>
          </cell>
          <cell r="I4046">
            <v>0.83333333333333337</v>
          </cell>
          <cell r="J4046">
            <v>0.33333333333333331</v>
          </cell>
          <cell r="K4046">
            <v>11.33333333</v>
          </cell>
          <cell r="L4046">
            <v>167.58</v>
          </cell>
          <cell r="O4046" t="str">
            <v>Y</v>
          </cell>
          <cell r="P4046" t="str">
            <v>N</v>
          </cell>
          <cell r="Q4046" t="str">
            <v>Extra Capacity</v>
          </cell>
          <cell r="S4046">
            <v>0.3</v>
          </cell>
        </row>
        <row r="4047">
          <cell r="D4047">
            <v>1208002205</v>
          </cell>
          <cell r="E4047" t="str">
            <v>VANESSA GOULD</v>
          </cell>
          <cell r="F4047" t="str">
            <v>A /2 General (M</v>
          </cell>
          <cell r="G4047" t="str">
            <v>604-162581</v>
          </cell>
          <cell r="H4047" t="str">
            <v>Medacs</v>
          </cell>
          <cell r="I4047">
            <v>0.64583333333333337</v>
          </cell>
          <cell r="J4047">
            <v>0.85416666666666663</v>
          </cell>
          <cell r="K4047">
            <v>5</v>
          </cell>
          <cell r="L4047">
            <v>48.75</v>
          </cell>
          <cell r="O4047" t="str">
            <v>Y</v>
          </cell>
          <cell r="P4047" t="str">
            <v>N</v>
          </cell>
          <cell r="Q4047" t="str">
            <v>Extra Capacity</v>
          </cell>
          <cell r="S4047">
            <v>0.13</v>
          </cell>
        </row>
        <row r="4048">
          <cell r="D4048">
            <v>1208002056</v>
          </cell>
          <cell r="E4048" t="str">
            <v>ALLI SUBRAMANIAM</v>
          </cell>
          <cell r="F4048" t="str">
            <v>D (MD)</v>
          </cell>
          <cell r="G4048">
            <v>355590</v>
          </cell>
          <cell r="H4048" t="str">
            <v>Mayday</v>
          </cell>
          <cell r="I4048">
            <v>0.3125</v>
          </cell>
          <cell r="J4048">
            <v>0.625</v>
          </cell>
          <cell r="K4048">
            <v>7.1666666670000003</v>
          </cell>
          <cell r="L4048">
            <v>300.83999999999997</v>
          </cell>
          <cell r="O4048" t="str">
            <v>Y</v>
          </cell>
          <cell r="P4048" t="str">
            <v>N</v>
          </cell>
          <cell r="Q4048" t="str">
            <v>Extra Capacity</v>
          </cell>
          <cell r="S4048">
            <v>0.19</v>
          </cell>
        </row>
        <row r="4049">
          <cell r="D4049">
            <v>1208002084</v>
          </cell>
          <cell r="E4049" t="str">
            <v>ALLI SUBRAMANIAM</v>
          </cell>
          <cell r="F4049" t="str">
            <v>D (MD)</v>
          </cell>
          <cell r="G4049">
            <v>355590</v>
          </cell>
          <cell r="H4049" t="str">
            <v>Mayday</v>
          </cell>
          <cell r="I4049">
            <v>0.625</v>
          </cell>
          <cell r="J4049">
            <v>0.85416666666666663</v>
          </cell>
          <cell r="K4049">
            <v>5.5</v>
          </cell>
          <cell r="L4049">
            <v>230.87</v>
          </cell>
          <cell r="O4049" t="str">
            <v>Y</v>
          </cell>
          <cell r="P4049" t="str">
            <v>N</v>
          </cell>
          <cell r="Q4049" t="str">
            <v>Extra Capacity</v>
          </cell>
          <cell r="S4049">
            <v>0.15</v>
          </cell>
        </row>
        <row r="4050">
          <cell r="D4050">
            <v>1208002058</v>
          </cell>
          <cell r="E4050" t="str">
            <v>AMANDA YOUNG</v>
          </cell>
          <cell r="F4050" t="str">
            <v>D (MD)</v>
          </cell>
          <cell r="G4050">
            <v>354314</v>
          </cell>
          <cell r="H4050" t="str">
            <v>Mayday</v>
          </cell>
          <cell r="I4050">
            <v>0.3125</v>
          </cell>
          <cell r="J4050">
            <v>0.625</v>
          </cell>
          <cell r="K4050">
            <v>7.1666666670000003</v>
          </cell>
          <cell r="L4050">
            <v>300.83999999999997</v>
          </cell>
          <cell r="O4050" t="str">
            <v>Y</v>
          </cell>
          <cell r="P4050" t="str">
            <v>N</v>
          </cell>
          <cell r="Q4050" t="str">
            <v>Extra Capacity</v>
          </cell>
          <cell r="S4050">
            <v>0.19</v>
          </cell>
        </row>
        <row r="4051">
          <cell r="D4051">
            <v>1208002256</v>
          </cell>
          <cell r="E4051" t="str">
            <v>ARJE ZAMBARRANO</v>
          </cell>
          <cell r="F4051" t="str">
            <v>D (MD)</v>
          </cell>
          <cell r="G4051">
            <v>354133</v>
          </cell>
          <cell r="H4051" t="str">
            <v>Mayday</v>
          </cell>
          <cell r="I4051">
            <v>0.82291666666666663</v>
          </cell>
          <cell r="J4051">
            <v>0.34375</v>
          </cell>
          <cell r="K4051">
            <v>11.5</v>
          </cell>
          <cell r="L4051">
            <v>482.74</v>
          </cell>
          <cell r="O4051" t="str">
            <v>Y</v>
          </cell>
          <cell r="P4051" t="str">
            <v>N</v>
          </cell>
          <cell r="Q4051" t="str">
            <v>Maternity Leave</v>
          </cell>
          <cell r="S4051">
            <v>0.31</v>
          </cell>
        </row>
        <row r="4052">
          <cell r="D4052">
            <v>1208004016</v>
          </cell>
          <cell r="E4052" t="str">
            <v>ATINUKE OKE-OLATUNDE</v>
          </cell>
          <cell r="F4052" t="str">
            <v>D (MD)</v>
          </cell>
          <cell r="G4052">
            <v>358232</v>
          </cell>
          <cell r="H4052" t="str">
            <v>Mayday</v>
          </cell>
          <cell r="I4052">
            <v>0.84375</v>
          </cell>
          <cell r="J4052">
            <v>0.3125</v>
          </cell>
          <cell r="K4052">
            <v>10.25</v>
          </cell>
          <cell r="L4052">
            <v>430.26</v>
          </cell>
          <cell r="O4052" t="str">
            <v>Y</v>
          </cell>
          <cell r="P4052" t="str">
            <v>N</v>
          </cell>
          <cell r="Q4052" t="str">
            <v>Extra Capacity</v>
          </cell>
          <cell r="S4052">
            <v>0.27</v>
          </cell>
        </row>
        <row r="4053">
          <cell r="D4053">
            <v>1008006969</v>
          </cell>
          <cell r="E4053" t="str">
            <v>BIDDY CHAFESUKA</v>
          </cell>
          <cell r="F4053" t="str">
            <v>D (Ch)</v>
          </cell>
          <cell r="G4053">
            <v>17712</v>
          </cell>
          <cell r="H4053" t="str">
            <v>Choice</v>
          </cell>
          <cell r="I4053">
            <v>0.3125</v>
          </cell>
          <cell r="J4053">
            <v>0.54166666666666663</v>
          </cell>
          <cell r="K4053">
            <v>5.5</v>
          </cell>
          <cell r="L4053">
            <v>174.25</v>
          </cell>
          <cell r="O4053" t="str">
            <v>Y</v>
          </cell>
          <cell r="P4053" t="str">
            <v>N</v>
          </cell>
          <cell r="Q4053" t="str">
            <v>Vacancy</v>
          </cell>
          <cell r="S4053">
            <v>0.15</v>
          </cell>
        </row>
        <row r="4054">
          <cell r="D4054">
            <v>1208003668</v>
          </cell>
          <cell r="E4054" t="str">
            <v>BONNIE TWALA</v>
          </cell>
          <cell r="F4054" t="str">
            <v>D (Amb)</v>
          </cell>
          <cell r="G4054">
            <v>772162</v>
          </cell>
          <cell r="H4054" t="str">
            <v>Ambition</v>
          </cell>
          <cell r="I4054">
            <v>0.82291666666666663</v>
          </cell>
          <cell r="J4054">
            <v>0.34375</v>
          </cell>
          <cell r="K4054">
            <v>11.5</v>
          </cell>
          <cell r="L4054">
            <v>584.54999999999995</v>
          </cell>
          <cell r="O4054" t="str">
            <v>Y</v>
          </cell>
          <cell r="P4054" t="str">
            <v>N</v>
          </cell>
          <cell r="Q4054" t="str">
            <v>Extra Capacity</v>
          </cell>
          <cell r="S4054">
            <v>0.31</v>
          </cell>
        </row>
        <row r="4055">
          <cell r="D4055">
            <v>1208003781</v>
          </cell>
          <cell r="E4055" t="str">
            <v>BRIGHTNESS NDEBELE</v>
          </cell>
          <cell r="F4055" t="str">
            <v>D (MD)</v>
          </cell>
          <cell r="G4055">
            <v>353560</v>
          </cell>
          <cell r="H4055" t="str">
            <v>Mayday</v>
          </cell>
          <cell r="I4055">
            <v>0.82291666666666663</v>
          </cell>
          <cell r="J4055">
            <v>0.34375</v>
          </cell>
          <cell r="K4055">
            <v>11.5</v>
          </cell>
          <cell r="L4055">
            <v>482.74</v>
          </cell>
          <cell r="O4055" t="str">
            <v>Y</v>
          </cell>
          <cell r="P4055" t="str">
            <v>N</v>
          </cell>
          <cell r="Q4055" t="str">
            <v>Extra Capacity</v>
          </cell>
          <cell r="S4055">
            <v>0.31</v>
          </cell>
        </row>
        <row r="4056">
          <cell r="D4056">
            <v>1208001738</v>
          </cell>
          <cell r="E4056" t="str">
            <v>CARL HIBBERT</v>
          </cell>
          <cell r="F4056" t="str">
            <v>D (Ch)</v>
          </cell>
          <cell r="H4056" t="str">
            <v>Choice</v>
          </cell>
          <cell r="I4056">
            <v>0.83333333333333337</v>
          </cell>
          <cell r="J4056">
            <v>0.33333333333333331</v>
          </cell>
          <cell r="K4056">
            <v>11.33333333</v>
          </cell>
          <cell r="L4056">
            <v>359.05</v>
          </cell>
          <cell r="O4056" t="str">
            <v>Y</v>
          </cell>
          <cell r="P4056" t="str">
            <v>N</v>
          </cell>
          <cell r="Q4056" t="str">
            <v>Extra Capacity</v>
          </cell>
          <cell r="S4056">
            <v>0.3</v>
          </cell>
        </row>
        <row r="4057">
          <cell r="D4057">
            <v>1208005993</v>
          </cell>
          <cell r="E4057" t="str">
            <v>CARMEN MAURICIO</v>
          </cell>
          <cell r="F4057" t="str">
            <v>D (MD)</v>
          </cell>
          <cell r="H4057" t="str">
            <v>Mayday</v>
          </cell>
          <cell r="I4057">
            <v>0.3125</v>
          </cell>
          <cell r="J4057">
            <v>0.85416666666666663</v>
          </cell>
          <cell r="K4057">
            <v>12.33333333</v>
          </cell>
          <cell r="L4057">
            <v>517.72</v>
          </cell>
          <cell r="O4057" t="str">
            <v>Y</v>
          </cell>
          <cell r="P4057" t="str">
            <v>N</v>
          </cell>
          <cell r="Q4057" t="str">
            <v>Extra Capacity</v>
          </cell>
          <cell r="S4057">
            <v>0.33</v>
          </cell>
        </row>
        <row r="4058">
          <cell r="D4058">
            <v>1208003705</v>
          </cell>
          <cell r="E4058" t="str">
            <v>CATH CHIDAVAYENZI</v>
          </cell>
          <cell r="F4058" t="str">
            <v>D (Ch)</v>
          </cell>
          <cell r="G4058">
            <v>17768</v>
          </cell>
          <cell r="H4058" t="str">
            <v>Choice</v>
          </cell>
          <cell r="I4058">
            <v>0.82291666666666663</v>
          </cell>
          <cell r="J4058">
            <v>0.34375</v>
          </cell>
          <cell r="K4058">
            <v>11.5</v>
          </cell>
          <cell r="L4058">
            <v>364.33</v>
          </cell>
          <cell r="O4058" t="str">
            <v>Y</v>
          </cell>
          <cell r="P4058" t="str">
            <v>N</v>
          </cell>
          <cell r="Q4058" t="str">
            <v>Vacancy</v>
          </cell>
          <cell r="S4058">
            <v>0.31</v>
          </cell>
        </row>
        <row r="4059">
          <cell r="D4059">
            <v>1208005990</v>
          </cell>
          <cell r="E4059" t="str">
            <v>DEBBIE HARRIS</v>
          </cell>
          <cell r="F4059" t="str">
            <v>D (MD)</v>
          </cell>
          <cell r="G4059">
            <v>355194</v>
          </cell>
          <cell r="H4059" t="str">
            <v>Mayday</v>
          </cell>
          <cell r="I4059">
            <v>0.83333333333333337</v>
          </cell>
          <cell r="J4059">
            <v>0.33333333333333331</v>
          </cell>
          <cell r="K4059">
            <v>11</v>
          </cell>
          <cell r="L4059">
            <v>461.75</v>
          </cell>
          <cell r="O4059" t="str">
            <v>Y</v>
          </cell>
          <cell r="P4059" t="str">
            <v>N</v>
          </cell>
          <cell r="Q4059" t="str">
            <v>Short Term Sick</v>
          </cell>
          <cell r="S4059">
            <v>0.28999999999999998</v>
          </cell>
        </row>
        <row r="4060">
          <cell r="D4060">
            <v>1108006209</v>
          </cell>
          <cell r="E4060" t="str">
            <v>DOROTHY MUTEMWA</v>
          </cell>
          <cell r="F4060" t="str">
            <v>A (Ch)</v>
          </cell>
          <cell r="H4060" t="str">
            <v>Choice</v>
          </cell>
          <cell r="I4060">
            <v>0.29166666666666669</v>
          </cell>
          <cell r="J4060">
            <v>0.54166666666666663</v>
          </cell>
          <cell r="K4060">
            <v>5.6666666670000003</v>
          </cell>
          <cell r="L4060">
            <v>83.79</v>
          </cell>
          <cell r="O4060" t="str">
            <v>Y</v>
          </cell>
          <cell r="P4060" t="str">
            <v>N</v>
          </cell>
          <cell r="Q4060" t="str">
            <v>Vacancy</v>
          </cell>
          <cell r="S4060">
            <v>0.15</v>
          </cell>
        </row>
        <row r="4061">
          <cell r="D4061">
            <v>1208005185</v>
          </cell>
          <cell r="E4061" t="str">
            <v>ELENOR PARAZO</v>
          </cell>
          <cell r="F4061" t="str">
            <v>D (MD)</v>
          </cell>
          <cell r="G4061">
            <v>353514</v>
          </cell>
          <cell r="H4061" t="str">
            <v>Mayday</v>
          </cell>
          <cell r="I4061">
            <v>0.8125</v>
          </cell>
          <cell r="J4061">
            <v>0.33333333333333331</v>
          </cell>
          <cell r="K4061">
            <v>11.83333333</v>
          </cell>
          <cell r="L4061">
            <v>496.73</v>
          </cell>
          <cell r="O4061" t="str">
            <v>Y</v>
          </cell>
          <cell r="P4061" t="str">
            <v>N</v>
          </cell>
          <cell r="Q4061" t="str">
            <v>Vacancy</v>
          </cell>
          <cell r="S4061">
            <v>0.32</v>
          </cell>
        </row>
        <row r="4062">
          <cell r="D4062">
            <v>1208002057</v>
          </cell>
          <cell r="E4062" t="str">
            <v>EMMANUEL SALAKO</v>
          </cell>
          <cell r="F4062" t="str">
            <v>D (MD)</v>
          </cell>
          <cell r="G4062">
            <v>353895</v>
          </cell>
          <cell r="H4062" t="str">
            <v>Mayday</v>
          </cell>
          <cell r="I4062">
            <v>0.3125</v>
          </cell>
          <cell r="J4062">
            <v>0.625</v>
          </cell>
          <cell r="K4062">
            <v>7.1666666670000003</v>
          </cell>
          <cell r="L4062">
            <v>300.83999999999997</v>
          </cell>
          <cell r="O4062" t="str">
            <v>Y</v>
          </cell>
          <cell r="P4062" t="str">
            <v>N</v>
          </cell>
          <cell r="Q4062" t="str">
            <v>Extra Capacity</v>
          </cell>
          <cell r="S4062">
            <v>0.19</v>
          </cell>
        </row>
        <row r="4063">
          <cell r="D4063">
            <v>1208002085</v>
          </cell>
          <cell r="E4063" t="str">
            <v>EMMANUEL SALAKO</v>
          </cell>
          <cell r="F4063" t="str">
            <v>D (MD)</v>
          </cell>
          <cell r="G4063">
            <v>353892</v>
          </cell>
          <cell r="H4063" t="str">
            <v>Mayday</v>
          </cell>
          <cell r="I4063">
            <v>0.625</v>
          </cell>
          <cell r="J4063">
            <v>0.85416666666666663</v>
          </cell>
          <cell r="K4063">
            <v>5.5</v>
          </cell>
          <cell r="L4063">
            <v>230.87</v>
          </cell>
          <cell r="O4063" t="str">
            <v>Y</v>
          </cell>
          <cell r="P4063" t="str">
            <v>N</v>
          </cell>
          <cell r="Q4063" t="str">
            <v>Extra Capacity</v>
          </cell>
          <cell r="S4063">
            <v>0.15</v>
          </cell>
        </row>
        <row r="4064">
          <cell r="D4064">
            <v>1208003704</v>
          </cell>
          <cell r="E4064" t="str">
            <v>EUNICE ADEBANJO</v>
          </cell>
          <cell r="F4064" t="str">
            <v>D (Ch)</v>
          </cell>
          <cell r="G4064">
            <v>17775</v>
          </cell>
          <cell r="H4064" t="str">
            <v>Choice</v>
          </cell>
          <cell r="I4064">
            <v>0.82291666666666663</v>
          </cell>
          <cell r="J4064">
            <v>0.34375</v>
          </cell>
          <cell r="K4064">
            <v>11.5</v>
          </cell>
          <cell r="L4064">
            <v>364.33</v>
          </cell>
          <cell r="O4064" t="str">
            <v>Y</v>
          </cell>
          <cell r="P4064" t="str">
            <v>N</v>
          </cell>
          <cell r="Q4064" t="str">
            <v>Vacancy</v>
          </cell>
          <cell r="S4064">
            <v>0.31</v>
          </cell>
        </row>
        <row r="4065">
          <cell r="D4065">
            <v>1208003049</v>
          </cell>
          <cell r="E4065" t="str">
            <v>EVE IKOLOUT</v>
          </cell>
          <cell r="F4065" t="str">
            <v>A (Ch)</v>
          </cell>
          <cell r="G4065">
            <v>17702</v>
          </cell>
          <cell r="H4065" t="str">
            <v>Choice</v>
          </cell>
          <cell r="I4065">
            <v>0.3125</v>
          </cell>
          <cell r="J4065">
            <v>0.64583333333333337</v>
          </cell>
          <cell r="K4065">
            <v>7.6666666670000003</v>
          </cell>
          <cell r="L4065">
            <v>113.36</v>
          </cell>
          <cell r="O4065" t="str">
            <v>Y</v>
          </cell>
          <cell r="P4065" t="str">
            <v>N</v>
          </cell>
          <cell r="Q4065" t="str">
            <v>Extra Capacity</v>
          </cell>
          <cell r="S4065">
            <v>0.2</v>
          </cell>
        </row>
        <row r="4066">
          <cell r="D4066">
            <v>1108004661</v>
          </cell>
          <cell r="E4066" t="str">
            <v>FIONA DURKIN-GREER</v>
          </cell>
          <cell r="F4066" t="str">
            <v>D (MD)</v>
          </cell>
          <cell r="G4066">
            <v>353566</v>
          </cell>
          <cell r="H4066" t="str">
            <v>Mayday</v>
          </cell>
          <cell r="I4066">
            <v>0.3125</v>
          </cell>
          <cell r="J4066">
            <v>0.5625</v>
          </cell>
          <cell r="K4066">
            <v>5.6666666670000003</v>
          </cell>
          <cell r="L4066">
            <v>237.87</v>
          </cell>
          <cell r="O4066" t="str">
            <v>Y</v>
          </cell>
          <cell r="P4066" t="str">
            <v>N</v>
          </cell>
          <cell r="Q4066" t="str">
            <v>Vacancy</v>
          </cell>
          <cell r="S4066">
            <v>0.15</v>
          </cell>
        </row>
        <row r="4067">
          <cell r="D4067">
            <v>1208002122</v>
          </cell>
          <cell r="E4067" t="str">
            <v>FLORENCE DLAMINI</v>
          </cell>
          <cell r="F4067" t="str">
            <v>D (MD)</v>
          </cell>
          <cell r="H4067" t="str">
            <v>Mayday</v>
          </cell>
          <cell r="I4067">
            <v>0.83333333333333337</v>
          </cell>
          <cell r="J4067">
            <v>0.33333333333333331</v>
          </cell>
          <cell r="K4067">
            <v>11.33333333</v>
          </cell>
          <cell r="L4067">
            <v>475.74</v>
          </cell>
          <cell r="O4067" t="str">
            <v>Y</v>
          </cell>
          <cell r="P4067" t="str">
            <v>N</v>
          </cell>
          <cell r="Q4067" t="str">
            <v>Extra Capacity</v>
          </cell>
          <cell r="S4067">
            <v>0.3</v>
          </cell>
        </row>
        <row r="4068">
          <cell r="D4068">
            <v>1208002842</v>
          </cell>
          <cell r="E4068" t="str">
            <v>JASMINE ESGUERRA</v>
          </cell>
          <cell r="F4068" t="str">
            <v>D (Ch)</v>
          </cell>
          <cell r="H4068" t="str">
            <v>Choice</v>
          </cell>
          <cell r="I4068">
            <v>0.875</v>
          </cell>
          <cell r="J4068">
            <v>0.32291666666666669</v>
          </cell>
          <cell r="K4068">
            <v>10</v>
          </cell>
          <cell r="L4068">
            <v>316.81</v>
          </cell>
          <cell r="O4068" t="str">
            <v>Y</v>
          </cell>
          <cell r="P4068" t="str">
            <v>N</v>
          </cell>
          <cell r="Q4068" t="str">
            <v>Specials</v>
          </cell>
          <cell r="S4068">
            <v>0.27</v>
          </cell>
        </row>
        <row r="4069">
          <cell r="D4069">
            <v>1208004008</v>
          </cell>
          <cell r="E4069" t="str">
            <v>JOANNE BUSS</v>
          </cell>
          <cell r="F4069" t="str">
            <v>D (MD)</v>
          </cell>
          <cell r="G4069">
            <v>353557</v>
          </cell>
          <cell r="H4069" t="str">
            <v>Mayday</v>
          </cell>
          <cell r="I4069">
            <v>0.54166666666666663</v>
          </cell>
          <cell r="J4069">
            <v>0.85416666666666663</v>
          </cell>
          <cell r="K4069">
            <v>7.1666666670000003</v>
          </cell>
          <cell r="L4069">
            <v>300.83999999999997</v>
          </cell>
          <cell r="O4069" t="str">
            <v>Y</v>
          </cell>
          <cell r="P4069" t="str">
            <v>N</v>
          </cell>
          <cell r="Q4069" t="str">
            <v>Extra Capacity</v>
          </cell>
          <cell r="S4069">
            <v>0.19</v>
          </cell>
        </row>
        <row r="4070">
          <cell r="D4070">
            <v>1208002120</v>
          </cell>
          <cell r="E4070" t="str">
            <v>JOSEPH BASS</v>
          </cell>
          <cell r="F4070" t="str">
            <v>D (MD)</v>
          </cell>
          <cell r="H4070" t="str">
            <v>Mayday</v>
          </cell>
          <cell r="I4070">
            <v>0.83333333333333337</v>
          </cell>
          <cell r="J4070">
            <v>0.33333333333333331</v>
          </cell>
          <cell r="K4070">
            <v>11.33333333</v>
          </cell>
          <cell r="L4070">
            <v>475.74</v>
          </cell>
          <cell r="O4070" t="str">
            <v>Y</v>
          </cell>
          <cell r="P4070" t="str">
            <v>N</v>
          </cell>
          <cell r="Q4070" t="str">
            <v>Extra Capacity</v>
          </cell>
          <cell r="S4070">
            <v>0.3</v>
          </cell>
        </row>
        <row r="4071">
          <cell r="D4071">
            <v>1208002669</v>
          </cell>
          <cell r="E4071" t="str">
            <v>KEITH GARRISON</v>
          </cell>
          <cell r="F4071" t="str">
            <v>D Spec (Amb)</v>
          </cell>
          <cell r="G4071">
            <v>769566</v>
          </cell>
          <cell r="H4071" t="str">
            <v>Ambition</v>
          </cell>
          <cell r="I4071">
            <v>0.29166666666666669</v>
          </cell>
          <cell r="J4071">
            <v>0.625</v>
          </cell>
          <cell r="K4071">
            <v>7.6666666670000003</v>
          </cell>
          <cell r="L4071">
            <v>463.45</v>
          </cell>
          <cell r="O4071" t="str">
            <v>Y</v>
          </cell>
          <cell r="P4071" t="str">
            <v>N</v>
          </cell>
          <cell r="Q4071" t="str">
            <v>Specials</v>
          </cell>
          <cell r="S4071">
            <v>0.2</v>
          </cell>
        </row>
        <row r="4072">
          <cell r="D4072">
            <v>1208002671</v>
          </cell>
          <cell r="E4072" t="str">
            <v>KEITH GARRISON</v>
          </cell>
          <cell r="F4072" t="str">
            <v>D Spec (Amb)</v>
          </cell>
          <cell r="G4072">
            <v>769566</v>
          </cell>
          <cell r="H4072" t="str">
            <v>Ambition</v>
          </cell>
          <cell r="I4072">
            <v>0.625</v>
          </cell>
          <cell r="J4072">
            <v>0.88541666666666663</v>
          </cell>
          <cell r="K4072">
            <v>5.9166666670000003</v>
          </cell>
          <cell r="L4072">
            <v>357.66</v>
          </cell>
          <cell r="O4072" t="str">
            <v>Y</v>
          </cell>
          <cell r="P4072" t="str">
            <v>N</v>
          </cell>
          <cell r="Q4072" t="str">
            <v>Specials</v>
          </cell>
          <cell r="S4072">
            <v>0.16</v>
          </cell>
        </row>
        <row r="4073">
          <cell r="D4073">
            <v>1208002747</v>
          </cell>
          <cell r="E4073" t="str">
            <v xml:space="preserve">LAVETA  NUCUM </v>
          </cell>
          <cell r="F4073" t="str">
            <v>D (Amb)</v>
          </cell>
          <cell r="H4073" t="str">
            <v>Ambition</v>
          </cell>
          <cell r="I4073">
            <v>0.29166666666666669</v>
          </cell>
          <cell r="J4073">
            <v>0.625</v>
          </cell>
          <cell r="K4073">
            <v>7.6666666670000003</v>
          </cell>
          <cell r="L4073">
            <v>389.7</v>
          </cell>
          <cell r="O4073" t="str">
            <v>Y</v>
          </cell>
          <cell r="P4073" t="str">
            <v>N</v>
          </cell>
          <cell r="Q4073" t="str">
            <v>Extra Capacity</v>
          </cell>
          <cell r="S4073">
            <v>0.2</v>
          </cell>
        </row>
        <row r="4074">
          <cell r="D4074">
            <v>1208004500</v>
          </cell>
          <cell r="E4074" t="str">
            <v>LILLIBETH CASTILO</v>
          </cell>
          <cell r="F4074" t="str">
            <v>D (MD)</v>
          </cell>
          <cell r="G4074">
            <v>353998</v>
          </cell>
          <cell r="H4074" t="str">
            <v>Mayday</v>
          </cell>
          <cell r="I4074">
            <v>0.29166666666666669</v>
          </cell>
          <cell r="J4074">
            <v>0.54166666666666663</v>
          </cell>
          <cell r="K4074">
            <v>5.75</v>
          </cell>
          <cell r="L4074">
            <v>241.37</v>
          </cell>
          <cell r="O4074" t="str">
            <v>Y</v>
          </cell>
          <cell r="P4074" t="str">
            <v>N</v>
          </cell>
          <cell r="Q4074" t="str">
            <v>Vacancy</v>
          </cell>
          <cell r="S4074">
            <v>0.15</v>
          </cell>
        </row>
        <row r="4075">
          <cell r="D4075">
            <v>1208004505</v>
          </cell>
          <cell r="E4075" t="str">
            <v>LILLIBETH CASTILO</v>
          </cell>
          <cell r="F4075" t="str">
            <v>D (MD)</v>
          </cell>
          <cell r="G4075">
            <v>353998</v>
          </cell>
          <cell r="H4075" t="str">
            <v>Mayday</v>
          </cell>
          <cell r="I4075">
            <v>0.625</v>
          </cell>
          <cell r="J4075">
            <v>0.88541666666666663</v>
          </cell>
          <cell r="K4075">
            <v>5.9166666670000003</v>
          </cell>
          <cell r="L4075">
            <v>248.36</v>
          </cell>
          <cell r="O4075" t="str">
            <v>Y</v>
          </cell>
          <cell r="P4075" t="str">
            <v>N</v>
          </cell>
          <cell r="Q4075" t="str">
            <v>Vacancy</v>
          </cell>
          <cell r="S4075">
            <v>0.16</v>
          </cell>
        </row>
        <row r="4076">
          <cell r="D4076">
            <v>1208005992</v>
          </cell>
          <cell r="E4076" t="str">
            <v>LISA LANDICHIO</v>
          </cell>
          <cell r="F4076" t="str">
            <v>D (MD)</v>
          </cell>
          <cell r="G4076">
            <v>353450</v>
          </cell>
          <cell r="H4076" t="str">
            <v>Mayday</v>
          </cell>
          <cell r="I4076">
            <v>0.83333333333333337</v>
          </cell>
          <cell r="J4076">
            <v>0.33333333333333331</v>
          </cell>
          <cell r="K4076">
            <v>11</v>
          </cell>
          <cell r="L4076">
            <v>461.75</v>
          </cell>
          <cell r="O4076" t="str">
            <v>Y</v>
          </cell>
          <cell r="P4076" t="str">
            <v>N</v>
          </cell>
          <cell r="Q4076" t="str">
            <v>Extra Capacity</v>
          </cell>
          <cell r="S4076">
            <v>0.28999999999999998</v>
          </cell>
        </row>
        <row r="4077">
          <cell r="D4077">
            <v>1108004755</v>
          </cell>
          <cell r="E4077" t="str">
            <v>METTA SUNDAY</v>
          </cell>
          <cell r="F4077" t="str">
            <v>D (MD)</v>
          </cell>
          <cell r="G4077">
            <v>354319</v>
          </cell>
          <cell r="H4077" t="str">
            <v>Mayday</v>
          </cell>
          <cell r="I4077">
            <v>0.84375</v>
          </cell>
          <cell r="J4077">
            <v>0.3125</v>
          </cell>
          <cell r="K4077">
            <v>10.25</v>
          </cell>
          <cell r="L4077">
            <v>430.26</v>
          </cell>
          <cell r="O4077" t="str">
            <v>Y</v>
          </cell>
          <cell r="P4077" t="str">
            <v>N</v>
          </cell>
          <cell r="Q4077" t="str">
            <v>Vacancy</v>
          </cell>
          <cell r="S4077">
            <v>0.27</v>
          </cell>
        </row>
        <row r="4078">
          <cell r="D4078">
            <v>1208002673</v>
          </cell>
          <cell r="E4078" t="str">
            <v>MIRIAM MAGWETTE</v>
          </cell>
          <cell r="F4078" t="str">
            <v>D (Ch)</v>
          </cell>
          <cell r="H4078" t="str">
            <v>Choice</v>
          </cell>
          <cell r="I4078">
            <v>0.88541666666666663</v>
          </cell>
          <cell r="J4078">
            <v>0.3125</v>
          </cell>
          <cell r="K4078">
            <v>9.25</v>
          </cell>
          <cell r="L4078">
            <v>293.05</v>
          </cell>
          <cell r="O4078" t="str">
            <v>Y</v>
          </cell>
          <cell r="P4078" t="str">
            <v>N</v>
          </cell>
          <cell r="Q4078" t="str">
            <v>Specials</v>
          </cell>
          <cell r="S4078">
            <v>0.25</v>
          </cell>
        </row>
        <row r="4079">
          <cell r="D4079">
            <v>1208002255</v>
          </cell>
          <cell r="E4079" t="str">
            <v>NOMFUNDO DAMBUZA</v>
          </cell>
          <cell r="F4079" t="str">
            <v>D (Amb)</v>
          </cell>
          <cell r="H4079" t="str">
            <v>Ambition</v>
          </cell>
          <cell r="I4079">
            <v>0.63541666666666663</v>
          </cell>
          <cell r="J4079">
            <v>0.85416666666666663</v>
          </cell>
          <cell r="K4079">
            <v>5.25</v>
          </cell>
          <cell r="L4079">
            <v>266.86</v>
          </cell>
          <cell r="O4079" t="str">
            <v>Y</v>
          </cell>
          <cell r="P4079" t="str">
            <v>N</v>
          </cell>
          <cell r="Q4079" t="str">
            <v>Vacancy</v>
          </cell>
          <cell r="S4079">
            <v>0.14000000000000001</v>
          </cell>
        </row>
        <row r="4080">
          <cell r="D4080">
            <v>1208002060</v>
          </cell>
          <cell r="E4080" t="str">
            <v>NTHABISENG MAEPE</v>
          </cell>
          <cell r="F4080" t="str">
            <v>D (Amb)</v>
          </cell>
          <cell r="G4080">
            <v>772099</v>
          </cell>
          <cell r="H4080" t="str">
            <v>Ambition</v>
          </cell>
          <cell r="I4080">
            <v>0.3125</v>
          </cell>
          <cell r="J4080">
            <v>0.625</v>
          </cell>
          <cell r="K4080">
            <v>7.1666666670000003</v>
          </cell>
          <cell r="L4080">
            <v>364.28</v>
          </cell>
          <cell r="O4080" t="str">
            <v>Y</v>
          </cell>
          <cell r="P4080" t="str">
            <v>N</v>
          </cell>
          <cell r="Q4080" t="str">
            <v>Extra Capacity</v>
          </cell>
          <cell r="S4080">
            <v>0.19</v>
          </cell>
        </row>
        <row r="4081">
          <cell r="D4081">
            <v>1208001709</v>
          </cell>
          <cell r="E4081" t="str">
            <v>PEGGY MAPOGO</v>
          </cell>
          <cell r="F4081" t="str">
            <v>D (Ch)</v>
          </cell>
          <cell r="G4081">
            <v>17699</v>
          </cell>
          <cell r="H4081" t="str">
            <v>Choice</v>
          </cell>
          <cell r="I4081">
            <v>0.3125</v>
          </cell>
          <cell r="J4081">
            <v>0.60416666666666663</v>
          </cell>
          <cell r="K4081">
            <v>6.6666666670000003</v>
          </cell>
          <cell r="L4081">
            <v>211.21</v>
          </cell>
          <cell r="O4081" t="str">
            <v>Y</v>
          </cell>
          <cell r="P4081" t="str">
            <v>N</v>
          </cell>
          <cell r="Q4081" t="str">
            <v>Extra Capacity</v>
          </cell>
          <cell r="S4081">
            <v>0.18</v>
          </cell>
        </row>
        <row r="4082">
          <cell r="D4082">
            <v>1208001723</v>
          </cell>
          <cell r="E4082" t="str">
            <v>PEGGY MAPOGO</v>
          </cell>
          <cell r="F4082" t="str">
            <v>D (Ch)</v>
          </cell>
          <cell r="G4082">
            <v>17699</v>
          </cell>
          <cell r="H4082" t="str">
            <v>Choice</v>
          </cell>
          <cell r="I4082">
            <v>0.60416666666666663</v>
          </cell>
          <cell r="J4082">
            <v>0.85416666666666663</v>
          </cell>
          <cell r="K4082">
            <v>5.6666666670000003</v>
          </cell>
          <cell r="L4082">
            <v>179.53</v>
          </cell>
          <cell r="O4082" t="str">
            <v>Y</v>
          </cell>
          <cell r="P4082" t="str">
            <v>N</v>
          </cell>
          <cell r="Q4082" t="str">
            <v>Extra Capacity</v>
          </cell>
          <cell r="S4082">
            <v>0.15</v>
          </cell>
        </row>
        <row r="4083">
          <cell r="D4083">
            <v>1208002118</v>
          </cell>
          <cell r="E4083" t="str">
            <v>PHUMZILE HLATSHWAYO</v>
          </cell>
          <cell r="F4083" t="str">
            <v>D (Amb)</v>
          </cell>
          <cell r="G4083">
            <v>769579</v>
          </cell>
          <cell r="H4083" t="str">
            <v>Ambition</v>
          </cell>
          <cell r="I4083">
            <v>0.83333333333333337</v>
          </cell>
          <cell r="J4083">
            <v>0.33333333333333331</v>
          </cell>
          <cell r="K4083">
            <v>11.33333333</v>
          </cell>
          <cell r="L4083">
            <v>576.07000000000005</v>
          </cell>
          <cell r="O4083" t="str">
            <v>Y</v>
          </cell>
          <cell r="P4083" t="str">
            <v>N</v>
          </cell>
          <cell r="Q4083" t="str">
            <v>Extra Capacity</v>
          </cell>
          <cell r="S4083">
            <v>0.3</v>
          </cell>
        </row>
        <row r="4084">
          <cell r="D4084">
            <v>1208004504</v>
          </cell>
          <cell r="E4084" t="str">
            <v>PRUDENCE MAJOZI</v>
          </cell>
          <cell r="F4084" t="str">
            <v>D (MD)</v>
          </cell>
          <cell r="G4084">
            <v>353883</v>
          </cell>
          <cell r="H4084" t="str">
            <v>Mayday</v>
          </cell>
          <cell r="I4084">
            <v>0.88541666666666663</v>
          </cell>
          <cell r="J4084">
            <v>0.3125</v>
          </cell>
          <cell r="K4084">
            <v>9.25</v>
          </cell>
          <cell r="L4084">
            <v>388.29</v>
          </cell>
          <cell r="O4084" t="str">
            <v>Y</v>
          </cell>
          <cell r="P4084" t="str">
            <v>N</v>
          </cell>
          <cell r="Q4084" t="str">
            <v>Vacancy</v>
          </cell>
          <cell r="S4084">
            <v>0.25</v>
          </cell>
        </row>
        <row r="4085">
          <cell r="D4085">
            <v>1208005989</v>
          </cell>
          <cell r="E4085" t="str">
            <v>RACHEL OBERDOFF</v>
          </cell>
          <cell r="F4085" t="str">
            <v>D (MD)</v>
          </cell>
          <cell r="G4085">
            <v>355582</v>
          </cell>
          <cell r="H4085" t="str">
            <v>Mayday</v>
          </cell>
          <cell r="I4085">
            <v>0.3125</v>
          </cell>
          <cell r="J4085">
            <v>0.85416666666666663</v>
          </cell>
          <cell r="K4085">
            <v>12.33333333</v>
          </cell>
          <cell r="L4085">
            <v>517.72</v>
          </cell>
          <cell r="O4085" t="str">
            <v>Y</v>
          </cell>
          <cell r="P4085" t="str">
            <v>N</v>
          </cell>
          <cell r="Q4085" t="str">
            <v>Short Term Sick</v>
          </cell>
          <cell r="S4085">
            <v>0.33</v>
          </cell>
        </row>
        <row r="4086">
          <cell r="D4086">
            <v>1208004851</v>
          </cell>
          <cell r="E4086" t="str">
            <v>ROBERT DELACOUR</v>
          </cell>
          <cell r="F4086" t="str">
            <v>D (Amb)</v>
          </cell>
          <cell r="G4086">
            <v>772156</v>
          </cell>
          <cell r="H4086" t="str">
            <v>Ambition</v>
          </cell>
          <cell r="I4086">
            <v>0.3125</v>
          </cell>
          <cell r="J4086">
            <v>0.625</v>
          </cell>
          <cell r="K4086">
            <v>7.1666666670000003</v>
          </cell>
          <cell r="L4086">
            <v>364.28</v>
          </cell>
          <cell r="O4086" t="str">
            <v>Y</v>
          </cell>
          <cell r="P4086" t="str">
            <v>N</v>
          </cell>
          <cell r="Q4086" t="str">
            <v>Extra Capacity</v>
          </cell>
          <cell r="S4086">
            <v>0.19</v>
          </cell>
        </row>
        <row r="4087">
          <cell r="D4087">
            <v>1208003051</v>
          </cell>
          <cell r="E4087" t="str">
            <v>RODA RAMERIZ</v>
          </cell>
          <cell r="F4087" t="str">
            <v>D (Ch)</v>
          </cell>
          <cell r="G4087">
            <v>17702</v>
          </cell>
          <cell r="H4087" t="str">
            <v>Choice</v>
          </cell>
          <cell r="I4087">
            <v>0.88541666666666663</v>
          </cell>
          <cell r="J4087">
            <v>0.33333333333333331</v>
          </cell>
          <cell r="K4087">
            <v>10.41666667</v>
          </cell>
          <cell r="L4087">
            <v>330.01</v>
          </cell>
          <cell r="O4087" t="str">
            <v>Y</v>
          </cell>
          <cell r="P4087" t="str">
            <v>N</v>
          </cell>
          <cell r="Q4087" t="str">
            <v>Extra Capacity</v>
          </cell>
          <cell r="S4087">
            <v>0.28000000000000003</v>
          </cell>
        </row>
        <row r="4088">
          <cell r="D4088">
            <v>1208002119</v>
          </cell>
          <cell r="E4088" t="str">
            <v>RUTH NDEGWA</v>
          </cell>
          <cell r="F4088" t="str">
            <v>D (MD)</v>
          </cell>
          <cell r="G4088">
            <v>354311</v>
          </cell>
          <cell r="H4088" t="str">
            <v>Mayday</v>
          </cell>
          <cell r="I4088">
            <v>0.83333333333333337</v>
          </cell>
          <cell r="J4088">
            <v>0.33333333333333331</v>
          </cell>
          <cell r="K4088">
            <v>11.33333333</v>
          </cell>
          <cell r="L4088">
            <v>475.74</v>
          </cell>
          <cell r="O4088" t="str">
            <v>Y</v>
          </cell>
          <cell r="P4088" t="str">
            <v>N</v>
          </cell>
          <cell r="Q4088" t="str">
            <v>Extra Capacity</v>
          </cell>
          <cell r="S4088">
            <v>0.3</v>
          </cell>
        </row>
        <row r="4089">
          <cell r="D4089">
            <v>1208001737</v>
          </cell>
          <cell r="E4089" t="str">
            <v>SAM KELEM</v>
          </cell>
          <cell r="F4089" t="str">
            <v>D (Ch)</v>
          </cell>
          <cell r="G4089">
            <v>17704</v>
          </cell>
          <cell r="H4089" t="str">
            <v>Choice</v>
          </cell>
          <cell r="I4089">
            <v>0.83333333333333337</v>
          </cell>
          <cell r="J4089">
            <v>0.33333333333333331</v>
          </cell>
          <cell r="K4089">
            <v>11.33333333</v>
          </cell>
          <cell r="L4089">
            <v>359.05</v>
          </cell>
          <cell r="O4089" t="str">
            <v>Y</v>
          </cell>
          <cell r="P4089" t="str">
            <v>N</v>
          </cell>
          <cell r="Q4089" t="str">
            <v>Extra Capacity</v>
          </cell>
          <cell r="S4089">
            <v>0.3</v>
          </cell>
        </row>
        <row r="4090">
          <cell r="D4090">
            <v>1108006083</v>
          </cell>
          <cell r="E4090" t="str">
            <v>SEREELETSO MAITIYO</v>
          </cell>
          <cell r="F4090" t="str">
            <v>D (Ch)</v>
          </cell>
          <cell r="G4090">
            <v>17705</v>
          </cell>
          <cell r="H4090" t="str">
            <v>Choice</v>
          </cell>
          <cell r="I4090">
            <v>0.3125</v>
          </cell>
          <cell r="J4090">
            <v>0.54166666666666663</v>
          </cell>
          <cell r="K4090">
            <v>5.5</v>
          </cell>
          <cell r="L4090">
            <v>174.25</v>
          </cell>
          <cell r="O4090" t="str">
            <v>Y</v>
          </cell>
          <cell r="P4090" t="str">
            <v>N</v>
          </cell>
          <cell r="Q4090" t="str">
            <v>Short Term Sick</v>
          </cell>
          <cell r="S4090">
            <v>0.15</v>
          </cell>
        </row>
        <row r="4091">
          <cell r="D4091">
            <v>1108006084</v>
          </cell>
          <cell r="E4091" t="str">
            <v>SEREELETSO MAITIYO</v>
          </cell>
          <cell r="F4091" t="str">
            <v>D (Ch)</v>
          </cell>
          <cell r="G4091">
            <v>17705</v>
          </cell>
          <cell r="H4091" t="str">
            <v>Choice</v>
          </cell>
          <cell r="I4091">
            <v>0.625</v>
          </cell>
          <cell r="J4091">
            <v>0.85416666666666663</v>
          </cell>
          <cell r="K4091">
            <v>5.5</v>
          </cell>
          <cell r="L4091">
            <v>174.25</v>
          </cell>
          <cell r="O4091" t="str">
            <v>Y</v>
          </cell>
          <cell r="P4091" t="str">
            <v>N</v>
          </cell>
          <cell r="Q4091" t="str">
            <v>Short Term Sick</v>
          </cell>
          <cell r="S4091">
            <v>0.15</v>
          </cell>
        </row>
        <row r="4092">
          <cell r="D4092">
            <v>1208002059</v>
          </cell>
          <cell r="E4092" t="str">
            <v>SUNITHA SINGH</v>
          </cell>
          <cell r="F4092" t="str">
            <v>D (Amb)</v>
          </cell>
          <cell r="G4092">
            <v>767269</v>
          </cell>
          <cell r="H4092" t="str">
            <v>Ambition</v>
          </cell>
          <cell r="I4092">
            <v>0.3125</v>
          </cell>
          <cell r="J4092">
            <v>0.625</v>
          </cell>
          <cell r="K4092">
            <v>7.1666666670000003</v>
          </cell>
          <cell r="L4092">
            <v>364.28</v>
          </cell>
          <cell r="O4092" t="str">
            <v>Y</v>
          </cell>
          <cell r="P4092" t="str">
            <v>N</v>
          </cell>
          <cell r="Q4092" t="str">
            <v>Extra Capacity</v>
          </cell>
          <cell r="S4092">
            <v>0.19</v>
          </cell>
        </row>
        <row r="4093">
          <cell r="D4093">
            <v>1208002086</v>
          </cell>
          <cell r="E4093" t="str">
            <v>SUNITHA SINGH</v>
          </cell>
          <cell r="F4093" t="str">
            <v>D (Amb)</v>
          </cell>
          <cell r="G4093">
            <v>767270</v>
          </cell>
          <cell r="H4093" t="str">
            <v>Ambition</v>
          </cell>
          <cell r="I4093">
            <v>0.625</v>
          </cell>
          <cell r="J4093">
            <v>0.85416666666666663</v>
          </cell>
          <cell r="K4093">
            <v>5.5</v>
          </cell>
          <cell r="L4093">
            <v>279.57</v>
          </cell>
          <cell r="O4093" t="str">
            <v>Y</v>
          </cell>
          <cell r="P4093" t="str">
            <v>N</v>
          </cell>
          <cell r="Q4093" t="str">
            <v>Extra Capacity</v>
          </cell>
          <cell r="S4093">
            <v>0.15</v>
          </cell>
        </row>
        <row r="4094">
          <cell r="D4094">
            <v>1208004831</v>
          </cell>
          <cell r="E4094" t="str">
            <v>TARA MASSIE</v>
          </cell>
          <cell r="F4094" t="str">
            <v>D (MD)</v>
          </cell>
          <cell r="G4094">
            <v>353661</v>
          </cell>
          <cell r="H4094" t="str">
            <v>Mayday</v>
          </cell>
          <cell r="I4094">
            <v>0.33333333333333331</v>
          </cell>
          <cell r="J4094">
            <v>0.83333333333333337</v>
          </cell>
          <cell r="K4094">
            <v>11.33333333</v>
          </cell>
          <cell r="L4094">
            <v>475.74</v>
          </cell>
          <cell r="O4094" t="str">
            <v>Y</v>
          </cell>
          <cell r="P4094" t="str">
            <v>N</v>
          </cell>
          <cell r="Q4094" t="str">
            <v>Extra Capacity</v>
          </cell>
          <cell r="S4094">
            <v>0.3</v>
          </cell>
        </row>
        <row r="4095">
          <cell r="D4095">
            <v>1208002253</v>
          </cell>
          <cell r="E4095" t="str">
            <v>TERESA RADEJKO</v>
          </cell>
          <cell r="F4095" t="str">
            <v>D (Amb)</v>
          </cell>
          <cell r="G4095">
            <v>769557</v>
          </cell>
          <cell r="H4095" t="str">
            <v>Ambition</v>
          </cell>
          <cell r="I4095">
            <v>0.32291666666666669</v>
          </cell>
          <cell r="J4095">
            <v>0.54166666666666663</v>
          </cell>
          <cell r="K4095">
            <v>5.25</v>
          </cell>
          <cell r="L4095">
            <v>266.86</v>
          </cell>
          <cell r="O4095" t="str">
            <v>Y</v>
          </cell>
          <cell r="P4095" t="str">
            <v>N</v>
          </cell>
          <cell r="Q4095" t="str">
            <v>Vacancy</v>
          </cell>
          <cell r="S4095">
            <v>0.14000000000000001</v>
          </cell>
        </row>
        <row r="4096">
          <cell r="D4096">
            <v>1108003110</v>
          </cell>
          <cell r="E4096" t="str">
            <v>TRUST CHIWUNDURA</v>
          </cell>
          <cell r="F4096" t="str">
            <v>A (Ch)</v>
          </cell>
          <cell r="H4096" t="str">
            <v>Choice</v>
          </cell>
          <cell r="I4096">
            <v>0.83333333333333337</v>
          </cell>
          <cell r="J4096">
            <v>0.33333333333333331</v>
          </cell>
          <cell r="K4096">
            <v>11.33333333</v>
          </cell>
          <cell r="L4096">
            <v>167.58</v>
          </cell>
          <cell r="O4096" t="str">
            <v>Y</v>
          </cell>
          <cell r="P4096" t="str">
            <v>N</v>
          </cell>
          <cell r="Q4096" t="str">
            <v>Under Established</v>
          </cell>
          <cell r="S4096">
            <v>0.3</v>
          </cell>
        </row>
        <row r="4097">
          <cell r="D4097">
            <v>1208002537</v>
          </cell>
          <cell r="E4097" t="str">
            <v>VICTORIA MAESTRANI</v>
          </cell>
          <cell r="F4097" t="str">
            <v>D (MD)</v>
          </cell>
          <cell r="G4097">
            <v>353512</v>
          </cell>
          <cell r="H4097" t="str">
            <v>Mayday</v>
          </cell>
          <cell r="I4097">
            <v>0.3125</v>
          </cell>
          <cell r="J4097">
            <v>0.60416666666666663</v>
          </cell>
          <cell r="K4097">
            <v>6.6666666670000003</v>
          </cell>
          <cell r="L4097">
            <v>279.85000000000002</v>
          </cell>
          <cell r="O4097" t="str">
            <v>Y</v>
          </cell>
          <cell r="P4097" t="str">
            <v>N</v>
          </cell>
          <cell r="Q4097" t="str">
            <v>Vacancy</v>
          </cell>
          <cell r="S4097">
            <v>0.18</v>
          </cell>
        </row>
        <row r="4098">
          <cell r="D4098">
            <v>1208002061</v>
          </cell>
          <cell r="E4098" t="str">
            <v>ALLI SUBRAMANIAM</v>
          </cell>
          <cell r="F4098" t="str">
            <v>D (MD)</v>
          </cell>
          <cell r="G4098">
            <v>355589</v>
          </cell>
          <cell r="H4098" t="str">
            <v>Mayday</v>
          </cell>
          <cell r="I4098">
            <v>0.3125</v>
          </cell>
          <cell r="J4098">
            <v>0.625</v>
          </cell>
          <cell r="K4098">
            <v>7.1666666670000003</v>
          </cell>
          <cell r="L4098">
            <v>370.26</v>
          </cell>
          <cell r="O4098" t="str">
            <v>Y</v>
          </cell>
          <cell r="P4098" t="str">
            <v>N</v>
          </cell>
          <cell r="Q4098" t="str">
            <v>Extra Capacity</v>
          </cell>
          <cell r="S4098">
            <v>0.19</v>
          </cell>
        </row>
        <row r="4099">
          <cell r="D4099">
            <v>1208002088</v>
          </cell>
          <cell r="E4099" t="str">
            <v>ALLI SUBRAMANIAM</v>
          </cell>
          <cell r="F4099" t="str">
            <v>D (MD)</v>
          </cell>
          <cell r="G4099">
            <v>355589</v>
          </cell>
          <cell r="H4099" t="str">
            <v>Mayday</v>
          </cell>
          <cell r="I4099">
            <v>0.625</v>
          </cell>
          <cell r="J4099">
            <v>0.85416666666666663</v>
          </cell>
          <cell r="K4099">
            <v>5.5</v>
          </cell>
          <cell r="L4099">
            <v>284.14999999999998</v>
          </cell>
          <cell r="O4099" t="str">
            <v>Y</v>
          </cell>
          <cell r="P4099" t="str">
            <v>N</v>
          </cell>
          <cell r="Q4099" t="str">
            <v>Extra Capacity</v>
          </cell>
          <cell r="S4099">
            <v>0.15</v>
          </cell>
        </row>
        <row r="4100">
          <cell r="D4100">
            <v>1208002258</v>
          </cell>
          <cell r="E4100" t="str">
            <v>ALMA DEPENA</v>
          </cell>
          <cell r="F4100" t="str">
            <v>D (Ch)</v>
          </cell>
          <cell r="G4100">
            <v>17698</v>
          </cell>
          <cell r="H4100" t="str">
            <v>Choice</v>
          </cell>
          <cell r="I4100">
            <v>0.82291666666666663</v>
          </cell>
          <cell r="J4100">
            <v>0.34375</v>
          </cell>
          <cell r="K4100">
            <v>11.5</v>
          </cell>
          <cell r="L4100">
            <v>448.41</v>
          </cell>
          <cell r="O4100" t="str">
            <v>Y</v>
          </cell>
          <cell r="P4100" t="str">
            <v>N</v>
          </cell>
          <cell r="Q4100" t="str">
            <v>Vacancy</v>
          </cell>
          <cell r="S4100">
            <v>0.31</v>
          </cell>
        </row>
        <row r="4101">
          <cell r="D4101">
            <v>1208002065</v>
          </cell>
          <cell r="E4101" t="str">
            <v>AMANDA YOUNG</v>
          </cell>
          <cell r="F4101" t="str">
            <v>D (MD)</v>
          </cell>
          <cell r="G4101">
            <v>354315</v>
          </cell>
          <cell r="H4101" t="str">
            <v>Mayday</v>
          </cell>
          <cell r="I4101">
            <v>0.3125</v>
          </cell>
          <cell r="J4101">
            <v>0.625</v>
          </cell>
          <cell r="K4101">
            <v>7.1666666670000003</v>
          </cell>
          <cell r="L4101">
            <v>370.26</v>
          </cell>
          <cell r="O4101" t="str">
            <v>Y</v>
          </cell>
          <cell r="P4101" t="str">
            <v>N</v>
          </cell>
          <cell r="Q4101" t="str">
            <v>Extra Capacity</v>
          </cell>
          <cell r="S4101">
            <v>0.19</v>
          </cell>
        </row>
        <row r="4102">
          <cell r="D4102">
            <v>1208002090</v>
          </cell>
          <cell r="E4102" t="str">
            <v>AMANDA YOUNG</v>
          </cell>
          <cell r="F4102" t="str">
            <v>D (MD)</v>
          </cell>
          <cell r="G4102">
            <v>354315</v>
          </cell>
          <cell r="H4102" t="str">
            <v>Mayday</v>
          </cell>
          <cell r="I4102">
            <v>0.625</v>
          </cell>
          <cell r="J4102">
            <v>0.85416666666666663</v>
          </cell>
          <cell r="K4102">
            <v>5.5</v>
          </cell>
          <cell r="L4102">
            <v>284.14999999999998</v>
          </cell>
          <cell r="O4102" t="str">
            <v>Y</v>
          </cell>
          <cell r="P4102" t="str">
            <v>N</v>
          </cell>
          <cell r="Q4102" t="str">
            <v>Extra Capacity</v>
          </cell>
          <cell r="S4102">
            <v>0.15</v>
          </cell>
        </row>
        <row r="4103">
          <cell r="D4103">
            <v>1208005926</v>
          </cell>
          <cell r="E4103" t="str">
            <v>AMY CALVESVERT</v>
          </cell>
          <cell r="F4103" t="str">
            <v>D (Amb)</v>
          </cell>
          <cell r="G4103">
            <v>772173</v>
          </cell>
          <cell r="H4103" t="str">
            <v>Ambition</v>
          </cell>
          <cell r="I4103">
            <v>0.625</v>
          </cell>
          <cell r="J4103">
            <v>0.875</v>
          </cell>
          <cell r="K4103">
            <v>5.6666666670000003</v>
          </cell>
          <cell r="L4103">
            <v>354.51</v>
          </cell>
          <cell r="O4103" t="str">
            <v>Y</v>
          </cell>
          <cell r="P4103" t="str">
            <v>N</v>
          </cell>
          <cell r="Q4103" t="str">
            <v>Acuity</v>
          </cell>
          <cell r="S4103">
            <v>0.15</v>
          </cell>
        </row>
        <row r="4104">
          <cell r="D4104">
            <v>1208001740</v>
          </cell>
          <cell r="E4104" t="str">
            <v>ANDREA VENEURELA</v>
          </cell>
          <cell r="F4104" t="str">
            <v>D (Ch)</v>
          </cell>
          <cell r="H4104" t="str">
            <v>Choice</v>
          </cell>
          <cell r="I4104">
            <v>0.83333333333333337</v>
          </cell>
          <cell r="J4104">
            <v>0.33333333333333331</v>
          </cell>
          <cell r="K4104">
            <v>11.33333333</v>
          </cell>
          <cell r="L4104">
            <v>441.91</v>
          </cell>
          <cell r="O4104" t="str">
            <v>Y</v>
          </cell>
          <cell r="P4104" t="str">
            <v>N</v>
          </cell>
          <cell r="Q4104" t="str">
            <v>Extra Capacity</v>
          </cell>
          <cell r="S4104">
            <v>0.3</v>
          </cell>
        </row>
        <row r="4105">
          <cell r="D4105">
            <v>1208004017</v>
          </cell>
          <cell r="E4105" t="str">
            <v>ATINUKE OKE-OLATUNDE</v>
          </cell>
          <cell r="F4105" t="str">
            <v>D (MD)</v>
          </cell>
          <cell r="G4105">
            <v>354376</v>
          </cell>
          <cell r="H4105" t="str">
            <v>Mayday</v>
          </cell>
          <cell r="I4105">
            <v>0.84375</v>
          </cell>
          <cell r="J4105">
            <v>0.3125</v>
          </cell>
          <cell r="K4105">
            <v>10.25</v>
          </cell>
          <cell r="L4105">
            <v>529.55999999999995</v>
          </cell>
          <cell r="O4105" t="str">
            <v>Y</v>
          </cell>
          <cell r="P4105" t="str">
            <v>N</v>
          </cell>
          <cell r="Q4105" t="str">
            <v>Extra Capacity</v>
          </cell>
          <cell r="S4105">
            <v>0.27</v>
          </cell>
        </row>
        <row r="4106">
          <cell r="D4106">
            <v>1208002495</v>
          </cell>
          <cell r="E4106" t="str">
            <v>BERNADETTE SHINYA-NDUNUWANI</v>
          </cell>
          <cell r="F4106" t="str">
            <v>D (MD)</v>
          </cell>
          <cell r="G4106">
            <v>357845</v>
          </cell>
          <cell r="H4106" t="str">
            <v>Mayday</v>
          </cell>
          <cell r="I4106">
            <v>0.64583333333333337</v>
          </cell>
          <cell r="J4106">
            <v>0.85416666666666663</v>
          </cell>
          <cell r="K4106">
            <v>5</v>
          </cell>
          <cell r="L4106">
            <v>258.32</v>
          </cell>
          <cell r="O4106" t="str">
            <v>Y</v>
          </cell>
          <cell r="P4106" t="str">
            <v>N</v>
          </cell>
          <cell r="Q4106" t="str">
            <v>Extra Capacity</v>
          </cell>
          <cell r="S4106">
            <v>0.13</v>
          </cell>
        </row>
        <row r="4107">
          <cell r="D4107">
            <v>1208003669</v>
          </cell>
          <cell r="E4107" t="str">
            <v>BONNIE TWALA</v>
          </cell>
          <cell r="F4107" t="str">
            <v>D (Amb)</v>
          </cell>
          <cell r="G4107">
            <v>772162</v>
          </cell>
          <cell r="H4107" t="str">
            <v>Ambition</v>
          </cell>
          <cell r="I4107">
            <v>0.82291666666666663</v>
          </cell>
          <cell r="J4107">
            <v>0.34375</v>
          </cell>
          <cell r="K4107">
            <v>11.5</v>
          </cell>
          <cell r="L4107">
            <v>719.44</v>
          </cell>
          <cell r="O4107" t="str">
            <v>Y</v>
          </cell>
          <cell r="P4107" t="str">
            <v>N</v>
          </cell>
          <cell r="Q4107" t="str">
            <v>Extra Capacity</v>
          </cell>
          <cell r="S4107">
            <v>0.31</v>
          </cell>
        </row>
        <row r="4108">
          <cell r="D4108">
            <v>1208003782</v>
          </cell>
          <cell r="E4108" t="str">
            <v>BRIGHTNESS NDEBELE</v>
          </cell>
          <cell r="F4108" t="str">
            <v>D (MD)</v>
          </cell>
          <cell r="G4108">
            <v>353560</v>
          </cell>
          <cell r="H4108" t="str">
            <v>Mayday</v>
          </cell>
          <cell r="I4108">
            <v>0.82291666666666663</v>
          </cell>
          <cell r="J4108">
            <v>0.34375</v>
          </cell>
          <cell r="K4108">
            <v>11.5</v>
          </cell>
          <cell r="L4108">
            <v>594.14</v>
          </cell>
          <cell r="O4108" t="str">
            <v>Y</v>
          </cell>
          <cell r="P4108" t="str">
            <v>N</v>
          </cell>
          <cell r="Q4108" t="str">
            <v>Extra Capacity</v>
          </cell>
          <cell r="S4108">
            <v>0.31</v>
          </cell>
        </row>
        <row r="4109">
          <cell r="D4109">
            <v>1108006053</v>
          </cell>
          <cell r="E4109" t="str">
            <v>CARL HIBBERT</v>
          </cell>
          <cell r="F4109" t="str">
            <v>D (Ch)</v>
          </cell>
          <cell r="H4109" t="str">
            <v>Choice</v>
          </cell>
          <cell r="I4109">
            <v>0.83333333333333337</v>
          </cell>
          <cell r="J4109">
            <v>0.33333333333333331</v>
          </cell>
          <cell r="K4109">
            <v>11.33333333</v>
          </cell>
          <cell r="L4109">
            <v>441.91</v>
          </cell>
          <cell r="O4109" t="str">
            <v>Y</v>
          </cell>
          <cell r="P4109" t="str">
            <v>N</v>
          </cell>
          <cell r="Q4109" t="str">
            <v>Annual Leave</v>
          </cell>
          <cell r="S4109">
            <v>0.3</v>
          </cell>
        </row>
        <row r="4110">
          <cell r="D4110">
            <v>1208006878</v>
          </cell>
          <cell r="E4110" t="str">
            <v>CARMEN MAURICIO</v>
          </cell>
          <cell r="F4110" t="str">
            <v>D (MD)</v>
          </cell>
          <cell r="G4110">
            <v>354324</v>
          </cell>
          <cell r="H4110" t="str">
            <v>Mayday</v>
          </cell>
          <cell r="I4110">
            <v>0.3125</v>
          </cell>
          <cell r="J4110">
            <v>0.85416666666666663</v>
          </cell>
          <cell r="K4110">
            <v>12.33333333</v>
          </cell>
          <cell r="L4110">
            <v>637.19000000000005</v>
          </cell>
          <cell r="O4110" t="str">
            <v>Y</v>
          </cell>
          <cell r="P4110" t="str">
            <v>N</v>
          </cell>
          <cell r="Q4110" t="str">
            <v>Extra Capacity</v>
          </cell>
          <cell r="S4110">
            <v>0.33</v>
          </cell>
        </row>
        <row r="4111">
          <cell r="D4111">
            <v>1208000373</v>
          </cell>
          <cell r="E4111" t="str">
            <v>DAMILOLA AIKI</v>
          </cell>
          <cell r="F4111" t="str">
            <v>A (Ch)</v>
          </cell>
          <cell r="H4111" t="str">
            <v>Choice</v>
          </cell>
          <cell r="I4111">
            <v>0.3125</v>
          </cell>
          <cell r="J4111">
            <v>0.5625</v>
          </cell>
          <cell r="K4111">
            <v>5.6666666670000003</v>
          </cell>
          <cell r="L4111">
            <v>104.74</v>
          </cell>
          <cell r="O4111" t="str">
            <v>Y</v>
          </cell>
          <cell r="P4111" t="str">
            <v>N</v>
          </cell>
          <cell r="Q4111" t="str">
            <v>Under Established</v>
          </cell>
          <cell r="S4111">
            <v>0.15</v>
          </cell>
        </row>
        <row r="4112">
          <cell r="D4112">
            <v>1208002675</v>
          </cell>
          <cell r="E4112" t="str">
            <v>DAVIS DEAN</v>
          </cell>
          <cell r="F4112" t="str">
            <v>D (Ch)</v>
          </cell>
          <cell r="H4112" t="str">
            <v>Choice</v>
          </cell>
          <cell r="I4112">
            <v>0.29166666666666669</v>
          </cell>
          <cell r="J4112">
            <v>0.625</v>
          </cell>
          <cell r="K4112">
            <v>7.6666666670000003</v>
          </cell>
          <cell r="L4112">
            <v>298.94</v>
          </cell>
          <cell r="O4112" t="str">
            <v>Y</v>
          </cell>
          <cell r="P4112" t="str">
            <v>N</v>
          </cell>
          <cell r="Q4112" t="str">
            <v>Specials</v>
          </cell>
          <cell r="S4112">
            <v>0.2</v>
          </cell>
        </row>
        <row r="4113">
          <cell r="D4113">
            <v>1208002677</v>
          </cell>
          <cell r="E4113" t="str">
            <v>DAVIS DEAN</v>
          </cell>
          <cell r="F4113" t="str">
            <v>D (Ch)</v>
          </cell>
          <cell r="H4113" t="str">
            <v>Choice</v>
          </cell>
          <cell r="I4113">
            <v>0.625</v>
          </cell>
          <cell r="J4113">
            <v>0.88541666666666663</v>
          </cell>
          <cell r="K4113">
            <v>5.9166666670000003</v>
          </cell>
          <cell r="L4113">
            <v>230.7</v>
          </cell>
          <cell r="O4113" t="str">
            <v>Y</v>
          </cell>
          <cell r="P4113" t="str">
            <v>N</v>
          </cell>
          <cell r="Q4113" t="str">
            <v>Specials</v>
          </cell>
          <cell r="S4113">
            <v>0.16</v>
          </cell>
        </row>
        <row r="4114">
          <cell r="D4114">
            <v>1208002679</v>
          </cell>
          <cell r="E4114" t="str">
            <v>DENNIS DVENGE</v>
          </cell>
          <cell r="F4114" t="str">
            <v>D (Ch)</v>
          </cell>
          <cell r="H4114" t="str">
            <v>Choice</v>
          </cell>
          <cell r="I4114">
            <v>0.88541666666666663</v>
          </cell>
          <cell r="J4114">
            <v>0.3125</v>
          </cell>
          <cell r="K4114">
            <v>9.25</v>
          </cell>
          <cell r="L4114">
            <v>360.68</v>
          </cell>
          <cell r="O4114" t="str">
            <v>Y</v>
          </cell>
          <cell r="P4114" t="str">
            <v>N</v>
          </cell>
          <cell r="Q4114" t="str">
            <v>Specials</v>
          </cell>
          <cell r="S4114">
            <v>0.25</v>
          </cell>
        </row>
        <row r="4115">
          <cell r="D4115">
            <v>1208005210</v>
          </cell>
          <cell r="E4115" t="str">
            <v>ELENOR PARAZO</v>
          </cell>
          <cell r="F4115" t="str">
            <v>D (MD)</v>
          </cell>
          <cell r="G4115">
            <v>353514</v>
          </cell>
          <cell r="H4115" t="str">
            <v>Mayday</v>
          </cell>
          <cell r="I4115">
            <v>0.8125</v>
          </cell>
          <cell r="J4115">
            <v>0.33333333333333331</v>
          </cell>
          <cell r="K4115">
            <v>11.83333333</v>
          </cell>
          <cell r="L4115">
            <v>611.36</v>
          </cell>
          <cell r="O4115" t="str">
            <v>Y</v>
          </cell>
          <cell r="P4115" t="str">
            <v>N</v>
          </cell>
          <cell r="Q4115" t="str">
            <v>Vacancy</v>
          </cell>
          <cell r="S4115">
            <v>0.32</v>
          </cell>
        </row>
        <row r="4116">
          <cell r="D4116">
            <v>1208002062</v>
          </cell>
          <cell r="E4116" t="str">
            <v>EMMANUEL SALAKO</v>
          </cell>
          <cell r="F4116" t="str">
            <v>D (MD)</v>
          </cell>
          <cell r="G4116">
            <v>353889</v>
          </cell>
          <cell r="H4116" t="str">
            <v>Mayday</v>
          </cell>
          <cell r="I4116">
            <v>0.3125</v>
          </cell>
          <cell r="J4116">
            <v>0.625</v>
          </cell>
          <cell r="K4116">
            <v>7.1666666670000003</v>
          </cell>
          <cell r="L4116">
            <v>370.26</v>
          </cell>
          <cell r="O4116" t="str">
            <v>Y</v>
          </cell>
          <cell r="P4116" t="str">
            <v>N</v>
          </cell>
          <cell r="Q4116" t="str">
            <v>Extra Capacity</v>
          </cell>
          <cell r="S4116">
            <v>0.19</v>
          </cell>
        </row>
        <row r="4117">
          <cell r="D4117">
            <v>1208002089</v>
          </cell>
          <cell r="E4117" t="str">
            <v>EMMANUEL SALAKO</v>
          </cell>
          <cell r="F4117" t="str">
            <v>D (MD)</v>
          </cell>
          <cell r="G4117">
            <v>353889</v>
          </cell>
          <cell r="H4117" t="str">
            <v>Mayday</v>
          </cell>
          <cell r="I4117">
            <v>0.625</v>
          </cell>
          <cell r="J4117">
            <v>0.85416666666666663</v>
          </cell>
          <cell r="K4117">
            <v>5.5</v>
          </cell>
          <cell r="L4117">
            <v>284.14999999999998</v>
          </cell>
          <cell r="O4117" t="str">
            <v>Y</v>
          </cell>
          <cell r="P4117" t="str">
            <v>N</v>
          </cell>
          <cell r="Q4117" t="str">
            <v>Extra Capacity</v>
          </cell>
          <cell r="S4117">
            <v>0.15</v>
          </cell>
        </row>
        <row r="4118">
          <cell r="D4118">
            <v>1208003054</v>
          </cell>
          <cell r="E4118" t="str">
            <v>EVE IKOLOUT</v>
          </cell>
          <cell r="F4118" t="str">
            <v>A (Ch)</v>
          </cell>
          <cell r="G4118">
            <v>17702</v>
          </cell>
          <cell r="H4118" t="str">
            <v>Choice</v>
          </cell>
          <cell r="I4118">
            <v>0.3125</v>
          </cell>
          <cell r="J4118">
            <v>0.64583333333333337</v>
          </cell>
          <cell r="K4118">
            <v>7.6666666670000003</v>
          </cell>
          <cell r="L4118">
            <v>141.71</v>
          </cell>
          <cell r="O4118" t="str">
            <v>Y</v>
          </cell>
          <cell r="P4118" t="str">
            <v>N</v>
          </cell>
          <cell r="Q4118" t="str">
            <v>Extra Capacity</v>
          </cell>
          <cell r="S4118">
            <v>0.2</v>
          </cell>
        </row>
        <row r="4119">
          <cell r="D4119">
            <v>1208003055</v>
          </cell>
          <cell r="E4119" t="str">
            <v>EVE IKOLOUT</v>
          </cell>
          <cell r="F4119" t="str">
            <v>A (Ch)</v>
          </cell>
          <cell r="G4119">
            <v>17702</v>
          </cell>
          <cell r="H4119" t="str">
            <v>Choice</v>
          </cell>
          <cell r="I4119">
            <v>0.64583333333333337</v>
          </cell>
          <cell r="J4119">
            <v>0.89583333333333337</v>
          </cell>
          <cell r="K4119">
            <v>5.6666666670000003</v>
          </cell>
          <cell r="L4119">
            <v>104.74</v>
          </cell>
          <cell r="O4119" t="str">
            <v>Y</v>
          </cell>
          <cell r="P4119" t="str">
            <v>N</v>
          </cell>
          <cell r="Q4119" t="str">
            <v>Extra Capacity</v>
          </cell>
          <cell r="S4119">
            <v>0.15</v>
          </cell>
        </row>
        <row r="4120">
          <cell r="D4120">
            <v>1108004665</v>
          </cell>
          <cell r="E4120" t="str">
            <v>FIONA DURKIN-GREER</v>
          </cell>
          <cell r="F4120" t="str">
            <v>D (MD)</v>
          </cell>
          <cell r="G4120">
            <v>353566</v>
          </cell>
          <cell r="H4120" t="str">
            <v>Mayday</v>
          </cell>
          <cell r="I4120">
            <v>0.3125</v>
          </cell>
          <cell r="J4120">
            <v>0.5625</v>
          </cell>
          <cell r="K4120">
            <v>5.6666666670000003</v>
          </cell>
          <cell r="L4120">
            <v>292.76</v>
          </cell>
          <cell r="O4120" t="str">
            <v>Y</v>
          </cell>
          <cell r="P4120" t="str">
            <v>N</v>
          </cell>
          <cell r="Q4120" t="str">
            <v>Vacancy</v>
          </cell>
          <cell r="S4120">
            <v>0.15</v>
          </cell>
        </row>
        <row r="4121">
          <cell r="D4121">
            <v>1208005326</v>
          </cell>
          <cell r="E4121" t="str">
            <v>FLORENCE DLAMINI</v>
          </cell>
          <cell r="F4121" t="str">
            <v>D (MD)</v>
          </cell>
          <cell r="G4121">
            <v>353516</v>
          </cell>
          <cell r="H4121" t="str">
            <v>Mayday</v>
          </cell>
          <cell r="I4121">
            <v>0.88541666666666663</v>
          </cell>
          <cell r="J4121">
            <v>0.33333333333333331</v>
          </cell>
          <cell r="K4121">
            <v>10.41666667</v>
          </cell>
          <cell r="L4121">
            <v>538.16999999999996</v>
          </cell>
          <cell r="O4121" t="str">
            <v>Y</v>
          </cell>
          <cell r="P4121" t="str">
            <v>N</v>
          </cell>
          <cell r="Q4121" t="str">
            <v>On-Call</v>
          </cell>
          <cell r="S4121">
            <v>0.28000000000000003</v>
          </cell>
        </row>
        <row r="4122">
          <cell r="D4122">
            <v>1208001739</v>
          </cell>
          <cell r="E4122" t="str">
            <v>GERTHY ALBANO</v>
          </cell>
          <cell r="F4122" t="str">
            <v>D (Ch)</v>
          </cell>
          <cell r="G4122">
            <v>17691</v>
          </cell>
          <cell r="H4122" t="str">
            <v>Choice</v>
          </cell>
          <cell r="I4122">
            <v>0.83333333333333337</v>
          </cell>
          <cell r="J4122">
            <v>0.33333333333333331</v>
          </cell>
          <cell r="K4122">
            <v>11.33333333</v>
          </cell>
          <cell r="L4122">
            <v>441.91</v>
          </cell>
          <cell r="O4122" t="str">
            <v>Y</v>
          </cell>
          <cell r="P4122" t="str">
            <v>N</v>
          </cell>
          <cell r="Q4122" t="str">
            <v>Extra Capacity</v>
          </cell>
          <cell r="S4122">
            <v>0.3</v>
          </cell>
        </row>
        <row r="4123">
          <cell r="D4123">
            <v>1208002125</v>
          </cell>
          <cell r="E4123" t="str">
            <v>GLENDA RONA</v>
          </cell>
          <cell r="F4123" t="str">
            <v>D (Ch)</v>
          </cell>
          <cell r="G4123">
            <v>17707</v>
          </cell>
          <cell r="H4123" t="str">
            <v>Choice</v>
          </cell>
          <cell r="I4123">
            <v>0.83333333333333337</v>
          </cell>
          <cell r="J4123">
            <v>0.33333333333333331</v>
          </cell>
          <cell r="K4123">
            <v>11.33333333</v>
          </cell>
          <cell r="L4123">
            <v>441.91</v>
          </cell>
          <cell r="O4123" t="str">
            <v>Y</v>
          </cell>
          <cell r="P4123" t="str">
            <v>N</v>
          </cell>
          <cell r="Q4123" t="str">
            <v>Extra Capacity</v>
          </cell>
          <cell r="S4123">
            <v>0.3</v>
          </cell>
        </row>
        <row r="4124">
          <cell r="D4124">
            <v>1208002257</v>
          </cell>
          <cell r="E4124" t="str">
            <v>JASMINE ESGUERRA</v>
          </cell>
          <cell r="F4124" t="str">
            <v>D (Ch)</v>
          </cell>
          <cell r="G4124">
            <v>17698</v>
          </cell>
          <cell r="H4124" t="str">
            <v>Choice</v>
          </cell>
          <cell r="I4124">
            <v>0.82291666666666663</v>
          </cell>
          <cell r="J4124">
            <v>0.34375</v>
          </cell>
          <cell r="K4124">
            <v>11.5</v>
          </cell>
          <cell r="L4124">
            <v>448.41</v>
          </cell>
          <cell r="O4124" t="str">
            <v>Y</v>
          </cell>
          <cell r="P4124" t="str">
            <v>N</v>
          </cell>
          <cell r="Q4124" t="str">
            <v>Vacancy</v>
          </cell>
          <cell r="S4124">
            <v>0.31</v>
          </cell>
        </row>
        <row r="4125">
          <cell r="D4125">
            <v>1208004009</v>
          </cell>
          <cell r="E4125" t="str">
            <v>JOANNE BUSS</v>
          </cell>
          <cell r="F4125" t="str">
            <v>D (MD)</v>
          </cell>
          <cell r="G4125">
            <v>353557</v>
          </cell>
          <cell r="H4125" t="str">
            <v>Mayday</v>
          </cell>
          <cell r="I4125">
            <v>0.54166666666666663</v>
          </cell>
          <cell r="J4125">
            <v>0.85416666666666663</v>
          </cell>
          <cell r="K4125">
            <v>7.1666666670000003</v>
          </cell>
          <cell r="L4125">
            <v>370.26</v>
          </cell>
          <cell r="O4125" t="str">
            <v>Y</v>
          </cell>
          <cell r="P4125" t="str">
            <v>N</v>
          </cell>
          <cell r="Q4125" t="str">
            <v>Extra Capacity</v>
          </cell>
          <cell r="S4125">
            <v>0.19</v>
          </cell>
        </row>
        <row r="4126">
          <cell r="D4126">
            <v>1208004838</v>
          </cell>
          <cell r="E4126" t="str">
            <v>JOANNE DUCKER</v>
          </cell>
          <cell r="F4126" t="str">
            <v>D / 5 General (</v>
          </cell>
          <cell r="G4126" t="str">
            <v>604-162168</v>
          </cell>
          <cell r="H4126" t="str">
            <v>Medacs</v>
          </cell>
          <cell r="I4126">
            <v>0.3125</v>
          </cell>
          <cell r="J4126">
            <v>0.625</v>
          </cell>
          <cell r="K4126">
            <v>7.1666666670000003</v>
          </cell>
          <cell r="L4126">
            <v>193.56</v>
          </cell>
          <cell r="O4126" t="str">
            <v>Y</v>
          </cell>
          <cell r="P4126" t="str">
            <v>N</v>
          </cell>
          <cell r="Q4126" t="str">
            <v>Short Term Sick</v>
          </cell>
          <cell r="S4126">
            <v>0.19</v>
          </cell>
        </row>
        <row r="4127">
          <cell r="D4127">
            <v>1208005322</v>
          </cell>
          <cell r="E4127" t="str">
            <v>LETECIA MENIANO</v>
          </cell>
          <cell r="F4127" t="str">
            <v>D (MD)</v>
          </cell>
          <cell r="G4127">
            <v>353135</v>
          </cell>
          <cell r="H4127" t="str">
            <v>Mayday</v>
          </cell>
          <cell r="I4127">
            <v>0.8125</v>
          </cell>
          <cell r="J4127">
            <v>0.33333333333333331</v>
          </cell>
          <cell r="K4127">
            <v>11.5</v>
          </cell>
          <cell r="L4127">
            <v>594.14</v>
          </cell>
          <cell r="O4127" t="str">
            <v>Y</v>
          </cell>
          <cell r="P4127" t="str">
            <v>N</v>
          </cell>
          <cell r="Q4127" t="str">
            <v>On-Call</v>
          </cell>
          <cell r="S4127">
            <v>0.31</v>
          </cell>
        </row>
        <row r="4128">
          <cell r="D4128">
            <v>1208003707</v>
          </cell>
          <cell r="E4128" t="str">
            <v>LILLIBETH CASTILO</v>
          </cell>
          <cell r="F4128" t="str">
            <v>D (MD)</v>
          </cell>
          <cell r="G4128">
            <v>354003</v>
          </cell>
          <cell r="H4128" t="str">
            <v>Mayday</v>
          </cell>
          <cell r="I4128">
            <v>0.32291666666666669</v>
          </cell>
          <cell r="J4128">
            <v>0.54166666666666663</v>
          </cell>
          <cell r="K4128">
            <v>5.25</v>
          </cell>
          <cell r="L4128">
            <v>271.24</v>
          </cell>
          <cell r="O4128" t="str">
            <v>Y</v>
          </cell>
          <cell r="P4128" t="str">
            <v>N</v>
          </cell>
          <cell r="Q4128" t="str">
            <v>Vacancy</v>
          </cell>
          <cell r="S4128">
            <v>0.14000000000000001</v>
          </cell>
        </row>
        <row r="4129">
          <cell r="D4129">
            <v>1208005324</v>
          </cell>
          <cell r="E4129" t="str">
            <v>MANUELLA PETER</v>
          </cell>
          <cell r="F4129" t="str">
            <v>D (Amb)</v>
          </cell>
          <cell r="H4129" t="str">
            <v>Ambition</v>
          </cell>
          <cell r="I4129">
            <v>0.88541666666666663</v>
          </cell>
          <cell r="J4129">
            <v>0.3125</v>
          </cell>
          <cell r="K4129">
            <v>9.25</v>
          </cell>
          <cell r="L4129">
            <v>578.67999999999995</v>
          </cell>
          <cell r="O4129" t="str">
            <v>Y</v>
          </cell>
          <cell r="P4129" t="str">
            <v>N</v>
          </cell>
          <cell r="Q4129" t="str">
            <v>On-Call</v>
          </cell>
          <cell r="S4129">
            <v>0.25</v>
          </cell>
        </row>
        <row r="4130">
          <cell r="D4130">
            <v>1108004772</v>
          </cell>
          <cell r="E4130" t="str">
            <v>METTA SUNDAY</v>
          </cell>
          <cell r="F4130" t="str">
            <v>D (MD)</v>
          </cell>
          <cell r="G4130">
            <v>354318</v>
          </cell>
          <cell r="H4130" t="str">
            <v>Mayday</v>
          </cell>
          <cell r="I4130">
            <v>0.84375</v>
          </cell>
          <cell r="J4130">
            <v>0.3125</v>
          </cell>
          <cell r="K4130">
            <v>10.25</v>
          </cell>
          <cell r="L4130">
            <v>529.55999999999995</v>
          </cell>
          <cell r="O4130" t="str">
            <v>Y</v>
          </cell>
          <cell r="P4130" t="str">
            <v>N</v>
          </cell>
          <cell r="Q4130" t="str">
            <v>Vacancy</v>
          </cell>
          <cell r="S4130">
            <v>0.27</v>
          </cell>
        </row>
        <row r="4131">
          <cell r="D4131">
            <v>1208002128</v>
          </cell>
          <cell r="E4131" t="str">
            <v>OMAR SENGHORE</v>
          </cell>
          <cell r="F4131" t="str">
            <v>D (MD)</v>
          </cell>
          <cell r="G4131">
            <v>354096</v>
          </cell>
          <cell r="H4131" t="str">
            <v>Mayday</v>
          </cell>
          <cell r="I4131">
            <v>0.83333333333333337</v>
          </cell>
          <cell r="J4131">
            <v>0.33333333333333331</v>
          </cell>
          <cell r="K4131">
            <v>11.33333333</v>
          </cell>
          <cell r="L4131">
            <v>585.53</v>
          </cell>
          <cell r="O4131" t="str">
            <v>Y</v>
          </cell>
          <cell r="P4131" t="str">
            <v>N</v>
          </cell>
          <cell r="Q4131" t="str">
            <v>Extra Capacity</v>
          </cell>
          <cell r="S4131">
            <v>0.3</v>
          </cell>
        </row>
        <row r="4132">
          <cell r="D4132">
            <v>1108006085</v>
          </cell>
          <cell r="E4132" t="str">
            <v>RICCA PARADA</v>
          </cell>
          <cell r="F4132" t="str">
            <v>D (Ch)</v>
          </cell>
          <cell r="H4132" t="str">
            <v>Choice</v>
          </cell>
          <cell r="I4132">
            <v>0.625</v>
          </cell>
          <cell r="J4132">
            <v>0.85416666666666663</v>
          </cell>
          <cell r="K4132">
            <v>5.5</v>
          </cell>
          <cell r="L4132">
            <v>214.46</v>
          </cell>
          <cell r="O4132" t="str">
            <v>Y</v>
          </cell>
          <cell r="P4132" t="str">
            <v>N</v>
          </cell>
          <cell r="Q4132" t="str">
            <v>Short Term Sick</v>
          </cell>
          <cell r="S4132">
            <v>0.15</v>
          </cell>
        </row>
        <row r="4133">
          <cell r="D4133">
            <v>1208000329</v>
          </cell>
          <cell r="E4133" t="str">
            <v>RICCA PARADA</v>
          </cell>
          <cell r="F4133" t="str">
            <v>D (Ch)</v>
          </cell>
          <cell r="G4133">
            <v>17712</v>
          </cell>
          <cell r="H4133" t="str">
            <v>Choice</v>
          </cell>
          <cell r="I4133">
            <v>0.3125</v>
          </cell>
          <cell r="J4133">
            <v>0.5625</v>
          </cell>
          <cell r="K4133">
            <v>5.6666666670000003</v>
          </cell>
          <cell r="L4133">
            <v>220.95</v>
          </cell>
          <cell r="O4133" t="str">
            <v>Y</v>
          </cell>
          <cell r="P4133" t="str">
            <v>N</v>
          </cell>
          <cell r="Q4133" t="str">
            <v>Vacancy</v>
          </cell>
          <cell r="S4133">
            <v>0.15</v>
          </cell>
        </row>
        <row r="4134">
          <cell r="D4134">
            <v>1208005323</v>
          </cell>
          <cell r="E4134" t="str">
            <v>RODA RAMERIZ</v>
          </cell>
          <cell r="F4134" t="str">
            <v>D (Ch)</v>
          </cell>
          <cell r="G4134">
            <v>17711</v>
          </cell>
          <cell r="H4134" t="str">
            <v>Choice</v>
          </cell>
          <cell r="I4134">
            <v>0.83333333333333337</v>
          </cell>
          <cell r="J4134">
            <v>0.33333333333333331</v>
          </cell>
          <cell r="K4134">
            <v>11.33333333</v>
          </cell>
          <cell r="L4134">
            <v>441.91</v>
          </cell>
          <cell r="O4134" t="str">
            <v>Y</v>
          </cell>
          <cell r="P4134" t="str">
            <v>N</v>
          </cell>
          <cell r="Q4134" t="str">
            <v>On-Call</v>
          </cell>
          <cell r="S4134">
            <v>0.3</v>
          </cell>
        </row>
        <row r="4135">
          <cell r="D4135">
            <v>1208003059</v>
          </cell>
          <cell r="E4135" t="str">
            <v>SAM KELEM</v>
          </cell>
          <cell r="F4135" t="str">
            <v>D (Ch)</v>
          </cell>
          <cell r="G4135">
            <v>17702</v>
          </cell>
          <cell r="H4135" t="str">
            <v>Choice</v>
          </cell>
          <cell r="I4135">
            <v>0.88541666666666663</v>
          </cell>
          <cell r="J4135">
            <v>0.33333333333333331</v>
          </cell>
          <cell r="K4135">
            <v>10.41666667</v>
          </cell>
          <cell r="L4135">
            <v>406.17</v>
          </cell>
          <cell r="O4135" t="str">
            <v>Y</v>
          </cell>
          <cell r="P4135" t="str">
            <v>N</v>
          </cell>
          <cell r="Q4135" t="str">
            <v>Extra Capacity</v>
          </cell>
          <cell r="S4135">
            <v>0.28000000000000003</v>
          </cell>
        </row>
        <row r="4136">
          <cell r="D4136">
            <v>1208005321</v>
          </cell>
          <cell r="E4136" t="str">
            <v>SAMSON BARACENA</v>
          </cell>
          <cell r="F4136" t="str">
            <v>D (Ch)</v>
          </cell>
          <cell r="G4136">
            <v>17785</v>
          </cell>
          <cell r="H4136" t="str">
            <v>Choice</v>
          </cell>
          <cell r="I4136">
            <v>0.875</v>
          </cell>
          <cell r="J4136">
            <v>0.33333333333333331</v>
          </cell>
          <cell r="K4136">
            <v>10</v>
          </cell>
          <cell r="L4136">
            <v>389.92</v>
          </cell>
          <cell r="O4136" t="str">
            <v>Y</v>
          </cell>
          <cell r="P4136" t="str">
            <v>N</v>
          </cell>
          <cell r="Q4136" t="str">
            <v>On-Call</v>
          </cell>
          <cell r="S4136">
            <v>0.27</v>
          </cell>
        </row>
        <row r="4137">
          <cell r="D4137">
            <v>1208005325</v>
          </cell>
          <cell r="E4137" t="str">
            <v>SINDISO MOYO</v>
          </cell>
          <cell r="F4137" t="str">
            <v>D (Amb)</v>
          </cell>
          <cell r="G4137">
            <v>769563</v>
          </cell>
          <cell r="H4137" t="str">
            <v>Ambition</v>
          </cell>
          <cell r="I4137">
            <v>0.82291666666666663</v>
          </cell>
          <cell r="J4137">
            <v>0.34375</v>
          </cell>
          <cell r="K4137">
            <v>11.5</v>
          </cell>
          <cell r="L4137">
            <v>719.44</v>
          </cell>
          <cell r="O4137" t="str">
            <v>Y</v>
          </cell>
          <cell r="P4137" t="str">
            <v>N</v>
          </cell>
          <cell r="Q4137" t="str">
            <v>On-Call</v>
          </cell>
          <cell r="S4137">
            <v>0.31</v>
          </cell>
        </row>
        <row r="4138">
          <cell r="D4138">
            <v>1208005209</v>
          </cell>
          <cell r="E4138" t="str">
            <v>STEPHEN FERNANDEZ</v>
          </cell>
          <cell r="F4138" t="str">
            <v>D (MD)</v>
          </cell>
          <cell r="H4138" t="str">
            <v>Mayday</v>
          </cell>
          <cell r="I4138">
            <v>0.8125</v>
          </cell>
          <cell r="J4138">
            <v>0.33333333333333331</v>
          </cell>
          <cell r="K4138">
            <v>11.83333333</v>
          </cell>
          <cell r="L4138">
            <v>611.36</v>
          </cell>
          <cell r="O4138" t="str">
            <v>Y</v>
          </cell>
          <cell r="P4138" t="str">
            <v>N</v>
          </cell>
          <cell r="Q4138" t="str">
            <v>Vacancy</v>
          </cell>
          <cell r="S4138">
            <v>0.32</v>
          </cell>
        </row>
        <row r="4139">
          <cell r="D4139">
            <v>1208002548</v>
          </cell>
          <cell r="E4139" t="str">
            <v>SUNITHA SINGH</v>
          </cell>
          <cell r="F4139" t="str">
            <v>D (Amb)</v>
          </cell>
          <cell r="G4139">
            <v>767271</v>
          </cell>
          <cell r="H4139" t="str">
            <v>Ambition</v>
          </cell>
          <cell r="I4139">
            <v>0.3125</v>
          </cell>
          <cell r="J4139">
            <v>0.85416666666666663</v>
          </cell>
          <cell r="K4139">
            <v>12.33333333</v>
          </cell>
          <cell r="L4139">
            <v>771.57</v>
          </cell>
          <cell r="O4139" t="str">
            <v>Y</v>
          </cell>
          <cell r="P4139" t="str">
            <v>N</v>
          </cell>
          <cell r="Q4139" t="str">
            <v>Vacancy</v>
          </cell>
          <cell r="S4139">
            <v>0.33</v>
          </cell>
        </row>
        <row r="4140">
          <cell r="D4140">
            <v>1208003053</v>
          </cell>
          <cell r="E4140" t="str">
            <v>TAMBU JENA</v>
          </cell>
          <cell r="F4140" t="str">
            <v>D (Ch)</v>
          </cell>
          <cell r="G4140">
            <v>17699</v>
          </cell>
          <cell r="H4140" t="str">
            <v>Choice</v>
          </cell>
          <cell r="I4140">
            <v>0.3125</v>
          </cell>
          <cell r="J4140">
            <v>0.64583333333333337</v>
          </cell>
          <cell r="K4140">
            <v>7.6666666670000003</v>
          </cell>
          <cell r="L4140">
            <v>298.94</v>
          </cell>
          <cell r="O4140" t="str">
            <v>Y</v>
          </cell>
          <cell r="P4140" t="str">
            <v>N</v>
          </cell>
          <cell r="Q4140" t="str">
            <v>Extra Capacity</v>
          </cell>
          <cell r="S4140">
            <v>0.2</v>
          </cell>
        </row>
        <row r="4141">
          <cell r="D4141">
            <v>1208004507</v>
          </cell>
          <cell r="E4141" t="str">
            <v>TRUDY BRENNAN</v>
          </cell>
          <cell r="F4141" t="str">
            <v>D (Amb)</v>
          </cell>
          <cell r="G4141">
            <v>772123</v>
          </cell>
          <cell r="H4141" t="str">
            <v>Ambition</v>
          </cell>
          <cell r="I4141">
            <v>0.88541666666666663</v>
          </cell>
          <cell r="J4141">
            <v>0.3125</v>
          </cell>
          <cell r="K4141">
            <v>9.25</v>
          </cell>
          <cell r="L4141">
            <v>578.67999999999995</v>
          </cell>
          <cell r="O4141" t="str">
            <v>Y</v>
          </cell>
          <cell r="P4141" t="str">
            <v>N</v>
          </cell>
          <cell r="Q4141" t="str">
            <v>Vacancy</v>
          </cell>
          <cell r="S4141">
            <v>0.25</v>
          </cell>
        </row>
        <row r="4142">
          <cell r="D4142">
            <v>1208003056</v>
          </cell>
          <cell r="E4142" t="str">
            <v>TRUST CHIWUNDURA</v>
          </cell>
          <cell r="F4142" t="str">
            <v>A (Ch)</v>
          </cell>
          <cell r="G4142">
            <v>17702</v>
          </cell>
          <cell r="H4142" t="str">
            <v>Choice</v>
          </cell>
          <cell r="I4142">
            <v>0.88541666666666663</v>
          </cell>
          <cell r="J4142">
            <v>0.33333333333333331</v>
          </cell>
          <cell r="K4142">
            <v>10.41666667</v>
          </cell>
          <cell r="L4142">
            <v>192.53</v>
          </cell>
          <cell r="O4142" t="str">
            <v>Y</v>
          </cell>
          <cell r="P4142" t="str">
            <v>N</v>
          </cell>
          <cell r="Q4142" t="str">
            <v>Extra Capacity</v>
          </cell>
          <cell r="S4142">
            <v>0.28000000000000003</v>
          </cell>
        </row>
        <row r="4143">
          <cell r="D4143">
            <v>1108005920</v>
          </cell>
          <cell r="E4143" t="str">
            <v>AMBER PERRY</v>
          </cell>
          <cell r="F4143" t="str">
            <v>D (MD)</v>
          </cell>
          <cell r="G4143">
            <v>356896</v>
          </cell>
          <cell r="H4143" t="str">
            <v>Mayday</v>
          </cell>
          <cell r="I4143">
            <v>0.3125</v>
          </cell>
          <cell r="J4143">
            <v>0.5625</v>
          </cell>
          <cell r="K4143">
            <v>5.6666666670000003</v>
          </cell>
          <cell r="L4143">
            <v>182.98</v>
          </cell>
          <cell r="O4143" t="str">
            <v>Y</v>
          </cell>
          <cell r="P4143" t="str">
            <v>N</v>
          </cell>
          <cell r="Q4143" t="str">
            <v>Under Established</v>
          </cell>
          <cell r="S4143">
            <v>0.15</v>
          </cell>
        </row>
        <row r="4144">
          <cell r="D4144">
            <v>1208002496</v>
          </cell>
          <cell r="E4144" t="str">
            <v>BERNADETTE SHINYA-NDUNUWANI</v>
          </cell>
          <cell r="F4144" t="str">
            <v>D (MD)</v>
          </cell>
          <cell r="G4144">
            <v>356643</v>
          </cell>
          <cell r="H4144" t="str">
            <v>Mayday</v>
          </cell>
          <cell r="I4144">
            <v>0.3125</v>
          </cell>
          <cell r="J4144">
            <v>0.85416666666666663</v>
          </cell>
          <cell r="K4144">
            <v>12.33333333</v>
          </cell>
          <cell r="L4144">
            <v>398.24</v>
          </cell>
          <cell r="O4144" t="str">
            <v>Y</v>
          </cell>
          <cell r="P4144" t="str">
            <v>N</v>
          </cell>
          <cell r="Q4144" t="str">
            <v>Extra Capacity</v>
          </cell>
          <cell r="S4144">
            <v>0.33</v>
          </cell>
        </row>
        <row r="4145">
          <cell r="D4145">
            <v>1208002934</v>
          </cell>
          <cell r="E4145" t="str">
            <v>CATH CHIDAVAYENZI</v>
          </cell>
          <cell r="F4145" t="str">
            <v>D (Ch)</v>
          </cell>
          <cell r="G4145">
            <v>17776</v>
          </cell>
          <cell r="H4145" t="str">
            <v>Choice</v>
          </cell>
          <cell r="I4145">
            <v>0.83333333333333337</v>
          </cell>
          <cell r="J4145">
            <v>0.33333333333333331</v>
          </cell>
          <cell r="K4145">
            <v>11.33333333</v>
          </cell>
          <cell r="L4145">
            <v>359.05</v>
          </cell>
          <cell r="O4145" t="str">
            <v>Y</v>
          </cell>
          <cell r="P4145" t="str">
            <v>N</v>
          </cell>
          <cell r="Q4145" t="str">
            <v>Extra Capacity</v>
          </cell>
          <cell r="S4145">
            <v>0.3</v>
          </cell>
        </row>
        <row r="4146">
          <cell r="D4146">
            <v>1208006800</v>
          </cell>
          <cell r="E4146" t="str">
            <v>CECILIA TIPPA</v>
          </cell>
          <cell r="F4146" t="str">
            <v>D (MD)</v>
          </cell>
          <cell r="G4146">
            <v>354490</v>
          </cell>
          <cell r="H4146" t="str">
            <v>Mayday</v>
          </cell>
          <cell r="I4146">
            <v>0.83333333333333337</v>
          </cell>
          <cell r="J4146">
            <v>0.33333333333333331</v>
          </cell>
          <cell r="K4146">
            <v>11</v>
          </cell>
          <cell r="L4146">
            <v>461.75</v>
          </cell>
          <cell r="O4146" t="str">
            <v>Y</v>
          </cell>
          <cell r="P4146" t="str">
            <v>N</v>
          </cell>
          <cell r="Q4146" t="str">
            <v>Short Term Sick</v>
          </cell>
          <cell r="S4146">
            <v>0.28999999999999998</v>
          </cell>
        </row>
        <row r="4147">
          <cell r="D4147">
            <v>1108005019</v>
          </cell>
          <cell r="E4147" t="str">
            <v>CHRIS STULAR</v>
          </cell>
          <cell r="F4147" t="str">
            <v>D General (Orio</v>
          </cell>
          <cell r="G4147" t="str">
            <v>Invsd Smt checked</v>
          </cell>
          <cell r="H4147" t="str">
            <v>Orion</v>
          </cell>
          <cell r="I4147">
            <v>0.33333333333333331</v>
          </cell>
          <cell r="J4147">
            <v>0.75</v>
          </cell>
          <cell r="K4147">
            <v>9.5</v>
          </cell>
          <cell r="L4147">
            <v>172.14</v>
          </cell>
          <cell r="O4147" t="str">
            <v>Y</v>
          </cell>
          <cell r="P4147" t="str">
            <v>N</v>
          </cell>
          <cell r="Q4147" t="str">
            <v>Backfill</v>
          </cell>
          <cell r="S4147">
            <v>0.25</v>
          </cell>
        </row>
        <row r="4148">
          <cell r="D4148">
            <v>1108005928</v>
          </cell>
          <cell r="E4148" t="str">
            <v>DAMILOLA AIKI</v>
          </cell>
          <cell r="F4148" t="str">
            <v>A (Ch)</v>
          </cell>
          <cell r="H4148" t="str">
            <v>Choice</v>
          </cell>
          <cell r="I4148">
            <v>0.5625</v>
          </cell>
          <cell r="J4148">
            <v>0.85416666666666663</v>
          </cell>
          <cell r="K4148">
            <v>6.6666666670000003</v>
          </cell>
          <cell r="L4148">
            <v>73.930000000000007</v>
          </cell>
          <cell r="O4148" t="str">
            <v>Y</v>
          </cell>
          <cell r="P4148" t="str">
            <v>N</v>
          </cell>
          <cell r="Q4148" t="str">
            <v>Maternity Leave</v>
          </cell>
          <cell r="S4148">
            <v>0.18</v>
          </cell>
        </row>
        <row r="4149">
          <cell r="D4149">
            <v>1208006277</v>
          </cell>
          <cell r="E4149" t="str">
            <v>DEBBIE HARRIS</v>
          </cell>
          <cell r="F4149" t="str">
            <v>D (MD)</v>
          </cell>
          <cell r="G4149">
            <v>355195</v>
          </cell>
          <cell r="H4149" t="str">
            <v>Mayday</v>
          </cell>
          <cell r="I4149">
            <v>0.83333333333333337</v>
          </cell>
          <cell r="J4149">
            <v>0.33333333333333331</v>
          </cell>
          <cell r="K4149">
            <v>11</v>
          </cell>
          <cell r="L4149">
            <v>461.75</v>
          </cell>
          <cell r="O4149" t="str">
            <v>Y</v>
          </cell>
          <cell r="P4149" t="str">
            <v>N</v>
          </cell>
          <cell r="Q4149" t="str">
            <v>Acuity</v>
          </cell>
          <cell r="S4149">
            <v>0.28999999999999998</v>
          </cell>
        </row>
        <row r="4150">
          <cell r="D4150">
            <v>1208004492</v>
          </cell>
          <cell r="E4150" t="str">
            <v>DENNIS DVENGE</v>
          </cell>
          <cell r="F4150" t="str">
            <v>D (Ch)</v>
          </cell>
          <cell r="G4150">
            <v>17792</v>
          </cell>
          <cell r="H4150" t="str">
            <v>Choice</v>
          </cell>
          <cell r="I4150">
            <v>0.88541666666666663</v>
          </cell>
          <cell r="J4150">
            <v>0.3125</v>
          </cell>
          <cell r="K4150">
            <v>9.25</v>
          </cell>
          <cell r="L4150">
            <v>293.05</v>
          </cell>
          <cell r="M4150">
            <v>317.92</v>
          </cell>
          <cell r="O4150" t="str">
            <v>Y</v>
          </cell>
          <cell r="P4150" t="str">
            <v>N</v>
          </cell>
          <cell r="Q4150" t="str">
            <v>Specials</v>
          </cell>
          <cell r="S4150">
            <v>0.25</v>
          </cell>
        </row>
        <row r="4151">
          <cell r="D4151">
            <v>1208005138</v>
          </cell>
          <cell r="E4151" t="str">
            <v>ELSIE CHIKUKWA</v>
          </cell>
          <cell r="F4151" t="str">
            <v>D (MD)</v>
          </cell>
          <cell r="G4151">
            <v>354080</v>
          </cell>
          <cell r="H4151" t="str">
            <v>Mayday</v>
          </cell>
          <cell r="I4151">
            <v>0.82291666666666663</v>
          </cell>
          <cell r="J4151">
            <v>0.33333333333333331</v>
          </cell>
          <cell r="K4151">
            <v>11.58333333</v>
          </cell>
          <cell r="L4151">
            <v>486.23</v>
          </cell>
          <cell r="O4151" t="str">
            <v>Y</v>
          </cell>
          <cell r="P4151" t="str">
            <v>N</v>
          </cell>
          <cell r="Q4151" t="str">
            <v>Acuity</v>
          </cell>
          <cell r="S4151">
            <v>0.31</v>
          </cell>
        </row>
        <row r="4152">
          <cell r="D4152">
            <v>1208002144</v>
          </cell>
          <cell r="E4152" t="str">
            <v>EUNICE ADEBANJO</v>
          </cell>
          <cell r="F4152" t="str">
            <v>D (Ch)</v>
          </cell>
          <cell r="G4152">
            <v>17798</v>
          </cell>
          <cell r="H4152" t="str">
            <v>Choice</v>
          </cell>
          <cell r="I4152">
            <v>0.83333333333333337</v>
          </cell>
          <cell r="J4152">
            <v>0.33333333333333331</v>
          </cell>
          <cell r="K4152">
            <v>11.33333333</v>
          </cell>
          <cell r="L4152">
            <v>359.05</v>
          </cell>
          <cell r="O4152" t="str">
            <v>Y</v>
          </cell>
          <cell r="P4152" t="str">
            <v>N</v>
          </cell>
          <cell r="Q4152" t="str">
            <v>Extra Capacity</v>
          </cell>
          <cell r="S4152">
            <v>0.3</v>
          </cell>
        </row>
        <row r="4153">
          <cell r="D4153">
            <v>1208002805</v>
          </cell>
          <cell r="E4153" t="str">
            <v>FATIMA UMARU</v>
          </cell>
          <cell r="F4153" t="str">
            <v>D (MD)</v>
          </cell>
          <cell r="G4153">
            <v>355339</v>
          </cell>
          <cell r="H4153" t="str">
            <v>Mayday</v>
          </cell>
          <cell r="I4153">
            <v>0.83333333333333337</v>
          </cell>
          <cell r="J4153">
            <v>0.33333333333333331</v>
          </cell>
          <cell r="K4153">
            <v>11.33333333</v>
          </cell>
          <cell r="L4153">
            <v>475.74</v>
          </cell>
          <cell r="O4153" t="str">
            <v>Y</v>
          </cell>
          <cell r="P4153" t="str">
            <v>N</v>
          </cell>
          <cell r="Q4153" t="str">
            <v>Vacancy</v>
          </cell>
          <cell r="S4153">
            <v>0.3</v>
          </cell>
        </row>
        <row r="4154">
          <cell r="D4154">
            <v>1108005205</v>
          </cell>
          <cell r="E4154" t="str">
            <v>FIONA DURKIN-GREER</v>
          </cell>
          <cell r="F4154" t="str">
            <v>D (MD)</v>
          </cell>
          <cell r="G4154">
            <v>356848</v>
          </cell>
          <cell r="H4154" t="str">
            <v>Mayday</v>
          </cell>
          <cell r="I4154">
            <v>0.3125</v>
          </cell>
          <cell r="J4154">
            <v>0.5625</v>
          </cell>
          <cell r="K4154">
            <v>5.6666666670000003</v>
          </cell>
          <cell r="L4154">
            <v>182.98</v>
          </cell>
          <cell r="O4154" t="str">
            <v>Y</v>
          </cell>
          <cell r="P4154" t="str">
            <v>N</v>
          </cell>
          <cell r="Q4154" t="str">
            <v>Nurse Moved</v>
          </cell>
          <cell r="S4154">
            <v>0.15</v>
          </cell>
        </row>
        <row r="4155">
          <cell r="D4155">
            <v>1208005139</v>
          </cell>
          <cell r="E4155" t="str">
            <v>GERTRUDE CHIGWADA</v>
          </cell>
          <cell r="F4155" t="str">
            <v>D (MD)</v>
          </cell>
          <cell r="G4155">
            <v>354214</v>
          </cell>
          <cell r="H4155" t="str">
            <v>Mayday</v>
          </cell>
          <cell r="I4155">
            <v>0.82291666666666663</v>
          </cell>
          <cell r="J4155">
            <v>0.33333333333333331</v>
          </cell>
          <cell r="K4155">
            <v>11.58333333</v>
          </cell>
          <cell r="L4155">
            <v>486.23</v>
          </cell>
          <cell r="O4155" t="str">
            <v>Y</v>
          </cell>
          <cell r="P4155" t="str">
            <v>N</v>
          </cell>
          <cell r="Q4155" t="str">
            <v>Acuity</v>
          </cell>
          <cell r="S4155">
            <v>0.31</v>
          </cell>
        </row>
        <row r="4156">
          <cell r="D4156">
            <v>1208005215</v>
          </cell>
          <cell r="E4156" t="str">
            <v>GLENDA RONA</v>
          </cell>
          <cell r="F4156" t="str">
            <v>D (Ch)</v>
          </cell>
          <cell r="G4156">
            <v>17788</v>
          </cell>
          <cell r="H4156" t="str">
            <v>Choice</v>
          </cell>
          <cell r="I4156">
            <v>0.82291666666666663</v>
          </cell>
          <cell r="J4156">
            <v>0.34375</v>
          </cell>
          <cell r="K4156">
            <v>11.5</v>
          </cell>
          <cell r="L4156">
            <v>364.33</v>
          </cell>
          <cell r="O4156" t="str">
            <v>Y</v>
          </cell>
          <cell r="P4156" t="str">
            <v>N</v>
          </cell>
          <cell r="Q4156" t="str">
            <v>Extra Capacity</v>
          </cell>
          <cell r="S4156">
            <v>0.31</v>
          </cell>
        </row>
        <row r="4157">
          <cell r="D4157">
            <v>1208002910</v>
          </cell>
          <cell r="E4157" t="str">
            <v>JAMES MCCLEMENTS</v>
          </cell>
          <cell r="F4157" t="str">
            <v>D (MD)</v>
          </cell>
          <cell r="G4157">
            <v>356856</v>
          </cell>
          <cell r="H4157" t="str">
            <v>Mayday</v>
          </cell>
          <cell r="I4157">
            <v>0.3125</v>
          </cell>
          <cell r="J4157">
            <v>0.60416666666666663</v>
          </cell>
          <cell r="K4157">
            <v>6.6666666670000003</v>
          </cell>
          <cell r="L4157">
            <v>215.27</v>
          </cell>
          <cell r="O4157" t="str">
            <v>Y</v>
          </cell>
          <cell r="P4157" t="str">
            <v>N</v>
          </cell>
          <cell r="Q4157" t="str">
            <v>Extra Capacity</v>
          </cell>
          <cell r="S4157">
            <v>0.18</v>
          </cell>
        </row>
        <row r="4158">
          <cell r="D4158">
            <v>1208002933</v>
          </cell>
          <cell r="E4158" t="str">
            <v>JAMES MCCLEMENTS</v>
          </cell>
          <cell r="F4158" t="str">
            <v>D (MD)</v>
          </cell>
          <cell r="G4158">
            <v>356856</v>
          </cell>
          <cell r="H4158" t="str">
            <v>Mayday</v>
          </cell>
          <cell r="I4158">
            <v>0.60416666666666663</v>
          </cell>
          <cell r="J4158">
            <v>0.85416666666666663</v>
          </cell>
          <cell r="K4158">
            <v>5.6666666670000003</v>
          </cell>
          <cell r="L4158">
            <v>182.98</v>
          </cell>
          <cell r="O4158" t="str">
            <v>Y</v>
          </cell>
          <cell r="P4158" t="str">
            <v>N</v>
          </cell>
          <cell r="Q4158" t="str">
            <v>Extra Capacity</v>
          </cell>
          <cell r="S4158">
            <v>0.15</v>
          </cell>
        </row>
        <row r="4159">
          <cell r="D4159">
            <v>1208002137</v>
          </cell>
          <cell r="E4159" t="str">
            <v>JASMINE ESGUERRA</v>
          </cell>
          <cell r="F4159" t="str">
            <v>D (Ch)</v>
          </cell>
          <cell r="H4159" t="str">
            <v>Choice</v>
          </cell>
          <cell r="I4159">
            <v>0.60416666666666663</v>
          </cell>
          <cell r="J4159">
            <v>0.85416666666666663</v>
          </cell>
          <cell r="K4159">
            <v>5.6666666670000003</v>
          </cell>
          <cell r="L4159">
            <v>138.1</v>
          </cell>
          <cell r="O4159" t="str">
            <v>Y</v>
          </cell>
          <cell r="P4159" t="str">
            <v>N</v>
          </cell>
          <cell r="Q4159" t="str">
            <v>Extra Capacity</v>
          </cell>
          <cell r="S4159">
            <v>0.15</v>
          </cell>
        </row>
        <row r="4160">
          <cell r="D4160">
            <v>1208004010</v>
          </cell>
          <cell r="E4160" t="str">
            <v>JOANNE BUSS</v>
          </cell>
          <cell r="F4160" t="str">
            <v>D (MD)</v>
          </cell>
          <cell r="G4160">
            <v>355385</v>
          </cell>
          <cell r="H4160" t="str">
            <v>Mayday</v>
          </cell>
          <cell r="I4160">
            <v>0.54166666666666663</v>
          </cell>
          <cell r="J4160">
            <v>0.85416666666666663</v>
          </cell>
          <cell r="K4160">
            <v>7.1666666670000003</v>
          </cell>
          <cell r="L4160">
            <v>231.41</v>
          </cell>
          <cell r="O4160" t="str">
            <v>Y</v>
          </cell>
          <cell r="P4160" t="str">
            <v>N</v>
          </cell>
          <cell r="Q4160" t="str">
            <v>Extra Capacity</v>
          </cell>
          <cell r="S4160">
            <v>0.19</v>
          </cell>
        </row>
        <row r="4161">
          <cell r="D4161">
            <v>1208002141</v>
          </cell>
          <cell r="E4161" t="str">
            <v>JOELIS PASCUA</v>
          </cell>
          <cell r="F4161" t="str">
            <v>D (Ch)</v>
          </cell>
          <cell r="G4161">
            <v>17798</v>
          </cell>
          <cell r="H4161" t="str">
            <v>Choice</v>
          </cell>
          <cell r="I4161">
            <v>0.83333333333333337</v>
          </cell>
          <cell r="J4161">
            <v>0.33333333333333331</v>
          </cell>
          <cell r="K4161">
            <v>11.33333333</v>
          </cell>
          <cell r="L4161">
            <v>359.05</v>
          </cell>
          <cell r="O4161" t="str">
            <v>Y</v>
          </cell>
          <cell r="P4161" t="str">
            <v>N</v>
          </cell>
          <cell r="Q4161" t="str">
            <v>Extra Capacity</v>
          </cell>
          <cell r="S4161">
            <v>0.3</v>
          </cell>
        </row>
        <row r="4162">
          <cell r="D4162">
            <v>1208004018</v>
          </cell>
          <cell r="E4162" t="str">
            <v>LETECIA MENIANO</v>
          </cell>
          <cell r="F4162" t="str">
            <v>D (Ch)</v>
          </cell>
          <cell r="G4162">
            <v>354553</v>
          </cell>
          <cell r="H4162" t="str">
            <v>Choice</v>
          </cell>
          <cell r="I4162">
            <v>0.84375</v>
          </cell>
          <cell r="J4162">
            <v>0.3125</v>
          </cell>
          <cell r="K4162">
            <v>10.25</v>
          </cell>
          <cell r="L4162">
            <v>324.73</v>
          </cell>
          <cell r="O4162" t="str">
            <v>Y</v>
          </cell>
          <cell r="P4162" t="str">
            <v>N</v>
          </cell>
          <cell r="Q4162" t="str">
            <v>Extra Capacity</v>
          </cell>
          <cell r="S4162">
            <v>0.27</v>
          </cell>
        </row>
        <row r="4163">
          <cell r="D4163">
            <v>1208002464</v>
          </cell>
          <cell r="E4163" t="str">
            <v>MICHAEL OKE</v>
          </cell>
          <cell r="F4163" t="str">
            <v>A (Ch)</v>
          </cell>
          <cell r="G4163">
            <v>17800</v>
          </cell>
          <cell r="H4163" t="str">
            <v>Choice</v>
          </cell>
          <cell r="I4163">
            <v>0.3125</v>
          </cell>
          <cell r="J4163">
            <v>0.85416666666666663</v>
          </cell>
          <cell r="K4163">
            <v>12.33333333</v>
          </cell>
          <cell r="L4163">
            <v>136.78</v>
          </cell>
          <cell r="O4163" t="str">
            <v>Y</v>
          </cell>
          <cell r="P4163" t="str">
            <v>N</v>
          </cell>
          <cell r="Q4163" t="str">
            <v>Extra Capacity</v>
          </cell>
          <cell r="S4163">
            <v>0.33</v>
          </cell>
        </row>
        <row r="4164">
          <cell r="D4164">
            <v>1208002681</v>
          </cell>
          <cell r="E4164" t="str">
            <v>MIRIAM MAGWETTE</v>
          </cell>
          <cell r="F4164" t="str">
            <v>D (Ch)</v>
          </cell>
          <cell r="H4164" t="str">
            <v>Choice</v>
          </cell>
          <cell r="I4164">
            <v>0.29166666666666669</v>
          </cell>
          <cell r="J4164">
            <v>0.625</v>
          </cell>
          <cell r="K4164">
            <v>7.6666666670000003</v>
          </cell>
          <cell r="L4164">
            <v>186.84</v>
          </cell>
          <cell r="O4164" t="str">
            <v>Y</v>
          </cell>
          <cell r="P4164" t="str">
            <v>N</v>
          </cell>
          <cell r="Q4164" t="str">
            <v>Specials</v>
          </cell>
          <cell r="S4164">
            <v>0.2</v>
          </cell>
        </row>
        <row r="4165">
          <cell r="D4165">
            <v>1208004491</v>
          </cell>
          <cell r="E4165" t="str">
            <v>MIRIAM MAGWETTE</v>
          </cell>
          <cell r="F4165" t="str">
            <v>D (Ch)</v>
          </cell>
          <cell r="H4165" t="str">
            <v>Choice</v>
          </cell>
          <cell r="I4165">
            <v>0.625</v>
          </cell>
          <cell r="J4165">
            <v>0.88541666666666663</v>
          </cell>
          <cell r="K4165">
            <v>5.9166666670000003</v>
          </cell>
          <cell r="L4165">
            <v>144.19</v>
          </cell>
          <cell r="O4165" t="str">
            <v>Y</v>
          </cell>
          <cell r="P4165" t="str">
            <v>N</v>
          </cell>
          <cell r="Q4165" t="str">
            <v>Specials</v>
          </cell>
          <cell r="S4165">
            <v>0.16</v>
          </cell>
        </row>
        <row r="4166">
          <cell r="D4166">
            <v>1208003063</v>
          </cell>
          <cell r="E4166" t="str">
            <v>MZUKISI SPEELMAN</v>
          </cell>
          <cell r="F4166" t="str">
            <v>A (Ch)</v>
          </cell>
          <cell r="H4166" t="str">
            <v>Choice</v>
          </cell>
          <cell r="I4166">
            <v>0.3125</v>
          </cell>
          <cell r="J4166">
            <v>0.64583333333333337</v>
          </cell>
          <cell r="K4166">
            <v>7.6666666670000003</v>
          </cell>
          <cell r="L4166">
            <v>85.02</v>
          </cell>
          <cell r="O4166" t="str">
            <v>Y</v>
          </cell>
          <cell r="P4166" t="str">
            <v>N</v>
          </cell>
          <cell r="Q4166" t="str">
            <v>Extra Capacity</v>
          </cell>
          <cell r="S4166">
            <v>0.2</v>
          </cell>
        </row>
        <row r="4167">
          <cell r="D4167">
            <v>1208002143</v>
          </cell>
          <cell r="E4167" t="str">
            <v>RODA RAMERIZ</v>
          </cell>
          <cell r="F4167" t="str">
            <v>D (Ch)</v>
          </cell>
          <cell r="H4167" t="str">
            <v>Choice</v>
          </cell>
          <cell r="I4167">
            <v>0.83333333333333337</v>
          </cell>
          <cell r="J4167">
            <v>0.33333333333333331</v>
          </cell>
          <cell r="K4167">
            <v>11.33333333</v>
          </cell>
          <cell r="L4167">
            <v>359.05</v>
          </cell>
          <cell r="O4167" t="str">
            <v>Y</v>
          </cell>
          <cell r="P4167" t="str">
            <v>N</v>
          </cell>
          <cell r="Q4167" t="str">
            <v>Extra Capacity</v>
          </cell>
          <cell r="S4167">
            <v>0.3</v>
          </cell>
        </row>
        <row r="4168">
          <cell r="D4168">
            <v>1208004220</v>
          </cell>
          <cell r="E4168" t="str">
            <v>SAM KELEM</v>
          </cell>
          <cell r="F4168" t="str">
            <v>D (Ch)</v>
          </cell>
          <cell r="H4168" t="str">
            <v>Choice</v>
          </cell>
          <cell r="I4168">
            <v>0.84375</v>
          </cell>
          <cell r="J4168">
            <v>0.3125</v>
          </cell>
          <cell r="K4168">
            <v>10.25</v>
          </cell>
          <cell r="L4168">
            <v>324.73</v>
          </cell>
          <cell r="O4168" t="str">
            <v>Y</v>
          </cell>
          <cell r="P4168" t="str">
            <v>N</v>
          </cell>
          <cell r="Q4168" t="str">
            <v>Under Established</v>
          </cell>
          <cell r="S4168">
            <v>0.27</v>
          </cell>
        </row>
        <row r="4169">
          <cell r="D4169">
            <v>1208002142</v>
          </cell>
          <cell r="E4169" t="str">
            <v>SAMSON BARACENA</v>
          </cell>
          <cell r="F4169" t="str">
            <v>D (Ch)</v>
          </cell>
          <cell r="G4169">
            <v>17833</v>
          </cell>
          <cell r="H4169" t="str">
            <v>Choice</v>
          </cell>
          <cell r="I4169">
            <v>0.83333333333333337</v>
          </cell>
          <cell r="J4169">
            <v>0.33333333333333331</v>
          </cell>
          <cell r="K4169">
            <v>11.33333333</v>
          </cell>
          <cell r="L4169">
            <v>359.05</v>
          </cell>
          <cell r="M4169">
            <v>329.34</v>
          </cell>
          <cell r="O4169" t="str">
            <v>Y</v>
          </cell>
          <cell r="P4169" t="str">
            <v>N</v>
          </cell>
          <cell r="Q4169" t="str">
            <v>Extra Capacity</v>
          </cell>
          <cell r="S4169">
            <v>0.3</v>
          </cell>
        </row>
        <row r="4170">
          <cell r="D4170">
            <v>1208000053</v>
          </cell>
          <cell r="E4170" t="str">
            <v>SEREELETSO MAITIYO</v>
          </cell>
          <cell r="F4170" t="str">
            <v>D (Ch)</v>
          </cell>
          <cell r="H4170" t="str">
            <v>Choice</v>
          </cell>
          <cell r="I4170">
            <v>0.3125</v>
          </cell>
          <cell r="J4170">
            <v>0.54166666666666663</v>
          </cell>
          <cell r="K4170">
            <v>5.5</v>
          </cell>
          <cell r="L4170">
            <v>134.03</v>
          </cell>
          <cell r="O4170" t="str">
            <v>Y</v>
          </cell>
          <cell r="P4170" t="str">
            <v>N</v>
          </cell>
          <cell r="Q4170" t="str">
            <v>Vacancy</v>
          </cell>
          <cell r="S4170">
            <v>0.15</v>
          </cell>
        </row>
        <row r="4171">
          <cell r="D4171">
            <v>1108005921</v>
          </cell>
          <cell r="E4171" t="str">
            <v>SIBONGILE DOKOTERA</v>
          </cell>
          <cell r="F4171" t="str">
            <v>D (MD)</v>
          </cell>
          <cell r="H4171" t="str">
            <v>Mayday</v>
          </cell>
          <cell r="I4171">
            <v>0.3125</v>
          </cell>
          <cell r="J4171">
            <v>0.5625</v>
          </cell>
          <cell r="K4171">
            <v>5.6666666670000003</v>
          </cell>
          <cell r="L4171">
            <v>182.98</v>
          </cell>
          <cell r="O4171" t="str">
            <v>Y</v>
          </cell>
          <cell r="P4171" t="str">
            <v>N</v>
          </cell>
          <cell r="Q4171" t="str">
            <v>Under Established</v>
          </cell>
          <cell r="S4171">
            <v>0.15</v>
          </cell>
        </row>
        <row r="4172">
          <cell r="D4172">
            <v>1108005924</v>
          </cell>
          <cell r="E4172" t="str">
            <v>SIBONGILE DOKOTERA</v>
          </cell>
          <cell r="F4172" t="str">
            <v>D (MD)</v>
          </cell>
          <cell r="H4172" t="str">
            <v>Mayday</v>
          </cell>
          <cell r="I4172">
            <v>0.5625</v>
          </cell>
          <cell r="J4172">
            <v>0.85416666666666663</v>
          </cell>
          <cell r="K4172">
            <v>6.6666666670000003</v>
          </cell>
          <cell r="L4172">
            <v>215.27</v>
          </cell>
          <cell r="O4172" t="str">
            <v>Y</v>
          </cell>
          <cell r="P4172" t="str">
            <v>N</v>
          </cell>
          <cell r="Q4172" t="str">
            <v>Under Established</v>
          </cell>
          <cell r="S4172">
            <v>0.18</v>
          </cell>
        </row>
        <row r="4173">
          <cell r="D4173">
            <v>1208002145</v>
          </cell>
          <cell r="E4173" t="str">
            <v>TAMBU JENA</v>
          </cell>
          <cell r="F4173" t="str">
            <v>D (Ch)</v>
          </cell>
          <cell r="G4173">
            <v>17876</v>
          </cell>
          <cell r="H4173" t="str">
            <v>Choice</v>
          </cell>
          <cell r="I4173">
            <v>0.83333333333333337</v>
          </cell>
          <cell r="J4173">
            <v>0.33333333333333331</v>
          </cell>
          <cell r="K4173">
            <v>11.33333333</v>
          </cell>
          <cell r="L4173">
            <v>359.05</v>
          </cell>
          <cell r="M4173">
            <v>291.11</v>
          </cell>
          <cell r="O4173" t="str">
            <v>Y</v>
          </cell>
          <cell r="P4173" t="str">
            <v>N</v>
          </cell>
          <cell r="Q4173" t="str">
            <v>Extra Capacity</v>
          </cell>
          <cell r="S4173">
            <v>0.3</v>
          </cell>
        </row>
        <row r="4174">
          <cell r="D4174">
            <v>1208004510</v>
          </cell>
          <cell r="E4174" t="str">
            <v>TRUDY BRENNAN</v>
          </cell>
          <cell r="F4174" t="str">
            <v>D (Amb)</v>
          </cell>
          <cell r="H4174" t="str">
            <v>Ambition</v>
          </cell>
          <cell r="I4174">
            <v>0.875</v>
          </cell>
          <cell r="J4174">
            <v>0.3125</v>
          </cell>
          <cell r="K4174">
            <v>10.16666667</v>
          </cell>
          <cell r="L4174">
            <v>516.77</v>
          </cell>
          <cell r="O4174" t="str">
            <v>Y</v>
          </cell>
          <cell r="P4174" t="str">
            <v>N</v>
          </cell>
          <cell r="Q4174" t="str">
            <v>Vacancy</v>
          </cell>
          <cell r="S4174">
            <v>0.27</v>
          </cell>
        </row>
        <row r="4175">
          <cell r="D4175">
            <v>1208004508</v>
          </cell>
          <cell r="E4175" t="str">
            <v>VICTORIA ANIKINA</v>
          </cell>
          <cell r="F4175" t="str">
            <v>D (Amb)</v>
          </cell>
          <cell r="G4175">
            <v>772129</v>
          </cell>
          <cell r="H4175" t="str">
            <v>Ambition</v>
          </cell>
          <cell r="I4175">
            <v>0.29166666666666669</v>
          </cell>
          <cell r="J4175">
            <v>0.54166666666666663</v>
          </cell>
          <cell r="K4175">
            <v>5.75</v>
          </cell>
          <cell r="L4175">
            <v>224.83</v>
          </cell>
          <cell r="O4175" t="str">
            <v>Y</v>
          </cell>
          <cell r="P4175" t="str">
            <v>N</v>
          </cell>
          <cell r="Q4175" t="str">
            <v>Vacancy</v>
          </cell>
          <cell r="S4175">
            <v>0.15</v>
          </cell>
        </row>
        <row r="4176">
          <cell r="D4176">
            <v>1208005131</v>
          </cell>
          <cell r="E4176" t="str">
            <v>VIJAY PANDYA</v>
          </cell>
          <cell r="F4176" t="str">
            <v>D (MD)</v>
          </cell>
          <cell r="G4176">
            <v>356495</v>
          </cell>
          <cell r="H4176" t="str">
            <v>Mayday</v>
          </cell>
          <cell r="I4176">
            <v>0.875</v>
          </cell>
          <cell r="J4176">
            <v>0.33333333333333331</v>
          </cell>
          <cell r="K4176">
            <v>10.66666667</v>
          </cell>
          <cell r="L4176">
            <v>447.75</v>
          </cell>
          <cell r="O4176" t="str">
            <v>Y</v>
          </cell>
          <cell r="P4176" t="str">
            <v>N</v>
          </cell>
          <cell r="Q4176" t="str">
            <v>Acuity</v>
          </cell>
          <cell r="S4176">
            <v>0.28000000000000003</v>
          </cell>
        </row>
        <row r="4177">
          <cell r="D4177">
            <v>1208002400</v>
          </cell>
          <cell r="E4177" t="str">
            <v>ALAN CURTIS</v>
          </cell>
          <cell r="F4177" t="str">
            <v>D (MD)</v>
          </cell>
          <cell r="G4177">
            <v>355372</v>
          </cell>
          <cell r="H4177" t="str">
            <v>Mayday</v>
          </cell>
          <cell r="I4177">
            <v>0.3125</v>
          </cell>
          <cell r="J4177">
            <v>0.83333333333333337</v>
          </cell>
          <cell r="K4177">
            <v>11.83333333</v>
          </cell>
          <cell r="L4177">
            <v>382.1</v>
          </cell>
          <cell r="O4177" t="str">
            <v>Y</v>
          </cell>
          <cell r="P4177" t="str">
            <v>N</v>
          </cell>
          <cell r="Q4177" t="str">
            <v>Vacancy</v>
          </cell>
          <cell r="S4177">
            <v>0.32</v>
          </cell>
        </row>
        <row r="4178">
          <cell r="D4178">
            <v>1208003851</v>
          </cell>
          <cell r="E4178" t="str">
            <v>ALLI SUBRAMANIAM</v>
          </cell>
          <cell r="F4178" t="str">
            <v>D (MD)</v>
          </cell>
          <cell r="G4178">
            <v>355405</v>
          </cell>
          <cell r="H4178" t="str">
            <v>Mayday</v>
          </cell>
          <cell r="I4178">
            <v>0.3125</v>
          </cell>
          <cell r="J4178">
            <v>0.625</v>
          </cell>
          <cell r="K4178">
            <v>7.1666666670000003</v>
          </cell>
          <cell r="L4178">
            <v>231.41</v>
          </cell>
          <cell r="O4178" t="str">
            <v>Y</v>
          </cell>
          <cell r="P4178" t="str">
            <v>N</v>
          </cell>
          <cell r="Q4178" t="str">
            <v>Extra Capacity</v>
          </cell>
          <cell r="S4178">
            <v>0.19</v>
          </cell>
        </row>
        <row r="4179">
          <cell r="D4179">
            <v>1208003856</v>
          </cell>
          <cell r="E4179" t="str">
            <v>ALLI SUBRAMANIAM</v>
          </cell>
          <cell r="F4179" t="str">
            <v>D (MD)</v>
          </cell>
          <cell r="G4179">
            <v>355405</v>
          </cell>
          <cell r="H4179" t="str">
            <v>Mayday</v>
          </cell>
          <cell r="I4179">
            <v>0.625</v>
          </cell>
          <cell r="J4179">
            <v>0.85416666666666663</v>
          </cell>
          <cell r="K4179">
            <v>5.5</v>
          </cell>
          <cell r="L4179">
            <v>177.59</v>
          </cell>
          <cell r="O4179" t="str">
            <v>Y</v>
          </cell>
          <cell r="P4179" t="str">
            <v>N</v>
          </cell>
          <cell r="Q4179" t="str">
            <v>Extra Capacity</v>
          </cell>
          <cell r="S4179">
            <v>0.15</v>
          </cell>
        </row>
        <row r="4180">
          <cell r="D4180">
            <v>1108005932</v>
          </cell>
          <cell r="E4180" t="str">
            <v>AMBER PERRY</v>
          </cell>
          <cell r="F4180" t="str">
            <v>D (MD)</v>
          </cell>
          <cell r="G4180">
            <v>356896</v>
          </cell>
          <cell r="H4180" t="str">
            <v>Mayday</v>
          </cell>
          <cell r="I4180">
            <v>0.3125</v>
          </cell>
          <cell r="J4180">
            <v>0.5625</v>
          </cell>
          <cell r="K4180">
            <v>5.6666666670000003</v>
          </cell>
          <cell r="L4180">
            <v>182.98</v>
          </cell>
          <cell r="O4180" t="str">
            <v>Y</v>
          </cell>
          <cell r="P4180" t="str">
            <v>N</v>
          </cell>
          <cell r="Q4180" t="str">
            <v>Under Established</v>
          </cell>
          <cell r="S4180">
            <v>0.15</v>
          </cell>
        </row>
        <row r="4181">
          <cell r="D4181">
            <v>1108005934</v>
          </cell>
          <cell r="E4181" t="str">
            <v>AMBER PERRY</v>
          </cell>
          <cell r="F4181" t="str">
            <v>D (MD)</v>
          </cell>
          <cell r="G4181">
            <v>356896</v>
          </cell>
          <cell r="H4181" t="str">
            <v>Mayday</v>
          </cell>
          <cell r="I4181">
            <v>0.5625</v>
          </cell>
          <cell r="J4181">
            <v>0.85416666666666663</v>
          </cell>
          <cell r="K4181">
            <v>6.6666666670000003</v>
          </cell>
          <cell r="L4181">
            <v>215.27</v>
          </cell>
          <cell r="O4181" t="str">
            <v>Y</v>
          </cell>
          <cell r="P4181" t="str">
            <v>N</v>
          </cell>
          <cell r="Q4181" t="str">
            <v>Under Established</v>
          </cell>
          <cell r="S4181">
            <v>0.18</v>
          </cell>
        </row>
        <row r="4182">
          <cell r="D4182">
            <v>1208005979</v>
          </cell>
          <cell r="E4182" t="str">
            <v>ATINUKE OKE-OLATUNDE</v>
          </cell>
          <cell r="F4182" t="str">
            <v>D (MD)</v>
          </cell>
          <cell r="G4182">
            <v>358249</v>
          </cell>
          <cell r="H4182" t="str">
            <v>Mayday</v>
          </cell>
          <cell r="I4182">
            <v>0.875</v>
          </cell>
          <cell r="J4182">
            <v>0.33333333333333331</v>
          </cell>
          <cell r="K4182">
            <v>10.66666667</v>
          </cell>
          <cell r="L4182">
            <v>447.75</v>
          </cell>
          <cell r="O4182" t="str">
            <v>Y</v>
          </cell>
          <cell r="P4182" t="str">
            <v>N</v>
          </cell>
          <cell r="Q4182" t="str">
            <v>Acuity</v>
          </cell>
          <cell r="S4182">
            <v>0.28000000000000003</v>
          </cell>
        </row>
        <row r="4183">
          <cell r="D4183">
            <v>1208003861</v>
          </cell>
          <cell r="E4183" t="str">
            <v>BEAUTY NGIDI</v>
          </cell>
          <cell r="F4183" t="str">
            <v>D (MD)</v>
          </cell>
          <cell r="G4183">
            <v>355728</v>
          </cell>
          <cell r="H4183" t="str">
            <v>Mayday</v>
          </cell>
          <cell r="I4183">
            <v>0.83333333333333337</v>
          </cell>
          <cell r="J4183">
            <v>0.33333333333333331</v>
          </cell>
          <cell r="K4183">
            <v>11.33333333</v>
          </cell>
          <cell r="L4183">
            <v>475.74</v>
          </cell>
          <cell r="O4183" t="str">
            <v>Y</v>
          </cell>
          <cell r="P4183" t="str">
            <v>N</v>
          </cell>
          <cell r="Q4183" t="str">
            <v>Extra Capacity</v>
          </cell>
          <cell r="S4183">
            <v>0.3</v>
          </cell>
        </row>
        <row r="4184">
          <cell r="D4184">
            <v>1208002497</v>
          </cell>
          <cell r="E4184" t="str">
            <v>BERNADETTE SHINYA-NDUNUWANI</v>
          </cell>
          <cell r="F4184" t="str">
            <v>D (MD)</v>
          </cell>
          <cell r="G4184">
            <v>356643</v>
          </cell>
          <cell r="H4184" t="str">
            <v>Mayday</v>
          </cell>
          <cell r="I4184">
            <v>0.3125</v>
          </cell>
          <cell r="J4184">
            <v>0.85416666666666663</v>
          </cell>
          <cell r="K4184">
            <v>12.33333333</v>
          </cell>
          <cell r="L4184">
            <v>398.24</v>
          </cell>
          <cell r="O4184" t="str">
            <v>Y</v>
          </cell>
          <cell r="P4184" t="str">
            <v>N</v>
          </cell>
          <cell r="Q4184" t="str">
            <v>Extra Capacity</v>
          </cell>
          <cell r="S4184">
            <v>0.33</v>
          </cell>
        </row>
        <row r="4185">
          <cell r="D4185">
            <v>1208003857</v>
          </cell>
          <cell r="E4185" t="str">
            <v>BONITA BUTLER</v>
          </cell>
          <cell r="F4185" t="str">
            <v>D (MD)</v>
          </cell>
          <cell r="G4185">
            <v>354558</v>
          </cell>
          <cell r="H4185" t="str">
            <v>Mayday</v>
          </cell>
          <cell r="I4185">
            <v>0.60416666666666663</v>
          </cell>
          <cell r="J4185">
            <v>0.85416666666666663</v>
          </cell>
          <cell r="K4185">
            <v>5.6666666670000003</v>
          </cell>
          <cell r="L4185">
            <v>182.98</v>
          </cell>
          <cell r="O4185" t="str">
            <v>Y</v>
          </cell>
          <cell r="P4185" t="str">
            <v>N</v>
          </cell>
          <cell r="Q4185" t="str">
            <v>Extra Capacity</v>
          </cell>
          <cell r="S4185">
            <v>0.15</v>
          </cell>
        </row>
        <row r="4186">
          <cell r="D4186">
            <v>1208003675</v>
          </cell>
          <cell r="E4186" t="str">
            <v>BRIGHTNESS NDEBELE</v>
          </cell>
          <cell r="F4186" t="str">
            <v>D (MD)</v>
          </cell>
          <cell r="G4186">
            <v>354827</v>
          </cell>
          <cell r="H4186" t="str">
            <v>Mayday</v>
          </cell>
          <cell r="I4186">
            <v>0.32291666666666669</v>
          </cell>
          <cell r="J4186">
            <v>0.84375</v>
          </cell>
          <cell r="K4186">
            <v>11.83333333</v>
          </cell>
          <cell r="L4186">
            <v>382.1</v>
          </cell>
          <cell r="O4186" t="str">
            <v>Y</v>
          </cell>
          <cell r="P4186" t="str">
            <v>N</v>
          </cell>
          <cell r="Q4186" t="str">
            <v>Extra Capacity</v>
          </cell>
          <cell r="S4186">
            <v>0.32</v>
          </cell>
        </row>
        <row r="4187">
          <cell r="D4187">
            <v>1108005021</v>
          </cell>
          <cell r="E4187" t="str">
            <v>CHRIS STULAR</v>
          </cell>
          <cell r="F4187" t="str">
            <v>D General (Orio</v>
          </cell>
          <cell r="G4187" t="str">
            <v>Invsd Smt checked</v>
          </cell>
          <cell r="H4187" t="str">
            <v>Orion</v>
          </cell>
          <cell r="I4187">
            <v>0.33333333333333331</v>
          </cell>
          <cell r="J4187">
            <v>0.89583333333333337</v>
          </cell>
          <cell r="K4187">
            <v>12.5</v>
          </cell>
          <cell r="L4187">
            <v>226.5</v>
          </cell>
          <cell r="O4187" t="str">
            <v>Y</v>
          </cell>
          <cell r="P4187" t="str">
            <v>N</v>
          </cell>
          <cell r="Q4187" t="str">
            <v>Backfill</v>
          </cell>
          <cell r="S4187">
            <v>0.33</v>
          </cell>
        </row>
        <row r="4188">
          <cell r="D4188">
            <v>1208005317</v>
          </cell>
          <cell r="E4188" t="str">
            <v>COLLEN SIBANDA</v>
          </cell>
          <cell r="F4188" t="str">
            <v>D (Ch)</v>
          </cell>
          <cell r="G4188">
            <v>17787</v>
          </cell>
          <cell r="H4188" t="str">
            <v>Choice</v>
          </cell>
          <cell r="I4188">
            <v>0.32291666666666669</v>
          </cell>
          <cell r="J4188">
            <v>0.84375</v>
          </cell>
          <cell r="K4188">
            <v>11.5</v>
          </cell>
          <cell r="L4188">
            <v>280.25</v>
          </cell>
          <cell r="O4188" t="str">
            <v>Y</v>
          </cell>
          <cell r="P4188" t="str">
            <v>N</v>
          </cell>
          <cell r="Q4188" t="str">
            <v>Short Term Sick</v>
          </cell>
          <cell r="S4188">
            <v>0.31</v>
          </cell>
        </row>
        <row r="4189">
          <cell r="D4189">
            <v>1208003064</v>
          </cell>
          <cell r="E4189" t="str">
            <v>CYNTHIA DELMO</v>
          </cell>
          <cell r="F4189" t="str">
            <v>D (Ch)</v>
          </cell>
          <cell r="H4189" t="str">
            <v>Choice</v>
          </cell>
          <cell r="I4189">
            <v>0.88541666666666663</v>
          </cell>
          <cell r="J4189">
            <v>0.33333333333333331</v>
          </cell>
          <cell r="K4189">
            <v>10.41666667</v>
          </cell>
          <cell r="L4189">
            <v>330.01</v>
          </cell>
          <cell r="O4189" t="str">
            <v>Y</v>
          </cell>
          <cell r="P4189" t="str">
            <v>N</v>
          </cell>
          <cell r="Q4189" t="str">
            <v>Extra Capacity</v>
          </cell>
          <cell r="S4189">
            <v>0.28000000000000003</v>
          </cell>
        </row>
        <row r="4190">
          <cell r="D4190">
            <v>1208004584</v>
          </cell>
          <cell r="E4190" t="str">
            <v>DAMILOLA AIKI</v>
          </cell>
          <cell r="F4190" t="str">
            <v>A (Ch)</v>
          </cell>
          <cell r="G4190">
            <v>17768</v>
          </cell>
          <cell r="H4190" t="str">
            <v>Choice</v>
          </cell>
          <cell r="I4190">
            <v>0.5625</v>
          </cell>
          <cell r="J4190">
            <v>0.85416666666666663</v>
          </cell>
          <cell r="K4190">
            <v>6.6666666670000003</v>
          </cell>
          <cell r="L4190">
            <v>73.930000000000007</v>
          </cell>
          <cell r="O4190" t="str">
            <v>Y</v>
          </cell>
          <cell r="P4190" t="str">
            <v>N</v>
          </cell>
          <cell r="Q4190" t="str">
            <v>Under Established</v>
          </cell>
          <cell r="S4190">
            <v>0.18</v>
          </cell>
        </row>
        <row r="4191">
          <cell r="D4191">
            <v>1208005005</v>
          </cell>
          <cell r="E4191" t="str">
            <v>DAMILOLA AIKI</v>
          </cell>
          <cell r="F4191" t="str">
            <v>A (Ch)</v>
          </cell>
          <cell r="G4191">
            <v>17768</v>
          </cell>
          <cell r="H4191" t="str">
            <v>Choice</v>
          </cell>
          <cell r="I4191">
            <v>0.29166666666666669</v>
          </cell>
          <cell r="J4191">
            <v>0.54166666666666663</v>
          </cell>
          <cell r="K4191">
            <v>5.75</v>
          </cell>
          <cell r="L4191">
            <v>63.77</v>
          </cell>
          <cell r="O4191" t="str">
            <v>Y</v>
          </cell>
          <cell r="P4191" t="str">
            <v>N</v>
          </cell>
          <cell r="Q4191" t="str">
            <v>Short Term Sick</v>
          </cell>
          <cell r="S4191">
            <v>0.15</v>
          </cell>
        </row>
        <row r="4192">
          <cell r="D4192">
            <v>1208006798</v>
          </cell>
          <cell r="E4192" t="str">
            <v>DEBBIE HARRIS</v>
          </cell>
          <cell r="F4192" t="str">
            <v>5 Gen (All)</v>
          </cell>
          <cell r="G4192">
            <v>355193</v>
          </cell>
          <cell r="H4192" t="str">
            <v xml:space="preserve">Allied </v>
          </cell>
          <cell r="I4192">
            <v>0.83333333333333337</v>
          </cell>
          <cell r="J4192">
            <v>0.33333333333333331</v>
          </cell>
          <cell r="K4192">
            <v>11</v>
          </cell>
          <cell r="L4192">
            <v>257.11</v>
          </cell>
          <cell r="O4192" t="str">
            <v>Y</v>
          </cell>
          <cell r="P4192" t="str">
            <v>N</v>
          </cell>
          <cell r="Q4192" t="str">
            <v>Extra Capacity</v>
          </cell>
          <cell r="S4192">
            <v>0.28999999999999998</v>
          </cell>
        </row>
        <row r="4193">
          <cell r="D4193">
            <v>1208003867</v>
          </cell>
          <cell r="E4193" t="str">
            <v>DENNIS DZVENGWE</v>
          </cell>
          <cell r="F4193" t="str">
            <v>D (Ch)</v>
          </cell>
          <cell r="G4193">
            <v>17792</v>
          </cell>
          <cell r="H4193" t="str">
            <v>Choice</v>
          </cell>
          <cell r="I4193">
            <v>0.88541666666666663</v>
          </cell>
          <cell r="J4193">
            <v>0.3125</v>
          </cell>
          <cell r="K4193">
            <v>9.25</v>
          </cell>
          <cell r="L4193">
            <v>293.05</v>
          </cell>
          <cell r="M4193">
            <v>300.74</v>
          </cell>
          <cell r="O4193" t="str">
            <v>Y</v>
          </cell>
          <cell r="P4193" t="str">
            <v>N</v>
          </cell>
          <cell r="Q4193" t="str">
            <v>Specials</v>
          </cell>
          <cell r="S4193">
            <v>0.25</v>
          </cell>
        </row>
        <row r="4194">
          <cell r="D4194">
            <v>1208005328</v>
          </cell>
          <cell r="E4194" t="str">
            <v>DONALD YANZA</v>
          </cell>
          <cell r="F4194" t="str">
            <v>D (Ch)</v>
          </cell>
          <cell r="G4194">
            <v>17791</v>
          </cell>
          <cell r="H4194" t="str">
            <v>Choice</v>
          </cell>
          <cell r="I4194">
            <v>0.83333333333333337</v>
          </cell>
          <cell r="J4194">
            <v>0.33333333333333331</v>
          </cell>
          <cell r="K4194">
            <v>11.33333333</v>
          </cell>
          <cell r="L4194">
            <v>359.05</v>
          </cell>
          <cell r="M4194">
            <v>297.88</v>
          </cell>
          <cell r="O4194" t="str">
            <v>Y</v>
          </cell>
          <cell r="P4194" t="str">
            <v>N</v>
          </cell>
          <cell r="Q4194" t="str">
            <v>Specials</v>
          </cell>
          <cell r="S4194">
            <v>0.3</v>
          </cell>
        </row>
        <row r="4195">
          <cell r="D4195">
            <v>1208005160</v>
          </cell>
          <cell r="E4195" t="str">
            <v>DOROTHY MUTEMWA</v>
          </cell>
          <cell r="F4195" t="str">
            <v>A (Ch)</v>
          </cell>
          <cell r="G4195">
            <v>17800</v>
          </cell>
          <cell r="H4195" t="str">
            <v>Choice</v>
          </cell>
          <cell r="I4195">
            <v>0.3125</v>
          </cell>
          <cell r="J4195">
            <v>0.54166666666666663</v>
          </cell>
          <cell r="K4195">
            <v>5.5</v>
          </cell>
          <cell r="L4195">
            <v>60.99</v>
          </cell>
          <cell r="O4195" t="str">
            <v>Y</v>
          </cell>
          <cell r="P4195" t="str">
            <v>N</v>
          </cell>
          <cell r="Q4195" t="str">
            <v>Short Term Sick</v>
          </cell>
          <cell r="S4195">
            <v>0.15</v>
          </cell>
        </row>
        <row r="4196">
          <cell r="D4196">
            <v>1108005657</v>
          </cell>
          <cell r="E4196" t="str">
            <v>FIONA DURKIN-GREER</v>
          </cell>
          <cell r="F4196" t="str">
            <v>D (MD)</v>
          </cell>
          <cell r="G4196">
            <v>356848</v>
          </cell>
          <cell r="H4196" t="str">
            <v>Mayday</v>
          </cell>
          <cell r="I4196">
            <v>0.5625</v>
          </cell>
          <cell r="J4196">
            <v>0.85416666666666663</v>
          </cell>
          <cell r="K4196">
            <v>6.6666666670000003</v>
          </cell>
          <cell r="L4196">
            <v>215.27</v>
          </cell>
          <cell r="O4196" t="str">
            <v>Y</v>
          </cell>
          <cell r="P4196" t="str">
            <v>N</v>
          </cell>
          <cell r="Q4196" t="str">
            <v>Vacancy</v>
          </cell>
          <cell r="S4196">
            <v>0.18</v>
          </cell>
        </row>
        <row r="4197">
          <cell r="D4197">
            <v>1208003195</v>
          </cell>
          <cell r="E4197" t="str">
            <v>GLENDA RONA</v>
          </cell>
          <cell r="F4197" t="str">
            <v>D (Ch)</v>
          </cell>
          <cell r="G4197">
            <v>17788</v>
          </cell>
          <cell r="H4197" t="str">
            <v>Choice</v>
          </cell>
          <cell r="I4197">
            <v>0.82291666666666663</v>
          </cell>
          <cell r="J4197">
            <v>0.34375</v>
          </cell>
          <cell r="K4197">
            <v>11.5</v>
          </cell>
          <cell r="L4197">
            <v>364.33</v>
          </cell>
          <cell r="O4197" t="str">
            <v>Y</v>
          </cell>
          <cell r="P4197" t="str">
            <v>N</v>
          </cell>
          <cell r="Q4197" t="str">
            <v>Extra Capacity</v>
          </cell>
          <cell r="S4197">
            <v>0.31</v>
          </cell>
        </row>
        <row r="4198">
          <cell r="D4198">
            <v>1108006636</v>
          </cell>
          <cell r="E4198" t="str">
            <v>JAKE BROOKES</v>
          </cell>
          <cell r="F4198" t="str">
            <v>D General (Orio</v>
          </cell>
          <cell r="G4198" t="str">
            <v>Invsd Smt checked</v>
          </cell>
          <cell r="H4198" t="str">
            <v>Orion</v>
          </cell>
          <cell r="I4198">
            <v>0.33333333333333331</v>
          </cell>
          <cell r="J4198">
            <v>0.75</v>
          </cell>
          <cell r="K4198">
            <v>9.6666666669999994</v>
          </cell>
          <cell r="L4198">
            <v>175.16</v>
          </cell>
          <cell r="O4198" t="str">
            <v>Y</v>
          </cell>
          <cell r="P4198" t="str">
            <v>N</v>
          </cell>
          <cell r="Q4198" t="str">
            <v>Long Term Sick</v>
          </cell>
          <cell r="S4198">
            <v>0.26</v>
          </cell>
        </row>
        <row r="4199">
          <cell r="D4199">
            <v>1208002939</v>
          </cell>
          <cell r="E4199" t="str">
            <v>JAMES MCCLEMENTS</v>
          </cell>
          <cell r="F4199" t="str">
            <v>D (MD)</v>
          </cell>
          <cell r="G4199">
            <v>356856</v>
          </cell>
          <cell r="H4199" t="str">
            <v>Mayday</v>
          </cell>
          <cell r="I4199">
            <v>0.3125</v>
          </cell>
          <cell r="J4199">
            <v>0.60416666666666663</v>
          </cell>
          <cell r="K4199">
            <v>6.6666666670000003</v>
          </cell>
          <cell r="L4199">
            <v>215.27</v>
          </cell>
          <cell r="O4199" t="str">
            <v>Y</v>
          </cell>
          <cell r="P4199" t="str">
            <v>N</v>
          </cell>
          <cell r="Q4199" t="str">
            <v>Extra Capacity</v>
          </cell>
          <cell r="S4199">
            <v>0.18</v>
          </cell>
        </row>
        <row r="4200">
          <cell r="D4200">
            <v>1208002941</v>
          </cell>
          <cell r="E4200" t="str">
            <v>JAMES MCCLEMENTS</v>
          </cell>
          <cell r="F4200" t="str">
            <v>D (MD)</v>
          </cell>
          <cell r="G4200">
            <v>356856</v>
          </cell>
          <cell r="H4200" t="str">
            <v>Mayday</v>
          </cell>
          <cell r="I4200">
            <v>0.60416666666666663</v>
          </cell>
          <cell r="J4200">
            <v>0.85416666666666663</v>
          </cell>
          <cell r="K4200">
            <v>5.6666666670000003</v>
          </cell>
          <cell r="L4200">
            <v>182.98</v>
          </cell>
          <cell r="O4200" t="str">
            <v>Y</v>
          </cell>
          <cell r="P4200" t="str">
            <v>N</v>
          </cell>
          <cell r="Q4200" t="str">
            <v>Extra Capacity</v>
          </cell>
          <cell r="S4200">
            <v>0.15</v>
          </cell>
        </row>
        <row r="4201">
          <cell r="D4201">
            <v>1208002814</v>
          </cell>
          <cell r="E4201" t="str">
            <v>JOHANA VELASCO</v>
          </cell>
          <cell r="F4201" t="str">
            <v>D (Ch)</v>
          </cell>
          <cell r="G4201">
            <v>17791</v>
          </cell>
          <cell r="H4201" t="str">
            <v>Choice</v>
          </cell>
          <cell r="I4201">
            <v>0.83333333333333337</v>
          </cell>
          <cell r="J4201">
            <v>0.33333333333333331</v>
          </cell>
          <cell r="K4201">
            <v>11.33333333</v>
          </cell>
          <cell r="L4201">
            <v>359.05</v>
          </cell>
          <cell r="M4201">
            <v>297.88</v>
          </cell>
          <cell r="O4201" t="str">
            <v>Y</v>
          </cell>
          <cell r="P4201" t="str">
            <v>N</v>
          </cell>
          <cell r="Q4201" t="str">
            <v>Vacancy</v>
          </cell>
          <cell r="S4201">
            <v>0.3</v>
          </cell>
        </row>
        <row r="4202">
          <cell r="D4202">
            <v>1208005133</v>
          </cell>
          <cell r="E4202" t="str">
            <v>KEN GOORDIN</v>
          </cell>
          <cell r="F4202" t="str">
            <v>D (Ch)</v>
          </cell>
          <cell r="G4202">
            <v>17769</v>
          </cell>
          <cell r="H4202" t="str">
            <v>Choice</v>
          </cell>
          <cell r="I4202">
            <v>0.83333333333333337</v>
          </cell>
          <cell r="J4202">
            <v>0.33333333333333331</v>
          </cell>
          <cell r="K4202">
            <v>11.33333333</v>
          </cell>
          <cell r="L4202">
            <v>359.05</v>
          </cell>
          <cell r="O4202" t="str">
            <v>Y</v>
          </cell>
          <cell r="P4202" t="str">
            <v>N</v>
          </cell>
          <cell r="Q4202" t="str">
            <v>Acuity</v>
          </cell>
          <cell r="S4202">
            <v>0.3</v>
          </cell>
        </row>
        <row r="4203">
          <cell r="D4203">
            <v>1208003862</v>
          </cell>
          <cell r="E4203" t="str">
            <v>LETECIA MENIANO</v>
          </cell>
          <cell r="F4203" t="str">
            <v>D (MD)</v>
          </cell>
          <cell r="G4203">
            <v>354552</v>
          </cell>
          <cell r="H4203" t="str">
            <v>Mayday</v>
          </cell>
          <cell r="I4203">
            <v>0.83333333333333337</v>
          </cell>
          <cell r="J4203">
            <v>0.33333333333333331</v>
          </cell>
          <cell r="K4203">
            <v>11.33333333</v>
          </cell>
          <cell r="L4203">
            <v>475.74</v>
          </cell>
          <cell r="O4203" t="str">
            <v>Y</v>
          </cell>
          <cell r="P4203" t="str">
            <v>N</v>
          </cell>
          <cell r="Q4203" t="str">
            <v>Extra Capacity</v>
          </cell>
          <cell r="S4203">
            <v>0.3</v>
          </cell>
        </row>
        <row r="4204">
          <cell r="D4204">
            <v>1208003860</v>
          </cell>
          <cell r="E4204" t="str">
            <v>MERCY AFELE</v>
          </cell>
          <cell r="F4204" t="str">
            <v>D (MD)</v>
          </cell>
          <cell r="G4204">
            <v>354481</v>
          </cell>
          <cell r="H4204" t="str">
            <v>Mayday</v>
          </cell>
          <cell r="I4204">
            <v>0.83333333333333337</v>
          </cell>
          <cell r="J4204">
            <v>0.33333333333333331</v>
          </cell>
          <cell r="K4204">
            <v>11.33333333</v>
          </cell>
          <cell r="L4204">
            <v>475.74</v>
          </cell>
          <cell r="O4204" t="str">
            <v>Y</v>
          </cell>
          <cell r="P4204" t="str">
            <v>N</v>
          </cell>
          <cell r="Q4204" t="str">
            <v>Extra Capacity</v>
          </cell>
          <cell r="S4204">
            <v>0.3</v>
          </cell>
        </row>
        <row r="4205">
          <cell r="D4205">
            <v>1208003865</v>
          </cell>
          <cell r="E4205" t="str">
            <v>MIRIAM MAGWETTE</v>
          </cell>
          <cell r="F4205" t="str">
            <v>D (Ch)</v>
          </cell>
          <cell r="H4205" t="str">
            <v>Choice</v>
          </cell>
          <cell r="I4205">
            <v>0.29166666666666669</v>
          </cell>
          <cell r="J4205">
            <v>0.625</v>
          </cell>
          <cell r="K4205">
            <v>7.6666666670000003</v>
          </cell>
          <cell r="L4205">
            <v>186.84</v>
          </cell>
          <cell r="O4205" t="str">
            <v>Y</v>
          </cell>
          <cell r="P4205" t="str">
            <v>N</v>
          </cell>
          <cell r="Q4205" t="str">
            <v>Specials</v>
          </cell>
          <cell r="S4205">
            <v>0.2</v>
          </cell>
        </row>
        <row r="4206">
          <cell r="D4206">
            <v>1208003866</v>
          </cell>
          <cell r="E4206" t="str">
            <v>MIRIAM MAGWETTE</v>
          </cell>
          <cell r="F4206" t="str">
            <v>D (Ch)</v>
          </cell>
          <cell r="H4206" t="str">
            <v>Choice</v>
          </cell>
          <cell r="I4206">
            <v>0.625</v>
          </cell>
          <cell r="J4206">
            <v>0.88541666666666663</v>
          </cell>
          <cell r="K4206">
            <v>5.9166666670000003</v>
          </cell>
          <cell r="L4206">
            <v>144.19</v>
          </cell>
          <cell r="O4206" t="str">
            <v>Y</v>
          </cell>
          <cell r="P4206" t="str">
            <v>N</v>
          </cell>
          <cell r="Q4206" t="str">
            <v>Specials</v>
          </cell>
          <cell r="S4206">
            <v>0.16</v>
          </cell>
        </row>
        <row r="4207">
          <cell r="D4207">
            <v>1208000376</v>
          </cell>
          <cell r="E4207" t="str">
            <v>MZUKISI SPEELMAN</v>
          </cell>
          <cell r="F4207" t="str">
            <v>A (Ch)</v>
          </cell>
          <cell r="G4207">
            <v>17768</v>
          </cell>
          <cell r="H4207" t="str">
            <v>Choice</v>
          </cell>
          <cell r="I4207">
            <v>0.3125</v>
          </cell>
          <cell r="J4207">
            <v>0.5625</v>
          </cell>
          <cell r="K4207">
            <v>5.6666666670000003</v>
          </cell>
          <cell r="L4207">
            <v>62.84</v>
          </cell>
          <cell r="O4207" t="str">
            <v>Y</v>
          </cell>
          <cell r="P4207" t="str">
            <v>N</v>
          </cell>
          <cell r="Q4207" t="str">
            <v>Under Established</v>
          </cell>
          <cell r="S4207">
            <v>0.15</v>
          </cell>
        </row>
        <row r="4208">
          <cell r="D4208">
            <v>1208000377</v>
          </cell>
          <cell r="E4208" t="str">
            <v>MZUKISI SPEELMAN</v>
          </cell>
          <cell r="F4208" t="str">
            <v>A (Ch)</v>
          </cell>
          <cell r="G4208">
            <v>17768</v>
          </cell>
          <cell r="H4208" t="str">
            <v>Choice</v>
          </cell>
          <cell r="I4208">
            <v>0.5625</v>
          </cell>
          <cell r="J4208">
            <v>0.85416666666666663</v>
          </cell>
          <cell r="K4208">
            <v>6.6666666670000003</v>
          </cell>
          <cell r="L4208">
            <v>73.930000000000007</v>
          </cell>
          <cell r="O4208" t="str">
            <v>Y</v>
          </cell>
          <cell r="P4208" t="str">
            <v>N</v>
          </cell>
          <cell r="Q4208" t="str">
            <v>Under Established</v>
          </cell>
          <cell r="S4208">
            <v>0.18</v>
          </cell>
        </row>
        <row r="4209">
          <cell r="D4209">
            <v>1208004019</v>
          </cell>
          <cell r="E4209" t="str">
            <v>NILO DANUGO</v>
          </cell>
          <cell r="F4209" t="str">
            <v>D (Ch)</v>
          </cell>
          <cell r="G4209">
            <v>17766</v>
          </cell>
          <cell r="H4209" t="str">
            <v>Choice</v>
          </cell>
          <cell r="I4209">
            <v>0.84375</v>
          </cell>
          <cell r="J4209">
            <v>0.3125</v>
          </cell>
          <cell r="K4209">
            <v>10.25</v>
          </cell>
          <cell r="L4209">
            <v>324.73</v>
          </cell>
          <cell r="O4209" t="str">
            <v>Y</v>
          </cell>
          <cell r="P4209" t="str">
            <v>N</v>
          </cell>
          <cell r="Q4209" t="str">
            <v>Extra Capacity</v>
          </cell>
          <cell r="S4209">
            <v>0.27</v>
          </cell>
        </row>
        <row r="4210">
          <cell r="D4210">
            <v>1208004364</v>
          </cell>
          <cell r="E4210" t="str">
            <v>SAM KELEM</v>
          </cell>
          <cell r="F4210" t="str">
            <v>D (Ch)</v>
          </cell>
          <cell r="G4210">
            <v>17796</v>
          </cell>
          <cell r="H4210" t="str">
            <v>Choice</v>
          </cell>
          <cell r="I4210">
            <v>0.875</v>
          </cell>
          <cell r="J4210">
            <v>0.32291666666666669</v>
          </cell>
          <cell r="K4210">
            <v>10</v>
          </cell>
          <cell r="L4210">
            <v>316.81</v>
          </cell>
          <cell r="O4210" t="str">
            <v>Y</v>
          </cell>
          <cell r="P4210" t="str">
            <v>N</v>
          </cell>
          <cell r="Q4210" t="str">
            <v>Specials</v>
          </cell>
          <cell r="S4210">
            <v>0.27</v>
          </cell>
        </row>
        <row r="4211">
          <cell r="D4211">
            <v>1208002614</v>
          </cell>
          <cell r="E4211" t="str">
            <v>SEREELETSO MAITIYO</v>
          </cell>
          <cell r="F4211" t="str">
            <v>D (Ch)</v>
          </cell>
          <cell r="G4211">
            <v>17790</v>
          </cell>
          <cell r="H4211" t="str">
            <v>Choice</v>
          </cell>
          <cell r="I4211">
            <v>0.625</v>
          </cell>
          <cell r="J4211">
            <v>0.875</v>
          </cell>
          <cell r="K4211">
            <v>5.75</v>
          </cell>
          <cell r="L4211">
            <v>140.13</v>
          </cell>
          <cell r="O4211" t="str">
            <v>Y</v>
          </cell>
          <cell r="P4211" t="str">
            <v>N</v>
          </cell>
          <cell r="Q4211" t="str">
            <v>Long Term Sick</v>
          </cell>
          <cell r="S4211">
            <v>0.15</v>
          </cell>
        </row>
        <row r="4212">
          <cell r="D4212">
            <v>1108005933</v>
          </cell>
          <cell r="E4212" t="str">
            <v>SIBONGILE DOKOTERA</v>
          </cell>
          <cell r="F4212" t="str">
            <v>D (MD)</v>
          </cell>
          <cell r="H4212" t="str">
            <v>Mayday</v>
          </cell>
          <cell r="I4212">
            <v>0.3125</v>
          </cell>
          <cell r="J4212">
            <v>0.5625</v>
          </cell>
          <cell r="K4212">
            <v>5.6666666670000003</v>
          </cell>
          <cell r="L4212">
            <v>182.98</v>
          </cell>
          <cell r="O4212" t="str">
            <v>Y</v>
          </cell>
          <cell r="P4212" t="str">
            <v>N</v>
          </cell>
          <cell r="Q4212" t="str">
            <v>Under Established</v>
          </cell>
          <cell r="S4212">
            <v>0.15</v>
          </cell>
        </row>
        <row r="4213">
          <cell r="D4213">
            <v>1108005935</v>
          </cell>
          <cell r="E4213" t="str">
            <v>SIBONGILE DOKOTERA</v>
          </cell>
          <cell r="F4213" t="str">
            <v>D (MD)</v>
          </cell>
          <cell r="H4213" t="str">
            <v>Mayday</v>
          </cell>
          <cell r="I4213">
            <v>0.5625</v>
          </cell>
          <cell r="J4213">
            <v>0.85416666666666663</v>
          </cell>
          <cell r="K4213">
            <v>6.6666666670000003</v>
          </cell>
          <cell r="L4213">
            <v>215.27</v>
          </cell>
          <cell r="O4213" t="str">
            <v>Y</v>
          </cell>
          <cell r="P4213" t="str">
            <v>N</v>
          </cell>
          <cell r="Q4213" t="str">
            <v>Under Established</v>
          </cell>
          <cell r="S4213">
            <v>0.18</v>
          </cell>
        </row>
        <row r="4214">
          <cell r="D4214">
            <v>1208006279</v>
          </cell>
          <cell r="E4214" t="str">
            <v>VICTORIA VALETE</v>
          </cell>
          <cell r="F4214" t="str">
            <v>D (MD)</v>
          </cell>
          <cell r="G4214">
            <v>356487</v>
          </cell>
          <cell r="H4214" t="str">
            <v>Mayday</v>
          </cell>
          <cell r="I4214">
            <v>0.83333333333333337</v>
          </cell>
          <cell r="J4214">
            <v>0.33333333333333331</v>
          </cell>
          <cell r="K4214">
            <v>11</v>
          </cell>
          <cell r="L4214">
            <v>461.75</v>
          </cell>
          <cell r="O4214" t="str">
            <v>Y</v>
          </cell>
          <cell r="P4214" t="str">
            <v>N</v>
          </cell>
          <cell r="Q4214" t="str">
            <v>Short Term Sick</v>
          </cell>
          <cell r="S4214">
            <v>0.28999999999999998</v>
          </cell>
        </row>
        <row r="4215">
          <cell r="D4215">
            <v>1208003868</v>
          </cell>
          <cell r="E4215" t="str">
            <v>ALLI SUBRAMANIAM</v>
          </cell>
          <cell r="F4215" t="str">
            <v>D (MD)</v>
          </cell>
          <cell r="G4215">
            <v>355404</v>
          </cell>
          <cell r="H4215" t="str">
            <v>Mayday</v>
          </cell>
          <cell r="I4215">
            <v>0.3125</v>
          </cell>
          <cell r="J4215">
            <v>0.625</v>
          </cell>
          <cell r="K4215">
            <v>7.1666666670000003</v>
          </cell>
          <cell r="L4215">
            <v>231.41</v>
          </cell>
          <cell r="O4215" t="str">
            <v>Y</v>
          </cell>
          <cell r="P4215" t="str">
            <v>N</v>
          </cell>
          <cell r="Q4215" t="str">
            <v>Extra Capacity</v>
          </cell>
          <cell r="S4215">
            <v>0.19</v>
          </cell>
        </row>
        <row r="4216">
          <cell r="D4216">
            <v>1208003874</v>
          </cell>
          <cell r="E4216" t="str">
            <v>ALLI SUBRAMANIAM</v>
          </cell>
          <cell r="F4216" t="str">
            <v>D (MD)</v>
          </cell>
          <cell r="G4216">
            <v>355404</v>
          </cell>
          <cell r="H4216" t="str">
            <v>Mayday</v>
          </cell>
          <cell r="I4216">
            <v>0.625</v>
          </cell>
          <cell r="J4216">
            <v>0.85416666666666663</v>
          </cell>
          <cell r="K4216">
            <v>5.5</v>
          </cell>
          <cell r="L4216">
            <v>177.59</v>
          </cell>
          <cell r="O4216" t="str">
            <v>Y</v>
          </cell>
          <cell r="P4216" t="str">
            <v>N</v>
          </cell>
          <cell r="Q4216" t="str">
            <v>Extra Capacity</v>
          </cell>
          <cell r="S4216">
            <v>0.15</v>
          </cell>
        </row>
        <row r="4217">
          <cell r="D4217">
            <v>1208004223</v>
          </cell>
          <cell r="E4217" t="str">
            <v>ATINUKE OKE-OLATUNDE</v>
          </cell>
          <cell r="F4217" t="str">
            <v>D (MD)</v>
          </cell>
          <cell r="G4217">
            <v>358230</v>
          </cell>
          <cell r="H4217" t="str">
            <v>Mayday</v>
          </cell>
          <cell r="I4217">
            <v>0.84375</v>
          </cell>
          <cell r="J4217">
            <v>0.3125</v>
          </cell>
          <cell r="K4217">
            <v>10.25</v>
          </cell>
          <cell r="L4217">
            <v>430.26</v>
          </cell>
          <cell r="O4217" t="str">
            <v>Y</v>
          </cell>
          <cell r="P4217" t="str">
            <v>N</v>
          </cell>
          <cell r="Q4217" t="str">
            <v>Under Established</v>
          </cell>
          <cell r="S4217">
            <v>0.27</v>
          </cell>
        </row>
        <row r="4218">
          <cell r="D4218">
            <v>1208003881</v>
          </cell>
          <cell r="E4218" t="str">
            <v>BEAUTY NGIDI</v>
          </cell>
          <cell r="F4218" t="str">
            <v>D (MD)</v>
          </cell>
          <cell r="G4218">
            <v>355727</v>
          </cell>
          <cell r="H4218" t="str">
            <v>Mayday</v>
          </cell>
          <cell r="I4218">
            <v>0.83333333333333337</v>
          </cell>
          <cell r="J4218">
            <v>0.33333333333333331</v>
          </cell>
          <cell r="K4218">
            <v>11.33333333</v>
          </cell>
          <cell r="L4218">
            <v>475.74</v>
          </cell>
          <cell r="O4218" t="str">
            <v>Y</v>
          </cell>
          <cell r="P4218" t="str">
            <v>N</v>
          </cell>
          <cell r="Q4218" t="str">
            <v>Extra Capacity</v>
          </cell>
          <cell r="S4218">
            <v>0.3</v>
          </cell>
        </row>
        <row r="4219">
          <cell r="D4219">
            <v>1208002498</v>
          </cell>
          <cell r="E4219" t="str">
            <v>BERNADETTE SHINYA-NDUNUWANI</v>
          </cell>
          <cell r="F4219" t="str">
            <v>D (MD)</v>
          </cell>
          <cell r="G4219">
            <v>356646</v>
          </cell>
          <cell r="H4219" t="str">
            <v>Mayday</v>
          </cell>
          <cell r="I4219">
            <v>0.3125</v>
          </cell>
          <cell r="J4219">
            <v>0.64583333333333337</v>
          </cell>
          <cell r="K4219">
            <v>7.6666666670000003</v>
          </cell>
          <cell r="L4219">
            <v>247.56</v>
          </cell>
          <cell r="O4219" t="str">
            <v>Y</v>
          </cell>
          <cell r="P4219" t="str">
            <v>N</v>
          </cell>
          <cell r="Q4219" t="str">
            <v>Extra Capacity</v>
          </cell>
          <cell r="S4219">
            <v>0.2</v>
          </cell>
        </row>
        <row r="4220">
          <cell r="D4220">
            <v>1208003882</v>
          </cell>
          <cell r="E4220" t="str">
            <v>BONITA BUTLER</v>
          </cell>
          <cell r="F4220" t="str">
            <v>D (MD)</v>
          </cell>
          <cell r="G4220">
            <v>354554</v>
          </cell>
          <cell r="H4220" t="str">
            <v>Mayday</v>
          </cell>
          <cell r="I4220">
            <v>0.83333333333333337</v>
          </cell>
          <cell r="J4220">
            <v>0.33333333333333331</v>
          </cell>
          <cell r="K4220">
            <v>11.33333333</v>
          </cell>
          <cell r="L4220">
            <v>475.74</v>
          </cell>
          <cell r="O4220" t="str">
            <v>Y</v>
          </cell>
          <cell r="P4220" t="str">
            <v>N</v>
          </cell>
          <cell r="Q4220" t="str">
            <v>Extra Capacity</v>
          </cell>
          <cell r="S4220">
            <v>0.3</v>
          </cell>
        </row>
        <row r="4221">
          <cell r="D4221">
            <v>1208003676</v>
          </cell>
          <cell r="E4221" t="str">
            <v>BRIGHTNESS NDEBELE</v>
          </cell>
          <cell r="F4221" t="str">
            <v>D (MD)</v>
          </cell>
          <cell r="G4221">
            <v>354827</v>
          </cell>
          <cell r="H4221" t="str">
            <v>Mayday</v>
          </cell>
          <cell r="I4221">
            <v>0.32291666666666669</v>
          </cell>
          <cell r="J4221">
            <v>0.84375</v>
          </cell>
          <cell r="K4221">
            <v>11.83333333</v>
          </cell>
          <cell r="L4221">
            <v>382.1</v>
          </cell>
          <cell r="O4221" t="str">
            <v>Y</v>
          </cell>
          <cell r="P4221" t="str">
            <v>N</v>
          </cell>
          <cell r="Q4221" t="str">
            <v>Extra Capacity</v>
          </cell>
          <cell r="S4221">
            <v>0.32</v>
          </cell>
        </row>
        <row r="4222">
          <cell r="D4222">
            <v>1208005669</v>
          </cell>
          <cell r="E4222" t="str">
            <v>CHARLES MARARIRAKWENDA</v>
          </cell>
          <cell r="F4222" t="str">
            <v>A (Ch)</v>
          </cell>
          <cell r="G4222">
            <v>17780</v>
          </cell>
          <cell r="H4222" t="str">
            <v>Choice</v>
          </cell>
          <cell r="I4222">
            <v>0.3125</v>
          </cell>
          <cell r="J4222">
            <v>0.64583333333333337</v>
          </cell>
          <cell r="K4222">
            <v>7.6666666670000003</v>
          </cell>
          <cell r="L4222">
            <v>85.02</v>
          </cell>
          <cell r="O4222" t="str">
            <v>Y</v>
          </cell>
          <cell r="P4222" t="str">
            <v>N</v>
          </cell>
          <cell r="Q4222" t="str">
            <v>Short Term Sick</v>
          </cell>
          <cell r="S4222">
            <v>0.2</v>
          </cell>
        </row>
        <row r="4223">
          <cell r="D4223">
            <v>1208006210</v>
          </cell>
          <cell r="E4223" t="str">
            <v>CHARLES MARARIRAKWENDA</v>
          </cell>
          <cell r="F4223" t="str">
            <v>A (Ch)</v>
          </cell>
          <cell r="H4223" t="str">
            <v>Choice</v>
          </cell>
          <cell r="I4223">
            <v>0.64583333333333337</v>
          </cell>
          <cell r="J4223">
            <v>0.85416666666666663</v>
          </cell>
          <cell r="K4223">
            <v>5</v>
          </cell>
          <cell r="L4223">
            <v>55.45</v>
          </cell>
          <cell r="O4223" t="str">
            <v>Y</v>
          </cell>
          <cell r="P4223" t="str">
            <v>N</v>
          </cell>
          <cell r="Q4223" t="str">
            <v>Short Term Sick</v>
          </cell>
          <cell r="S4223">
            <v>0.13</v>
          </cell>
        </row>
        <row r="4224">
          <cell r="D4224">
            <v>1208000054</v>
          </cell>
          <cell r="E4224" t="str">
            <v>COLLEN SIBANDA</v>
          </cell>
          <cell r="F4224" t="str">
            <v>D (Ch)</v>
          </cell>
          <cell r="G4224">
            <v>17800</v>
          </cell>
          <cell r="H4224" t="str">
            <v>Choice</v>
          </cell>
          <cell r="I4224">
            <v>0.3125</v>
          </cell>
          <cell r="J4224">
            <v>0.54166666666666663</v>
          </cell>
          <cell r="K4224">
            <v>5.5</v>
          </cell>
          <cell r="L4224">
            <v>134.03</v>
          </cell>
          <cell r="O4224" t="str">
            <v>Y</v>
          </cell>
          <cell r="P4224" t="str">
            <v>N</v>
          </cell>
          <cell r="Q4224" t="str">
            <v>Vacancy</v>
          </cell>
          <cell r="S4224">
            <v>0.15</v>
          </cell>
        </row>
        <row r="4225">
          <cell r="D4225">
            <v>1208003067</v>
          </cell>
          <cell r="E4225" t="str">
            <v>DAMILOLA AIKI</v>
          </cell>
          <cell r="F4225" t="str">
            <v>A (Ch)</v>
          </cell>
          <cell r="G4225">
            <v>17780</v>
          </cell>
          <cell r="H4225" t="str">
            <v>Choice</v>
          </cell>
          <cell r="I4225">
            <v>0.3125</v>
          </cell>
          <cell r="J4225">
            <v>0.64583333333333337</v>
          </cell>
          <cell r="K4225">
            <v>7.6666666670000003</v>
          </cell>
          <cell r="L4225">
            <v>85.02</v>
          </cell>
          <cell r="O4225" t="str">
            <v>Y</v>
          </cell>
          <cell r="P4225" t="str">
            <v>N</v>
          </cell>
          <cell r="Q4225" t="str">
            <v>Extra Capacity</v>
          </cell>
          <cell r="S4225">
            <v>0.2</v>
          </cell>
        </row>
        <row r="4226">
          <cell r="D4226">
            <v>1208003068</v>
          </cell>
          <cell r="E4226" t="str">
            <v>DAMILOLA AIKI</v>
          </cell>
          <cell r="F4226" t="str">
            <v>A (Ch)</v>
          </cell>
          <cell r="H4226" t="str">
            <v>Choice</v>
          </cell>
          <cell r="I4226">
            <v>0.64583333333333337</v>
          </cell>
          <cell r="J4226">
            <v>0.89583333333333337</v>
          </cell>
          <cell r="K4226">
            <v>5.6666666670000003</v>
          </cell>
          <cell r="L4226">
            <v>62.84</v>
          </cell>
          <cell r="O4226" t="str">
            <v>Y</v>
          </cell>
          <cell r="P4226" t="str">
            <v>N</v>
          </cell>
          <cell r="Q4226" t="str">
            <v>Extra Capacity</v>
          </cell>
          <cell r="S4226">
            <v>0.15</v>
          </cell>
        </row>
        <row r="4227">
          <cell r="D4227">
            <v>1208002695</v>
          </cell>
          <cell r="E4227" t="str">
            <v>DOROTHY MUTEMWA</v>
          </cell>
          <cell r="F4227" t="str">
            <v>A (Ch)</v>
          </cell>
          <cell r="G4227">
            <v>17784</v>
          </cell>
          <cell r="H4227" t="str">
            <v>Choice</v>
          </cell>
          <cell r="I4227">
            <v>0.625</v>
          </cell>
          <cell r="J4227">
            <v>0.875</v>
          </cell>
          <cell r="K4227">
            <v>5.75</v>
          </cell>
          <cell r="L4227">
            <v>63.77</v>
          </cell>
          <cell r="O4227" t="str">
            <v>Y</v>
          </cell>
          <cell r="P4227" t="str">
            <v>N</v>
          </cell>
          <cell r="Q4227" t="str">
            <v>Long Term Sick</v>
          </cell>
          <cell r="S4227">
            <v>0.15</v>
          </cell>
        </row>
        <row r="4228">
          <cell r="D4228">
            <v>1208003880</v>
          </cell>
          <cell r="E4228" t="str">
            <v>FATIMA UMARU</v>
          </cell>
          <cell r="F4228" t="str">
            <v>D (MD)</v>
          </cell>
          <cell r="H4228" t="str">
            <v>Mayday</v>
          </cell>
          <cell r="I4228">
            <v>0.83333333333333337</v>
          </cell>
          <cell r="J4228">
            <v>0.33333333333333331</v>
          </cell>
          <cell r="K4228">
            <v>11.33333333</v>
          </cell>
          <cell r="L4228">
            <v>475.74</v>
          </cell>
          <cell r="O4228" t="str">
            <v>Y</v>
          </cell>
          <cell r="P4228" t="str">
            <v>N</v>
          </cell>
          <cell r="Q4228" t="str">
            <v>Extra Capacity</v>
          </cell>
          <cell r="S4228">
            <v>0.3</v>
          </cell>
        </row>
        <row r="4229">
          <cell r="D4229">
            <v>1208004741</v>
          </cell>
          <cell r="E4229" t="str">
            <v>JAKE BROOKES</v>
          </cell>
          <cell r="F4229" t="str">
            <v>D General (Orio</v>
          </cell>
          <cell r="G4229" t="str">
            <v>Invsd Smt checked</v>
          </cell>
          <cell r="H4229" t="str">
            <v>Orion</v>
          </cell>
          <cell r="I4229">
            <v>0.33333333333333331</v>
          </cell>
          <cell r="J4229">
            <v>0.54166666666666663</v>
          </cell>
          <cell r="K4229">
            <v>5</v>
          </cell>
          <cell r="L4229">
            <v>90.6</v>
          </cell>
          <cell r="O4229" t="str">
            <v>Y</v>
          </cell>
          <cell r="P4229" t="str">
            <v>N</v>
          </cell>
          <cell r="Q4229" t="str">
            <v>Long Term Sick</v>
          </cell>
          <cell r="S4229">
            <v>0.13</v>
          </cell>
        </row>
        <row r="4230">
          <cell r="D4230">
            <v>1208002949</v>
          </cell>
          <cell r="E4230" t="str">
            <v>JAMES MCCLEMENTS</v>
          </cell>
          <cell r="F4230" t="str">
            <v>D (MD)</v>
          </cell>
          <cell r="G4230">
            <v>356856</v>
          </cell>
          <cell r="H4230" t="str">
            <v>Mayday</v>
          </cell>
          <cell r="I4230">
            <v>0.3125</v>
          </cell>
          <cell r="J4230">
            <v>0.60416666666666663</v>
          </cell>
          <cell r="K4230">
            <v>6.6666666670000003</v>
          </cell>
          <cell r="L4230">
            <v>215.27</v>
          </cell>
          <cell r="O4230" t="str">
            <v>Y</v>
          </cell>
          <cell r="P4230" t="str">
            <v>N</v>
          </cell>
          <cell r="Q4230" t="str">
            <v>Extra Capacity</v>
          </cell>
          <cell r="S4230">
            <v>0.18</v>
          </cell>
        </row>
        <row r="4231">
          <cell r="D4231">
            <v>1208002951</v>
          </cell>
          <cell r="E4231" t="str">
            <v>JAMES MCCLEMENTS</v>
          </cell>
          <cell r="F4231" t="str">
            <v>D (MD)</v>
          </cell>
          <cell r="G4231">
            <v>356856</v>
          </cell>
          <cell r="H4231" t="str">
            <v>Mayday</v>
          </cell>
          <cell r="I4231">
            <v>0.60416666666666663</v>
          </cell>
          <cell r="J4231">
            <v>0.85416666666666663</v>
          </cell>
          <cell r="K4231">
            <v>5.6666666670000003</v>
          </cell>
          <cell r="L4231">
            <v>182.98</v>
          </cell>
          <cell r="O4231" t="str">
            <v>Y</v>
          </cell>
          <cell r="P4231" t="str">
            <v>N</v>
          </cell>
          <cell r="Q4231" t="str">
            <v>Extra Capacity</v>
          </cell>
          <cell r="S4231">
            <v>0.15</v>
          </cell>
        </row>
        <row r="4232">
          <cell r="D4232">
            <v>1208003180</v>
          </cell>
          <cell r="E4232" t="str">
            <v>JASMINE ESGUERRA</v>
          </cell>
          <cell r="F4232" t="str">
            <v>D (Ch)</v>
          </cell>
          <cell r="G4232">
            <v>17788</v>
          </cell>
          <cell r="H4232" t="str">
            <v>Choice</v>
          </cell>
          <cell r="I4232">
            <v>0.3125</v>
          </cell>
          <cell r="J4232">
            <v>0.625</v>
          </cell>
          <cell r="K4232">
            <v>7.1666666670000003</v>
          </cell>
          <cell r="L4232">
            <v>174.65</v>
          </cell>
          <cell r="O4232" t="str">
            <v>Y</v>
          </cell>
          <cell r="P4232" t="str">
            <v>N</v>
          </cell>
          <cell r="Q4232" t="str">
            <v>Extra Capacity</v>
          </cell>
          <cell r="S4232">
            <v>0.19</v>
          </cell>
        </row>
        <row r="4233">
          <cell r="D4233">
            <v>1208002818</v>
          </cell>
          <cell r="E4233" t="str">
            <v>JAY RUIZ</v>
          </cell>
          <cell r="F4233" t="str">
            <v>D (Amb)</v>
          </cell>
          <cell r="G4233">
            <v>772120</v>
          </cell>
          <cell r="H4233" t="str">
            <v>Ambition</v>
          </cell>
          <cell r="I4233">
            <v>0.3125</v>
          </cell>
          <cell r="J4233">
            <v>0.85416666666666663</v>
          </cell>
          <cell r="K4233">
            <v>12.33333333</v>
          </cell>
          <cell r="L4233">
            <v>482.23</v>
          </cell>
          <cell r="O4233" t="str">
            <v>Y</v>
          </cell>
          <cell r="P4233" t="str">
            <v>N</v>
          </cell>
          <cell r="Q4233" t="str">
            <v>Vacancy</v>
          </cell>
          <cell r="S4233">
            <v>0.33</v>
          </cell>
        </row>
        <row r="4234">
          <cell r="D4234">
            <v>1208003879</v>
          </cell>
          <cell r="E4234" t="str">
            <v>KATE GUTHRIE</v>
          </cell>
          <cell r="F4234" t="str">
            <v>5 General (Adva</v>
          </cell>
          <cell r="G4234">
            <v>1416226</v>
          </cell>
          <cell r="H4234" t="str">
            <v>Advantage</v>
          </cell>
          <cell r="I4234">
            <v>0.83333333333333337</v>
          </cell>
          <cell r="J4234">
            <v>0.33333333333333331</v>
          </cell>
          <cell r="K4234">
            <v>11.33333333</v>
          </cell>
          <cell r="L4234">
            <v>236.32</v>
          </cell>
          <cell r="O4234" t="str">
            <v>Y</v>
          </cell>
          <cell r="P4234" t="str">
            <v>N</v>
          </cell>
          <cell r="Q4234" t="str">
            <v>Extra Capacity</v>
          </cell>
          <cell r="S4234">
            <v>0.3</v>
          </cell>
        </row>
        <row r="4235">
          <cell r="D4235">
            <v>1208003873</v>
          </cell>
          <cell r="E4235" t="str">
            <v>LEON RARADZA</v>
          </cell>
          <cell r="F4235" t="str">
            <v>D (Ch)</v>
          </cell>
          <cell r="G4235">
            <v>17792</v>
          </cell>
          <cell r="H4235" t="str">
            <v>Choice</v>
          </cell>
          <cell r="I4235">
            <v>0.29166666666666669</v>
          </cell>
          <cell r="J4235">
            <v>0.625</v>
          </cell>
          <cell r="K4235">
            <v>7.6666666670000003</v>
          </cell>
          <cell r="L4235">
            <v>186.84</v>
          </cell>
          <cell r="M4235">
            <v>206.57</v>
          </cell>
          <cell r="O4235" t="str">
            <v>Y</v>
          </cell>
          <cell r="P4235" t="str">
            <v>N</v>
          </cell>
          <cell r="Q4235" t="str">
            <v>Specials</v>
          </cell>
          <cell r="S4235">
            <v>0.2</v>
          </cell>
        </row>
        <row r="4236">
          <cell r="D4236">
            <v>1208003878</v>
          </cell>
          <cell r="E4236" t="str">
            <v>LEON RARADZA</v>
          </cell>
          <cell r="F4236" t="str">
            <v>D (Ch)</v>
          </cell>
          <cell r="G4236">
            <v>17792</v>
          </cell>
          <cell r="H4236" t="str">
            <v>Choice</v>
          </cell>
          <cell r="I4236">
            <v>0.625</v>
          </cell>
          <cell r="J4236">
            <v>0.88541666666666663</v>
          </cell>
          <cell r="K4236">
            <v>5.9166666670000003</v>
          </cell>
          <cell r="L4236">
            <v>144.19</v>
          </cell>
          <cell r="M4236">
            <v>206.57</v>
          </cell>
          <cell r="O4236" t="str">
            <v>Y</v>
          </cell>
          <cell r="P4236" t="str">
            <v>N</v>
          </cell>
          <cell r="Q4236" t="str">
            <v>Specials</v>
          </cell>
          <cell r="S4236">
            <v>0.16</v>
          </cell>
        </row>
        <row r="4237">
          <cell r="D4237">
            <v>1208003883</v>
          </cell>
          <cell r="E4237" t="str">
            <v>MABEL MNISI</v>
          </cell>
          <cell r="F4237" t="str">
            <v>D (MD)</v>
          </cell>
          <cell r="G4237">
            <v>355178</v>
          </cell>
          <cell r="H4237" t="str">
            <v>Mayday</v>
          </cell>
          <cell r="I4237">
            <v>0.83333333333333337</v>
          </cell>
          <cell r="J4237">
            <v>0.33333333333333331</v>
          </cell>
          <cell r="K4237">
            <v>11.33333333</v>
          </cell>
          <cell r="L4237">
            <v>475.74</v>
          </cell>
          <cell r="O4237" t="str">
            <v>Y</v>
          </cell>
          <cell r="P4237" t="str">
            <v>N</v>
          </cell>
          <cell r="Q4237" t="str">
            <v>Extra Capacity</v>
          </cell>
          <cell r="S4237">
            <v>0.3</v>
          </cell>
        </row>
        <row r="4238">
          <cell r="D4238">
            <v>1208002821</v>
          </cell>
          <cell r="E4238" t="str">
            <v>MERCY AFELE</v>
          </cell>
          <cell r="F4238" t="str">
            <v>D (Amb)</v>
          </cell>
          <cell r="G4238">
            <v>772134</v>
          </cell>
          <cell r="H4238" t="str">
            <v>Ambition</v>
          </cell>
          <cell r="I4238">
            <v>0.83333333333333337</v>
          </cell>
          <cell r="J4238">
            <v>0.33333333333333331</v>
          </cell>
          <cell r="K4238">
            <v>11.33333333</v>
          </cell>
          <cell r="L4238">
            <v>576.07000000000005</v>
          </cell>
          <cell r="O4238" t="str">
            <v>Y</v>
          </cell>
          <cell r="P4238" t="str">
            <v>N</v>
          </cell>
          <cell r="Q4238" t="str">
            <v>Vacancy</v>
          </cell>
          <cell r="S4238">
            <v>0.3</v>
          </cell>
        </row>
        <row r="4239">
          <cell r="D4239">
            <v>1208002956</v>
          </cell>
          <cell r="E4239" t="str">
            <v>MERCY SIBANDA</v>
          </cell>
          <cell r="F4239" t="str">
            <v>A (Ch)</v>
          </cell>
          <cell r="H4239" t="str">
            <v>Choice</v>
          </cell>
          <cell r="I4239">
            <v>0.3125</v>
          </cell>
          <cell r="J4239">
            <v>0.5625</v>
          </cell>
          <cell r="K4239">
            <v>5.6666666670000003</v>
          </cell>
          <cell r="L4239">
            <v>62.84</v>
          </cell>
          <cell r="O4239" t="str">
            <v>Y</v>
          </cell>
          <cell r="P4239" t="str">
            <v>N</v>
          </cell>
          <cell r="Q4239" t="str">
            <v>Extra Capacity</v>
          </cell>
          <cell r="S4239">
            <v>0.15</v>
          </cell>
        </row>
        <row r="4240">
          <cell r="D4240">
            <v>1208002957</v>
          </cell>
          <cell r="E4240" t="str">
            <v>MERCY SIBANDA</v>
          </cell>
          <cell r="F4240" t="str">
            <v>A (Ch)</v>
          </cell>
          <cell r="G4240">
            <v>17776</v>
          </cell>
          <cell r="H4240" t="str">
            <v>Choice</v>
          </cell>
          <cell r="I4240">
            <v>0.5625</v>
          </cell>
          <cell r="J4240">
            <v>0.85416666666666663</v>
          </cell>
          <cell r="K4240">
            <v>6.6666666670000003</v>
          </cell>
          <cell r="L4240">
            <v>73.930000000000007</v>
          </cell>
          <cell r="O4240" t="str">
            <v>Y</v>
          </cell>
          <cell r="P4240" t="str">
            <v>N</v>
          </cell>
          <cell r="Q4240" t="str">
            <v>Extra Capacity</v>
          </cell>
          <cell r="S4240">
            <v>0.18</v>
          </cell>
        </row>
        <row r="4241">
          <cell r="D4241">
            <v>1208002466</v>
          </cell>
          <cell r="E4241" t="str">
            <v>MICHAEL OKE</v>
          </cell>
          <cell r="F4241" t="str">
            <v>A (Ch)</v>
          </cell>
          <cell r="G4241">
            <v>17780</v>
          </cell>
          <cell r="H4241" t="str">
            <v>Choice</v>
          </cell>
          <cell r="I4241">
            <v>0.3125</v>
          </cell>
          <cell r="J4241">
            <v>0.85416666666666663</v>
          </cell>
          <cell r="K4241">
            <v>12.33333333</v>
          </cell>
          <cell r="L4241">
            <v>136.78</v>
          </cell>
          <cell r="O4241" t="str">
            <v>Y</v>
          </cell>
          <cell r="P4241" t="str">
            <v>N</v>
          </cell>
          <cell r="Q4241" t="str">
            <v>Extra Capacity</v>
          </cell>
          <cell r="S4241">
            <v>0.33</v>
          </cell>
        </row>
        <row r="4242">
          <cell r="D4242">
            <v>1208000378</v>
          </cell>
          <cell r="E4242" t="str">
            <v>MZUKISI SPEELMAN</v>
          </cell>
          <cell r="F4242" t="str">
            <v>A (Ch)</v>
          </cell>
          <cell r="G4242">
            <v>17768</v>
          </cell>
          <cell r="H4242" t="str">
            <v>Choice</v>
          </cell>
          <cell r="I4242">
            <v>0.3125</v>
          </cell>
          <cell r="J4242">
            <v>0.5625</v>
          </cell>
          <cell r="K4242">
            <v>5.6666666670000003</v>
          </cell>
          <cell r="L4242">
            <v>62.84</v>
          </cell>
          <cell r="O4242" t="str">
            <v>Y</v>
          </cell>
          <cell r="P4242" t="str">
            <v>N</v>
          </cell>
          <cell r="Q4242" t="str">
            <v>Under Established</v>
          </cell>
          <cell r="S4242">
            <v>0.15</v>
          </cell>
        </row>
        <row r="4243">
          <cell r="D4243">
            <v>1208005164</v>
          </cell>
          <cell r="E4243" t="str">
            <v>NILO DANUGO</v>
          </cell>
          <cell r="F4243" t="str">
            <v>D (Ch)</v>
          </cell>
          <cell r="H4243" t="str">
            <v>Choice</v>
          </cell>
          <cell r="I4243">
            <v>0.83333333333333337</v>
          </cell>
          <cell r="J4243">
            <v>0.33333333333333331</v>
          </cell>
          <cell r="K4243">
            <v>11.33333333</v>
          </cell>
          <cell r="L4243">
            <v>359.05</v>
          </cell>
          <cell r="O4243" t="str">
            <v>Y</v>
          </cell>
          <cell r="P4243" t="str">
            <v>N</v>
          </cell>
          <cell r="Q4243" t="str">
            <v>Short Term Sick</v>
          </cell>
          <cell r="S4243">
            <v>0.3</v>
          </cell>
        </row>
        <row r="4244">
          <cell r="D4244">
            <v>1208006008</v>
          </cell>
          <cell r="E4244" t="str">
            <v>OMAR SENGHORE</v>
          </cell>
          <cell r="F4244" t="str">
            <v>D (MD)</v>
          </cell>
          <cell r="G4244">
            <v>355359</v>
          </cell>
          <cell r="H4244" t="str">
            <v>Mayday</v>
          </cell>
          <cell r="I4244">
            <v>0.83333333333333337</v>
          </cell>
          <cell r="J4244">
            <v>0.33333333333333331</v>
          </cell>
          <cell r="K4244">
            <v>11.33333333</v>
          </cell>
          <cell r="L4244">
            <v>475.74</v>
          </cell>
          <cell r="O4244" t="str">
            <v>Y</v>
          </cell>
          <cell r="P4244" t="str">
            <v>N</v>
          </cell>
          <cell r="Q4244" t="str">
            <v>Short Term Sick</v>
          </cell>
          <cell r="S4244">
            <v>0.3</v>
          </cell>
        </row>
        <row r="4245">
          <cell r="D4245">
            <v>1108005941</v>
          </cell>
          <cell r="E4245" t="str">
            <v>PEGGY CHIRIKURE</v>
          </cell>
          <cell r="F4245" t="str">
            <v>D (Ch)</v>
          </cell>
          <cell r="G4245">
            <v>17768</v>
          </cell>
          <cell r="H4245" t="str">
            <v>Choice</v>
          </cell>
          <cell r="I4245">
            <v>0.5625</v>
          </cell>
          <cell r="J4245">
            <v>0.85416666666666663</v>
          </cell>
          <cell r="K4245">
            <v>6.6666666670000003</v>
          </cell>
          <cell r="L4245">
            <v>162.47</v>
          </cell>
          <cell r="O4245" t="str">
            <v>Y</v>
          </cell>
          <cell r="P4245" t="str">
            <v>N</v>
          </cell>
          <cell r="Q4245" t="str">
            <v>Annual Leave</v>
          </cell>
          <cell r="S4245">
            <v>0.18</v>
          </cell>
        </row>
        <row r="4246">
          <cell r="D4246">
            <v>1208005329</v>
          </cell>
          <cell r="E4246" t="str">
            <v>RUTH MILMINE</v>
          </cell>
          <cell r="F4246" t="str">
            <v>D (Amb)</v>
          </cell>
          <cell r="G4246">
            <v>772142</v>
          </cell>
          <cell r="H4246" t="str">
            <v>Ambition</v>
          </cell>
          <cell r="I4246">
            <v>0.3125</v>
          </cell>
          <cell r="J4246">
            <v>0.60416666666666663</v>
          </cell>
          <cell r="K4246">
            <v>6.6666666670000003</v>
          </cell>
          <cell r="L4246">
            <v>260.67</v>
          </cell>
          <cell r="O4246" t="str">
            <v>Y</v>
          </cell>
          <cell r="P4246" t="str">
            <v>N</v>
          </cell>
          <cell r="Q4246" t="str">
            <v>Specials</v>
          </cell>
          <cell r="S4246">
            <v>0.18</v>
          </cell>
        </row>
        <row r="4247">
          <cell r="D4247">
            <v>1208004222</v>
          </cell>
          <cell r="E4247" t="str">
            <v>SAM KELEM</v>
          </cell>
          <cell r="F4247" t="str">
            <v>D (Ch)</v>
          </cell>
          <cell r="H4247" t="str">
            <v>Choice</v>
          </cell>
          <cell r="I4247">
            <v>0.84375</v>
          </cell>
          <cell r="J4247">
            <v>0.3125</v>
          </cell>
          <cell r="K4247">
            <v>10.25</v>
          </cell>
          <cell r="L4247">
            <v>324.73</v>
          </cell>
          <cell r="O4247" t="str">
            <v>Y</v>
          </cell>
          <cell r="P4247" t="str">
            <v>N</v>
          </cell>
          <cell r="Q4247" t="str">
            <v>Under Established</v>
          </cell>
          <cell r="S4247">
            <v>0.27</v>
          </cell>
        </row>
        <row r="4248">
          <cell r="D4248">
            <v>1208003884</v>
          </cell>
          <cell r="E4248" t="str">
            <v>SARAH MAKOTORE</v>
          </cell>
          <cell r="F4248" t="str">
            <v>D (Ch)</v>
          </cell>
          <cell r="H4248" t="str">
            <v>Choice</v>
          </cell>
          <cell r="I4248">
            <v>0.88541666666666663</v>
          </cell>
          <cell r="J4248">
            <v>0.3125</v>
          </cell>
          <cell r="K4248">
            <v>9.25</v>
          </cell>
          <cell r="L4248">
            <v>293.05</v>
          </cell>
          <cell r="O4248" t="str">
            <v>Y</v>
          </cell>
          <cell r="P4248" t="str">
            <v>N</v>
          </cell>
          <cell r="Q4248" t="str">
            <v>Specials</v>
          </cell>
          <cell r="S4248">
            <v>0.25</v>
          </cell>
        </row>
        <row r="4249">
          <cell r="D4249">
            <v>1208000379</v>
          </cell>
          <cell r="E4249" t="str">
            <v>SHEPHERD CHIWANZA</v>
          </cell>
          <cell r="F4249" t="str">
            <v>A (Ch)</v>
          </cell>
          <cell r="G4249">
            <v>17768</v>
          </cell>
          <cell r="H4249" t="str">
            <v>Choice</v>
          </cell>
          <cell r="I4249">
            <v>0.5625</v>
          </cell>
          <cell r="J4249">
            <v>0.85416666666666663</v>
          </cell>
          <cell r="K4249">
            <v>6.6666666670000003</v>
          </cell>
          <cell r="L4249">
            <v>73.930000000000007</v>
          </cell>
          <cell r="O4249" t="str">
            <v>Y</v>
          </cell>
          <cell r="P4249" t="str">
            <v>N</v>
          </cell>
          <cell r="Q4249" t="str">
            <v>Annual Leave</v>
          </cell>
          <cell r="S4249">
            <v>0.18</v>
          </cell>
        </row>
        <row r="4250">
          <cell r="D4250">
            <v>1208005104</v>
          </cell>
          <cell r="E4250" t="str">
            <v>SHEPHERD CHIWANZA</v>
          </cell>
          <cell r="F4250" t="str">
            <v>A (Ch)</v>
          </cell>
          <cell r="G4250">
            <v>17768</v>
          </cell>
          <cell r="H4250" t="str">
            <v>Choice</v>
          </cell>
          <cell r="I4250">
            <v>0.3125</v>
          </cell>
          <cell r="J4250">
            <v>0.5625</v>
          </cell>
          <cell r="K4250">
            <v>5.6666666670000003</v>
          </cell>
          <cell r="L4250">
            <v>62.84</v>
          </cell>
          <cell r="O4250" t="str">
            <v>Y</v>
          </cell>
          <cell r="P4250" t="str">
            <v>N</v>
          </cell>
          <cell r="Q4250" t="str">
            <v>Short Term Sick</v>
          </cell>
          <cell r="S4250">
            <v>0.15</v>
          </cell>
        </row>
        <row r="4251">
          <cell r="D4251">
            <v>1208004032</v>
          </cell>
          <cell r="E4251" t="str">
            <v>SIPHIOISIWE NYONI</v>
          </cell>
          <cell r="F4251" t="str">
            <v>D (Amb)</v>
          </cell>
          <cell r="G4251">
            <v>772106</v>
          </cell>
          <cell r="H4251" t="str">
            <v>Ambition</v>
          </cell>
          <cell r="I4251">
            <v>0.52083333333333337</v>
          </cell>
          <cell r="J4251">
            <v>0.85416666666666663</v>
          </cell>
          <cell r="K4251">
            <v>7.6666666670000003</v>
          </cell>
          <cell r="L4251">
            <v>299.77</v>
          </cell>
          <cell r="O4251" t="str">
            <v>Y</v>
          </cell>
          <cell r="P4251" t="str">
            <v>N</v>
          </cell>
          <cell r="Q4251" t="str">
            <v>Vacancy</v>
          </cell>
          <cell r="S4251">
            <v>0.2</v>
          </cell>
        </row>
        <row r="4252">
          <cell r="D4252">
            <v>1208003070</v>
          </cell>
          <cell r="E4252" t="str">
            <v>TRUST CHIWUNDURA</v>
          </cell>
          <cell r="F4252" t="str">
            <v>A (Ch)</v>
          </cell>
          <cell r="G4252">
            <v>17780</v>
          </cell>
          <cell r="H4252" t="str">
            <v>Choice</v>
          </cell>
          <cell r="I4252">
            <v>0.88541666666666663</v>
          </cell>
          <cell r="J4252">
            <v>0.33333333333333331</v>
          </cell>
          <cell r="K4252">
            <v>10.41666667</v>
          </cell>
          <cell r="L4252">
            <v>154.03</v>
          </cell>
          <cell r="O4252" t="str">
            <v>Y</v>
          </cell>
          <cell r="P4252" t="str">
            <v>N</v>
          </cell>
          <cell r="Q4252" t="str">
            <v>Extra Capacity</v>
          </cell>
          <cell r="S4252">
            <v>0.28000000000000003</v>
          </cell>
        </row>
        <row r="4253">
          <cell r="D4253">
            <v>1208003885</v>
          </cell>
          <cell r="E4253" t="str">
            <v>ALLI SUBRAMANIAM</v>
          </cell>
          <cell r="F4253" t="str">
            <v>D (MD)</v>
          </cell>
          <cell r="G4253">
            <v>357391</v>
          </cell>
          <cell r="H4253" t="str">
            <v>Mayday</v>
          </cell>
          <cell r="I4253">
            <v>0.3125</v>
          </cell>
          <cell r="J4253">
            <v>0.60416666666666663</v>
          </cell>
          <cell r="K4253">
            <v>6.6666666670000003</v>
          </cell>
          <cell r="L4253">
            <v>215.27</v>
          </cell>
          <cell r="O4253" t="str">
            <v>Y</v>
          </cell>
          <cell r="P4253" t="str">
            <v>N</v>
          </cell>
          <cell r="Q4253" t="str">
            <v>Extra Capacity</v>
          </cell>
          <cell r="S4253">
            <v>0.18</v>
          </cell>
        </row>
        <row r="4254">
          <cell r="D4254">
            <v>1208003890</v>
          </cell>
          <cell r="E4254" t="str">
            <v>ALLI SUBRAMANIAM</v>
          </cell>
          <cell r="F4254" t="str">
            <v>D (MD)</v>
          </cell>
          <cell r="G4254">
            <v>357391</v>
          </cell>
          <cell r="H4254" t="str">
            <v>Mayday</v>
          </cell>
          <cell r="I4254">
            <v>0.60416666666666663</v>
          </cell>
          <cell r="J4254">
            <v>0.85416666666666663</v>
          </cell>
          <cell r="K4254">
            <v>5.6666666670000003</v>
          </cell>
          <cell r="L4254">
            <v>182.98</v>
          </cell>
          <cell r="O4254" t="str">
            <v>Y</v>
          </cell>
          <cell r="P4254" t="str">
            <v>N</v>
          </cell>
          <cell r="Q4254" t="str">
            <v>Extra Capacity</v>
          </cell>
          <cell r="S4254">
            <v>0.15</v>
          </cell>
        </row>
        <row r="4255">
          <cell r="D4255">
            <v>1208004225</v>
          </cell>
          <cell r="E4255" t="str">
            <v>ATINUKE OKE-OLATUNDE</v>
          </cell>
          <cell r="F4255" t="str">
            <v>D (MD)</v>
          </cell>
          <cell r="G4255">
            <v>358229</v>
          </cell>
          <cell r="H4255" t="str">
            <v>Mayday</v>
          </cell>
          <cell r="I4255">
            <v>0.84375</v>
          </cell>
          <cell r="J4255">
            <v>0.3125</v>
          </cell>
          <cell r="K4255">
            <v>10.25</v>
          </cell>
          <cell r="L4255">
            <v>430.26</v>
          </cell>
          <cell r="O4255" t="str">
            <v>Y</v>
          </cell>
          <cell r="P4255" t="str">
            <v>N</v>
          </cell>
          <cell r="Q4255" t="str">
            <v>Under Established</v>
          </cell>
          <cell r="S4255">
            <v>0.27</v>
          </cell>
        </row>
        <row r="4256">
          <cell r="D4256">
            <v>1108003599</v>
          </cell>
          <cell r="E4256" t="str">
            <v>BEAUTY NGIDI</v>
          </cell>
          <cell r="F4256" t="str">
            <v>D (MD)</v>
          </cell>
          <cell r="H4256" t="str">
            <v>Mayday</v>
          </cell>
          <cell r="I4256">
            <v>0.83333333333333337</v>
          </cell>
          <cell r="J4256">
            <v>0.33333333333333331</v>
          </cell>
          <cell r="K4256">
            <v>11.33333333</v>
          </cell>
          <cell r="L4256">
            <v>475.74</v>
          </cell>
          <cell r="O4256" t="str">
            <v>Y</v>
          </cell>
          <cell r="P4256" t="str">
            <v>N</v>
          </cell>
          <cell r="Q4256" t="str">
            <v>Vacancy</v>
          </cell>
          <cell r="S4256">
            <v>0.3</v>
          </cell>
        </row>
        <row r="4257">
          <cell r="D4257">
            <v>1208006165</v>
          </cell>
          <cell r="E4257" t="str">
            <v>BHEENADEVI BASSOO</v>
          </cell>
          <cell r="F4257" t="str">
            <v>D (MD)</v>
          </cell>
          <cell r="H4257" t="str">
            <v>Mayday</v>
          </cell>
          <cell r="I4257">
            <v>0.82291666666666663</v>
          </cell>
          <cell r="J4257">
            <v>0.34375</v>
          </cell>
          <cell r="K4257">
            <v>11.5</v>
          </cell>
          <cell r="L4257">
            <v>482.74</v>
          </cell>
          <cell r="O4257" t="str">
            <v>Y</v>
          </cell>
          <cell r="P4257" t="str">
            <v>N</v>
          </cell>
          <cell r="Q4257" t="str">
            <v>Short Term Sick</v>
          </cell>
          <cell r="S4257">
            <v>0.31</v>
          </cell>
        </row>
        <row r="4258">
          <cell r="D4258">
            <v>1108005759</v>
          </cell>
          <cell r="E4258" t="str">
            <v>BONNIE TWALA</v>
          </cell>
          <cell r="F4258" t="str">
            <v>D (Amb)</v>
          </cell>
          <cell r="G4258">
            <v>772153</v>
          </cell>
          <cell r="H4258" t="str">
            <v>Ambition</v>
          </cell>
          <cell r="I4258">
            <v>0.32291666666666669</v>
          </cell>
          <cell r="J4258">
            <v>0.84375</v>
          </cell>
          <cell r="K4258">
            <v>11.5</v>
          </cell>
          <cell r="L4258">
            <v>449.65</v>
          </cell>
          <cell r="O4258" t="str">
            <v>Y</v>
          </cell>
          <cell r="P4258" t="str">
            <v>N</v>
          </cell>
          <cell r="Q4258" t="str">
            <v>Short Term Sick</v>
          </cell>
          <cell r="S4258">
            <v>0.31</v>
          </cell>
        </row>
        <row r="4259">
          <cell r="D4259">
            <v>1208006198</v>
          </cell>
          <cell r="E4259" t="str">
            <v>BRIGHTNESS NDEBELE</v>
          </cell>
          <cell r="F4259" t="str">
            <v>D (MD)</v>
          </cell>
          <cell r="G4259">
            <v>354827</v>
          </cell>
          <cell r="H4259" t="str">
            <v>Mayday</v>
          </cell>
          <cell r="I4259">
            <v>0.3125</v>
          </cell>
          <cell r="J4259">
            <v>0.83333333333333337</v>
          </cell>
          <cell r="K4259">
            <v>11.83333333</v>
          </cell>
          <cell r="L4259">
            <v>382.1</v>
          </cell>
          <cell r="O4259" t="str">
            <v>Y</v>
          </cell>
          <cell r="P4259" t="str">
            <v>N</v>
          </cell>
          <cell r="Q4259" t="str">
            <v>Under Established</v>
          </cell>
          <cell r="S4259">
            <v>0.32</v>
          </cell>
        </row>
        <row r="4260">
          <cell r="D4260">
            <v>1208002967</v>
          </cell>
          <cell r="E4260" t="str">
            <v>CHARLES MARARIRAKWENDA</v>
          </cell>
          <cell r="F4260" t="str">
            <v>A (Ch)</v>
          </cell>
          <cell r="G4260">
            <v>17784</v>
          </cell>
          <cell r="H4260" t="str">
            <v>Choice</v>
          </cell>
          <cell r="I4260">
            <v>0.3125</v>
          </cell>
          <cell r="J4260">
            <v>0.5625</v>
          </cell>
          <cell r="K4260">
            <v>5.6666666670000003</v>
          </cell>
          <cell r="L4260">
            <v>62.84</v>
          </cell>
          <cell r="O4260" t="str">
            <v>Y</v>
          </cell>
          <cell r="P4260" t="str">
            <v>N</v>
          </cell>
          <cell r="Q4260" t="str">
            <v>Extra Capacity</v>
          </cell>
          <cell r="S4260">
            <v>0.15</v>
          </cell>
        </row>
        <row r="4261">
          <cell r="D4261">
            <v>1208002971</v>
          </cell>
          <cell r="E4261" t="str">
            <v>CHARLES MARARIRAKWENDA</v>
          </cell>
          <cell r="F4261" t="str">
            <v>A (Ch)</v>
          </cell>
          <cell r="G4261">
            <v>17784</v>
          </cell>
          <cell r="H4261" t="str">
            <v>Choice</v>
          </cell>
          <cell r="I4261">
            <v>0.60416666666666663</v>
          </cell>
          <cell r="J4261">
            <v>0.85416666666666663</v>
          </cell>
          <cell r="K4261">
            <v>5.6666666670000003</v>
          </cell>
          <cell r="L4261">
            <v>62.84</v>
          </cell>
          <cell r="O4261" t="str">
            <v>Y</v>
          </cell>
          <cell r="P4261" t="str">
            <v>N</v>
          </cell>
          <cell r="Q4261" t="str">
            <v>Extra Capacity</v>
          </cell>
          <cell r="S4261">
            <v>0.15</v>
          </cell>
        </row>
        <row r="4262">
          <cell r="D4262">
            <v>1208006273</v>
          </cell>
          <cell r="E4262" t="str">
            <v>DONALD YANZA</v>
          </cell>
          <cell r="F4262" t="str">
            <v>D (Ch)</v>
          </cell>
          <cell r="G4262">
            <v>17787</v>
          </cell>
          <cell r="H4262" t="str">
            <v>Choice</v>
          </cell>
          <cell r="I4262">
            <v>0.83333333333333337</v>
          </cell>
          <cell r="J4262">
            <v>0.33333333333333331</v>
          </cell>
          <cell r="K4262">
            <v>11.33333333</v>
          </cell>
          <cell r="L4262">
            <v>359.05</v>
          </cell>
          <cell r="O4262" t="str">
            <v>Y</v>
          </cell>
          <cell r="P4262" t="str">
            <v>N</v>
          </cell>
          <cell r="Q4262" t="str">
            <v>Short Term Sick</v>
          </cell>
          <cell r="S4262">
            <v>0.3</v>
          </cell>
        </row>
        <row r="4263">
          <cell r="D4263">
            <v>1108002849</v>
          </cell>
          <cell r="E4263" t="str">
            <v>DOROTHY MUTEMWA</v>
          </cell>
          <cell r="F4263" t="str">
            <v>A (Ch)</v>
          </cell>
          <cell r="G4263">
            <v>17800</v>
          </cell>
          <cell r="H4263" t="str">
            <v>Choice</v>
          </cell>
          <cell r="I4263">
            <v>0.625</v>
          </cell>
          <cell r="J4263">
            <v>0.85416666666666663</v>
          </cell>
          <cell r="K4263">
            <v>5.5</v>
          </cell>
          <cell r="L4263">
            <v>60.99</v>
          </cell>
          <cell r="O4263" t="str">
            <v>Y</v>
          </cell>
          <cell r="P4263" t="str">
            <v>N</v>
          </cell>
          <cell r="Q4263" t="str">
            <v>Vacancy</v>
          </cell>
          <cell r="S4263">
            <v>0.15</v>
          </cell>
        </row>
        <row r="4264">
          <cell r="D4264">
            <v>1208003072</v>
          </cell>
          <cell r="E4264" t="str">
            <v>EDMA ITALIA</v>
          </cell>
          <cell r="F4264" t="str">
            <v>D (Ch)</v>
          </cell>
          <cell r="G4264">
            <v>17780</v>
          </cell>
          <cell r="H4264" t="str">
            <v>Choice</v>
          </cell>
          <cell r="I4264">
            <v>0.88541666666666663</v>
          </cell>
          <cell r="J4264">
            <v>0.33333333333333331</v>
          </cell>
          <cell r="K4264">
            <v>10.41666667</v>
          </cell>
          <cell r="L4264">
            <v>330.01</v>
          </cell>
          <cell r="O4264" t="str">
            <v>Y</v>
          </cell>
          <cell r="P4264" t="str">
            <v>N</v>
          </cell>
          <cell r="Q4264" t="str">
            <v>Extra Capacity</v>
          </cell>
          <cell r="S4264">
            <v>0.28000000000000003</v>
          </cell>
        </row>
        <row r="4265">
          <cell r="D4265">
            <v>1208006276</v>
          </cell>
          <cell r="E4265" t="str">
            <v>EUNICE ADEBANJO</v>
          </cell>
          <cell r="F4265" t="str">
            <v>D (Ch)</v>
          </cell>
          <cell r="G4265">
            <v>17857</v>
          </cell>
          <cell r="H4265" t="str">
            <v>Choice</v>
          </cell>
          <cell r="I4265">
            <v>0.83333333333333337</v>
          </cell>
          <cell r="J4265">
            <v>0.33333333333333331</v>
          </cell>
          <cell r="K4265">
            <v>11.33333333</v>
          </cell>
          <cell r="L4265">
            <v>359.05</v>
          </cell>
          <cell r="O4265" t="str">
            <v>Y</v>
          </cell>
          <cell r="P4265" t="str">
            <v>N</v>
          </cell>
          <cell r="Q4265" t="str">
            <v>Vacancy</v>
          </cell>
          <cell r="S4265">
            <v>0.3</v>
          </cell>
        </row>
        <row r="4266">
          <cell r="D4266">
            <v>1208002616</v>
          </cell>
          <cell r="E4266" t="str">
            <v>FURTHERMORE MUTSINZE</v>
          </cell>
          <cell r="F4266" t="str">
            <v>A (Ch)</v>
          </cell>
          <cell r="H4266" t="str">
            <v>Choice</v>
          </cell>
          <cell r="I4266">
            <v>0.29166666666666669</v>
          </cell>
          <cell r="J4266">
            <v>0.54166666666666663</v>
          </cell>
          <cell r="K4266">
            <v>5.75</v>
          </cell>
          <cell r="L4266">
            <v>63.77</v>
          </cell>
          <cell r="O4266" t="str">
            <v>Y</v>
          </cell>
          <cell r="P4266" t="str">
            <v>N</v>
          </cell>
          <cell r="Q4266" t="str">
            <v>Long Term Sick</v>
          </cell>
          <cell r="S4266">
            <v>0.15</v>
          </cell>
        </row>
        <row r="4267">
          <cell r="D4267">
            <v>1208002697</v>
          </cell>
          <cell r="E4267" t="str">
            <v>FURTHERMORE MUTSINZE</v>
          </cell>
          <cell r="F4267" t="str">
            <v>A (Ch)</v>
          </cell>
          <cell r="H4267" t="str">
            <v>Choice</v>
          </cell>
          <cell r="I4267">
            <v>0.625</v>
          </cell>
          <cell r="J4267">
            <v>0.875</v>
          </cell>
          <cell r="K4267">
            <v>5.75</v>
          </cell>
          <cell r="L4267">
            <v>63.77</v>
          </cell>
          <cell r="O4267" t="str">
            <v>Y</v>
          </cell>
          <cell r="P4267" t="str">
            <v>N</v>
          </cell>
          <cell r="Q4267" t="str">
            <v>Long Term Sick</v>
          </cell>
          <cell r="S4267">
            <v>0.15</v>
          </cell>
        </row>
        <row r="4268">
          <cell r="D4268">
            <v>1208003895</v>
          </cell>
          <cell r="E4268" t="str">
            <v>GERTHY ALBANO</v>
          </cell>
          <cell r="F4268" t="str">
            <v>D (Ch)</v>
          </cell>
          <cell r="G4268">
            <v>17789</v>
          </cell>
          <cell r="H4268" t="str">
            <v>Choice</v>
          </cell>
          <cell r="I4268">
            <v>0.83333333333333337</v>
          </cell>
          <cell r="J4268">
            <v>0.33333333333333331</v>
          </cell>
          <cell r="K4268">
            <v>11.33333333</v>
          </cell>
          <cell r="L4268">
            <v>359.05</v>
          </cell>
          <cell r="O4268" t="str">
            <v>Y</v>
          </cell>
          <cell r="P4268" t="str">
            <v>N</v>
          </cell>
          <cell r="Q4268" t="str">
            <v>Extra Capacity</v>
          </cell>
          <cell r="S4268">
            <v>0.3</v>
          </cell>
        </row>
        <row r="4269">
          <cell r="D4269">
            <v>1208005165</v>
          </cell>
          <cell r="E4269" t="str">
            <v>HILDA SHANGE</v>
          </cell>
          <cell r="F4269" t="str">
            <v>D (Ch)</v>
          </cell>
          <cell r="G4269">
            <v>17780</v>
          </cell>
          <cell r="H4269" t="str">
            <v>Choice</v>
          </cell>
          <cell r="I4269">
            <v>0.83333333333333337</v>
          </cell>
          <cell r="J4269">
            <v>0.33333333333333331</v>
          </cell>
          <cell r="K4269">
            <v>11.33333333</v>
          </cell>
          <cell r="L4269">
            <v>359.05</v>
          </cell>
          <cell r="O4269" t="str">
            <v>Y</v>
          </cell>
          <cell r="P4269" t="str">
            <v>N</v>
          </cell>
          <cell r="Q4269" t="str">
            <v>Short Term Sick</v>
          </cell>
          <cell r="S4269">
            <v>0.3</v>
          </cell>
        </row>
        <row r="4270">
          <cell r="D4270">
            <v>1208003071</v>
          </cell>
          <cell r="E4270" t="str">
            <v>JASMINE ESGUERRA</v>
          </cell>
          <cell r="F4270" t="str">
            <v>D (Ch)</v>
          </cell>
          <cell r="H4270" t="str">
            <v>Choice</v>
          </cell>
          <cell r="I4270">
            <v>0.3125</v>
          </cell>
          <cell r="J4270">
            <v>0.64583333333333337</v>
          </cell>
          <cell r="K4270">
            <v>7.6666666670000003</v>
          </cell>
          <cell r="L4270">
            <v>186.84</v>
          </cell>
          <cell r="O4270" t="str">
            <v>Y</v>
          </cell>
          <cell r="P4270" t="str">
            <v>N</v>
          </cell>
          <cell r="Q4270" t="str">
            <v>Extra Capacity</v>
          </cell>
          <cell r="S4270">
            <v>0.2</v>
          </cell>
        </row>
        <row r="4271">
          <cell r="D4271">
            <v>1208002825</v>
          </cell>
          <cell r="E4271" t="str">
            <v>JAY RUIZ</v>
          </cell>
          <cell r="F4271" t="str">
            <v>D (Amb)</v>
          </cell>
          <cell r="G4271">
            <v>772120</v>
          </cell>
          <cell r="H4271" t="str">
            <v>Ambition</v>
          </cell>
          <cell r="I4271">
            <v>0.3125</v>
          </cell>
          <cell r="J4271">
            <v>0.60416666666666663</v>
          </cell>
          <cell r="K4271">
            <v>6.6666666670000003</v>
          </cell>
          <cell r="L4271">
            <v>260.67</v>
          </cell>
          <cell r="O4271" t="str">
            <v>Y</v>
          </cell>
          <cell r="P4271" t="str">
            <v>N</v>
          </cell>
          <cell r="Q4271" t="str">
            <v>Vacancy</v>
          </cell>
          <cell r="S4271">
            <v>0.18</v>
          </cell>
        </row>
        <row r="4272">
          <cell r="D4272">
            <v>1208003899</v>
          </cell>
          <cell r="E4272" t="str">
            <v>LEON RARADZA</v>
          </cell>
          <cell r="F4272" t="str">
            <v>D (Ch)</v>
          </cell>
          <cell r="G4272">
            <v>17792</v>
          </cell>
          <cell r="H4272" t="str">
            <v>Choice</v>
          </cell>
          <cell r="I4272">
            <v>0.29166666666666669</v>
          </cell>
          <cell r="J4272">
            <v>0.625</v>
          </cell>
          <cell r="K4272">
            <v>7.6666666670000003</v>
          </cell>
          <cell r="L4272">
            <v>186.84</v>
          </cell>
          <cell r="M4272">
            <v>327.18</v>
          </cell>
          <cell r="O4272" t="str">
            <v>Y</v>
          </cell>
          <cell r="P4272" t="str">
            <v>N</v>
          </cell>
          <cell r="Q4272" t="str">
            <v>Specials</v>
          </cell>
          <cell r="S4272">
            <v>0.2</v>
          </cell>
        </row>
        <row r="4273">
          <cell r="D4273">
            <v>1208003900</v>
          </cell>
          <cell r="E4273" t="str">
            <v>LEON RARADZA</v>
          </cell>
          <cell r="F4273" t="str">
            <v>D (Ch)</v>
          </cell>
          <cell r="G4273">
            <v>17792</v>
          </cell>
          <cell r="H4273" t="str">
            <v>Choice</v>
          </cell>
          <cell r="I4273">
            <v>0.625</v>
          </cell>
          <cell r="J4273">
            <v>0.88541666666666663</v>
          </cell>
          <cell r="K4273">
            <v>5.9166666670000003</v>
          </cell>
          <cell r="L4273">
            <v>144.19</v>
          </cell>
          <cell r="M4273">
            <v>327.18</v>
          </cell>
          <cell r="O4273" t="str">
            <v>Y</v>
          </cell>
          <cell r="P4273" t="str">
            <v>N</v>
          </cell>
          <cell r="Q4273" t="str">
            <v>Specials</v>
          </cell>
          <cell r="S4273">
            <v>0.16</v>
          </cell>
        </row>
        <row r="4274">
          <cell r="D4274">
            <v>1208006275</v>
          </cell>
          <cell r="E4274" t="str">
            <v>MARGARET MUDEKUNYE</v>
          </cell>
          <cell r="F4274" t="str">
            <v>D (Ch)</v>
          </cell>
          <cell r="G4274">
            <v>17800</v>
          </cell>
          <cell r="H4274" t="str">
            <v>Choice</v>
          </cell>
          <cell r="I4274">
            <v>0.88541666666666663</v>
          </cell>
          <cell r="J4274">
            <v>0.33333333333333331</v>
          </cell>
          <cell r="K4274">
            <v>10.41666667</v>
          </cell>
          <cell r="L4274">
            <v>330.01</v>
          </cell>
          <cell r="O4274" t="str">
            <v>Y</v>
          </cell>
          <cell r="P4274" t="str">
            <v>N</v>
          </cell>
          <cell r="Q4274" t="str">
            <v>Short Term Sick</v>
          </cell>
          <cell r="S4274">
            <v>0.28000000000000003</v>
          </cell>
        </row>
        <row r="4275">
          <cell r="D4275">
            <v>1208002696</v>
          </cell>
          <cell r="E4275" t="str">
            <v>MERCY SIBANDA</v>
          </cell>
          <cell r="F4275" t="str">
            <v>A (Ch)</v>
          </cell>
          <cell r="H4275" t="str">
            <v>Choice</v>
          </cell>
          <cell r="I4275">
            <v>0.29166666666666669</v>
          </cell>
          <cell r="J4275">
            <v>0.54166666666666663</v>
          </cell>
          <cell r="K4275">
            <v>5.75</v>
          </cell>
          <cell r="L4275">
            <v>63.77</v>
          </cell>
          <cell r="O4275" t="str">
            <v>Y</v>
          </cell>
          <cell r="P4275" t="str">
            <v>N</v>
          </cell>
          <cell r="Q4275" t="str">
            <v>Long Term Sick</v>
          </cell>
          <cell r="S4275">
            <v>0.15</v>
          </cell>
        </row>
        <row r="4276">
          <cell r="D4276">
            <v>1208003910</v>
          </cell>
          <cell r="E4276" t="str">
            <v>MIRIAM MAGWETTE</v>
          </cell>
          <cell r="F4276" t="str">
            <v>D (Ch)</v>
          </cell>
          <cell r="H4276" t="str">
            <v>Choice</v>
          </cell>
          <cell r="I4276">
            <v>0.88541666666666663</v>
          </cell>
          <cell r="J4276">
            <v>0.3125</v>
          </cell>
          <cell r="K4276">
            <v>9.25</v>
          </cell>
          <cell r="L4276">
            <v>293.05</v>
          </cell>
          <cell r="O4276" t="str">
            <v>Y</v>
          </cell>
          <cell r="P4276" t="str">
            <v>N</v>
          </cell>
          <cell r="Q4276" t="str">
            <v>Specials</v>
          </cell>
          <cell r="S4276">
            <v>0.25</v>
          </cell>
        </row>
        <row r="4277">
          <cell r="D4277">
            <v>1208000380</v>
          </cell>
          <cell r="E4277" t="str">
            <v>MZUKISI SPEELMAN</v>
          </cell>
          <cell r="F4277" t="str">
            <v>A (Ch)</v>
          </cell>
          <cell r="G4277">
            <v>17768</v>
          </cell>
          <cell r="H4277" t="str">
            <v>Choice</v>
          </cell>
          <cell r="I4277">
            <v>0.3125</v>
          </cell>
          <cell r="J4277">
            <v>0.5625</v>
          </cell>
          <cell r="K4277">
            <v>5.6666666670000003</v>
          </cell>
          <cell r="L4277">
            <v>62.84</v>
          </cell>
          <cell r="O4277" t="str">
            <v>Y</v>
          </cell>
          <cell r="P4277" t="str">
            <v>N</v>
          </cell>
          <cell r="Q4277" t="str">
            <v>Under Established</v>
          </cell>
          <cell r="S4277">
            <v>0.15</v>
          </cell>
        </row>
        <row r="4278">
          <cell r="D4278">
            <v>1208000381</v>
          </cell>
          <cell r="E4278" t="str">
            <v>MZUKISI SPEELMAN</v>
          </cell>
          <cell r="F4278" t="str">
            <v>A (Ch)</v>
          </cell>
          <cell r="G4278">
            <v>17768</v>
          </cell>
          <cell r="H4278" t="str">
            <v>Choice</v>
          </cell>
          <cell r="I4278">
            <v>0.5625</v>
          </cell>
          <cell r="J4278">
            <v>0.85416666666666663</v>
          </cell>
          <cell r="K4278">
            <v>6.6666666670000003</v>
          </cell>
          <cell r="L4278">
            <v>73.930000000000007</v>
          </cell>
          <cell r="O4278" t="str">
            <v>Y</v>
          </cell>
          <cell r="P4278" t="str">
            <v>N</v>
          </cell>
          <cell r="Q4278" t="str">
            <v>Under Established</v>
          </cell>
          <cell r="S4278">
            <v>0.18</v>
          </cell>
        </row>
        <row r="4279">
          <cell r="D4279">
            <v>1208006274</v>
          </cell>
          <cell r="E4279" t="str">
            <v>NILO DANUGO</v>
          </cell>
          <cell r="F4279" t="str">
            <v>D (Ch)</v>
          </cell>
          <cell r="G4279">
            <v>17798</v>
          </cell>
          <cell r="H4279" t="str">
            <v>Choice</v>
          </cell>
          <cell r="I4279">
            <v>0.83333333333333337</v>
          </cell>
          <cell r="J4279">
            <v>0.33333333333333331</v>
          </cell>
          <cell r="K4279">
            <v>11.33333333</v>
          </cell>
          <cell r="L4279">
            <v>359.05</v>
          </cell>
          <cell r="O4279" t="str">
            <v>Y</v>
          </cell>
          <cell r="P4279" t="str">
            <v>N</v>
          </cell>
          <cell r="Q4279" t="str">
            <v>Short Term Sick</v>
          </cell>
          <cell r="S4279">
            <v>0.3</v>
          </cell>
        </row>
        <row r="4280">
          <cell r="D4280">
            <v>1208006042</v>
          </cell>
          <cell r="E4280" t="str">
            <v>NKOSI BHEBHE</v>
          </cell>
          <cell r="F4280" t="str">
            <v>D (Amb)</v>
          </cell>
          <cell r="G4280">
            <v>772128</v>
          </cell>
          <cell r="H4280" t="str">
            <v>Ambition</v>
          </cell>
          <cell r="I4280">
            <v>0.3125</v>
          </cell>
          <cell r="J4280">
            <v>0.5625</v>
          </cell>
          <cell r="K4280">
            <v>5.6666666670000003</v>
          </cell>
          <cell r="L4280">
            <v>221.57</v>
          </cell>
          <cell r="O4280" t="str">
            <v>Y</v>
          </cell>
          <cell r="P4280" t="str">
            <v>N</v>
          </cell>
          <cell r="Q4280" t="str">
            <v>Short Term Sick</v>
          </cell>
          <cell r="S4280">
            <v>0.15</v>
          </cell>
        </row>
        <row r="4281">
          <cell r="D4281">
            <v>1208006009</v>
          </cell>
          <cell r="E4281" t="str">
            <v>OMAR SENGHORE</v>
          </cell>
          <cell r="F4281" t="str">
            <v>D (MD)</v>
          </cell>
          <cell r="G4281">
            <v>355359</v>
          </cell>
          <cell r="H4281" t="str">
            <v>Mayday</v>
          </cell>
          <cell r="I4281">
            <v>0.83333333333333337</v>
          </cell>
          <cell r="J4281">
            <v>0.33333333333333331</v>
          </cell>
          <cell r="K4281">
            <v>11.33333333</v>
          </cell>
          <cell r="L4281">
            <v>475.74</v>
          </cell>
          <cell r="O4281" t="str">
            <v>Y</v>
          </cell>
          <cell r="P4281" t="str">
            <v>N</v>
          </cell>
          <cell r="Q4281" t="str">
            <v>Short Term Sick</v>
          </cell>
          <cell r="S4281">
            <v>0.3</v>
          </cell>
        </row>
        <row r="4282">
          <cell r="D4282">
            <v>1108005945</v>
          </cell>
          <cell r="E4282" t="str">
            <v>PEGGY CHIRIKURE</v>
          </cell>
          <cell r="F4282" t="str">
            <v>D (Ch)</v>
          </cell>
          <cell r="H4282" t="str">
            <v>Choice</v>
          </cell>
          <cell r="I4282">
            <v>0.3125</v>
          </cell>
          <cell r="J4282">
            <v>0.5625</v>
          </cell>
          <cell r="K4282">
            <v>5.6666666670000003</v>
          </cell>
          <cell r="L4282">
            <v>138.1</v>
          </cell>
          <cell r="O4282" t="str">
            <v>Y</v>
          </cell>
          <cell r="P4282" t="str">
            <v>N</v>
          </cell>
          <cell r="Q4282" t="str">
            <v>Under Established</v>
          </cell>
          <cell r="S4282">
            <v>0.15</v>
          </cell>
        </row>
        <row r="4283">
          <cell r="D4283">
            <v>1108005947</v>
          </cell>
          <cell r="E4283" t="str">
            <v>PEGGY MAPOGO</v>
          </cell>
          <cell r="F4283" t="str">
            <v>D (Ch)</v>
          </cell>
          <cell r="H4283" t="str">
            <v>Choice</v>
          </cell>
          <cell r="I4283">
            <v>0.5625</v>
          </cell>
          <cell r="J4283">
            <v>0.85416666666666663</v>
          </cell>
          <cell r="K4283">
            <v>6.6666666670000003</v>
          </cell>
          <cell r="L4283">
            <v>162.47</v>
          </cell>
          <cell r="O4283" t="str">
            <v>Y</v>
          </cell>
          <cell r="P4283" t="str">
            <v>N</v>
          </cell>
          <cell r="Q4283" t="str">
            <v>Under Established</v>
          </cell>
          <cell r="S4283">
            <v>0.18</v>
          </cell>
        </row>
        <row r="4284">
          <cell r="D4284">
            <v>1208006807</v>
          </cell>
          <cell r="E4284" t="str">
            <v>RACHEL OBERDOFF</v>
          </cell>
          <cell r="F4284" t="str">
            <v>D (MD)</v>
          </cell>
          <cell r="G4284">
            <v>355373</v>
          </cell>
          <cell r="H4284" t="str">
            <v>Mayday</v>
          </cell>
          <cell r="I4284">
            <v>0.3125</v>
          </cell>
          <cell r="J4284">
            <v>0.85416666666666663</v>
          </cell>
          <cell r="K4284">
            <v>12.33333333</v>
          </cell>
          <cell r="L4284">
            <v>398.24</v>
          </cell>
          <cell r="O4284" t="str">
            <v>Y</v>
          </cell>
          <cell r="P4284" t="str">
            <v>N</v>
          </cell>
          <cell r="Q4284" t="str">
            <v>Short Term Sick</v>
          </cell>
          <cell r="S4284">
            <v>0.33</v>
          </cell>
        </row>
        <row r="4285">
          <cell r="D4285">
            <v>1208004224</v>
          </cell>
          <cell r="E4285" t="str">
            <v>SAM KELEM</v>
          </cell>
          <cell r="F4285" t="str">
            <v>D (Ch)</v>
          </cell>
          <cell r="H4285" t="str">
            <v>Choice</v>
          </cell>
          <cell r="I4285">
            <v>0.84375</v>
          </cell>
          <cell r="J4285">
            <v>0.3125</v>
          </cell>
          <cell r="K4285">
            <v>10.25</v>
          </cell>
          <cell r="L4285">
            <v>324.73</v>
          </cell>
          <cell r="O4285" t="str">
            <v>Y</v>
          </cell>
          <cell r="P4285" t="str">
            <v>N</v>
          </cell>
          <cell r="Q4285" t="str">
            <v>Under Established</v>
          </cell>
          <cell r="S4285">
            <v>0.27</v>
          </cell>
        </row>
        <row r="4286">
          <cell r="D4286">
            <v>1108006095</v>
          </cell>
          <cell r="E4286" t="str">
            <v>SINDISO MOYO</v>
          </cell>
          <cell r="F4286" t="str">
            <v>D (Amb)</v>
          </cell>
          <cell r="G4286">
            <v>772139</v>
          </cell>
          <cell r="H4286" t="str">
            <v>Ambition</v>
          </cell>
          <cell r="I4286">
            <v>0.625</v>
          </cell>
          <cell r="J4286">
            <v>0.85416666666666663</v>
          </cell>
          <cell r="K4286">
            <v>5.5</v>
          </cell>
          <cell r="L4286">
            <v>215.05</v>
          </cell>
          <cell r="O4286" t="str">
            <v>Y</v>
          </cell>
          <cell r="P4286" t="str">
            <v>N</v>
          </cell>
          <cell r="Q4286" t="str">
            <v>Short Term Sick</v>
          </cell>
          <cell r="S4286">
            <v>0.15</v>
          </cell>
        </row>
        <row r="4287">
          <cell r="D4287">
            <v>1208005409</v>
          </cell>
          <cell r="E4287" t="str">
            <v>SINDISO MOYO</v>
          </cell>
          <cell r="F4287" t="str">
            <v>D (Amb)</v>
          </cell>
          <cell r="G4287">
            <v>772086</v>
          </cell>
          <cell r="H4287" t="str">
            <v>Ambition</v>
          </cell>
          <cell r="I4287">
            <v>0.3125</v>
          </cell>
          <cell r="J4287">
            <v>0.54166666666666663</v>
          </cell>
          <cell r="K4287">
            <v>5.5</v>
          </cell>
          <cell r="L4287">
            <v>215.05</v>
          </cell>
          <cell r="O4287" t="str">
            <v>Y</v>
          </cell>
          <cell r="P4287" t="str">
            <v>N</v>
          </cell>
          <cell r="Q4287" t="str">
            <v>Vacancy</v>
          </cell>
          <cell r="S4287">
            <v>0.15</v>
          </cell>
        </row>
        <row r="4288">
          <cell r="D4288">
            <v>1208002824</v>
          </cell>
          <cell r="E4288" t="str">
            <v>VICTORIA ANIKINA</v>
          </cell>
          <cell r="F4288" t="str">
            <v>D (Amb)</v>
          </cell>
          <cell r="G4288">
            <v>772122</v>
          </cell>
          <cell r="H4288" t="str">
            <v>Ambition</v>
          </cell>
          <cell r="I4288">
            <v>0.3125</v>
          </cell>
          <cell r="J4288">
            <v>0.85416666666666663</v>
          </cell>
          <cell r="K4288">
            <v>12.33333333</v>
          </cell>
          <cell r="L4288">
            <v>482.23</v>
          </cell>
          <cell r="O4288" t="str">
            <v>Y</v>
          </cell>
          <cell r="P4288" t="str">
            <v>N</v>
          </cell>
          <cell r="Q4288" t="str">
            <v>Vacancy</v>
          </cell>
          <cell r="S4288">
            <v>0.33</v>
          </cell>
        </row>
        <row r="4289">
          <cell r="D4289">
            <v>1008007002</v>
          </cell>
          <cell r="E4289" t="str">
            <v>ALAN CURTIS</v>
          </cell>
          <cell r="F4289" t="str">
            <v>D (MD)</v>
          </cell>
          <cell r="G4289">
            <v>355372</v>
          </cell>
          <cell r="H4289" t="str">
            <v>Mayday</v>
          </cell>
          <cell r="I4289">
            <v>0.32291666666666669</v>
          </cell>
          <cell r="J4289">
            <v>0.84375</v>
          </cell>
          <cell r="K4289">
            <v>11.83333333</v>
          </cell>
          <cell r="L4289">
            <v>382.1</v>
          </cell>
          <cell r="O4289" t="str">
            <v>Y</v>
          </cell>
          <cell r="P4289" t="str">
            <v>N</v>
          </cell>
          <cell r="Q4289" t="str">
            <v>Vacancy</v>
          </cell>
          <cell r="S4289">
            <v>0.32</v>
          </cell>
        </row>
        <row r="4290">
          <cell r="D4290">
            <v>1208003901</v>
          </cell>
          <cell r="E4290" t="str">
            <v>ALLI SUBRAMANIAM</v>
          </cell>
          <cell r="F4290" t="str">
            <v>D (MD)</v>
          </cell>
          <cell r="G4290">
            <v>355408</v>
          </cell>
          <cell r="H4290" t="str">
            <v>Mayday</v>
          </cell>
          <cell r="I4290">
            <v>0.3125</v>
          </cell>
          <cell r="J4290">
            <v>0.60416666666666663</v>
          </cell>
          <cell r="K4290">
            <v>6.6666666670000003</v>
          </cell>
          <cell r="L4290">
            <v>215.27</v>
          </cell>
          <cell r="O4290" t="str">
            <v>Y</v>
          </cell>
          <cell r="P4290" t="str">
            <v>N</v>
          </cell>
          <cell r="Q4290" t="str">
            <v>Extra Capacity</v>
          </cell>
          <cell r="S4290">
            <v>0.18</v>
          </cell>
        </row>
        <row r="4291">
          <cell r="D4291">
            <v>1208003907</v>
          </cell>
          <cell r="E4291" t="str">
            <v>ALLI SUBRAMANIAM</v>
          </cell>
          <cell r="F4291" t="str">
            <v>D (MD)</v>
          </cell>
          <cell r="G4291">
            <v>355408</v>
          </cell>
          <cell r="H4291" t="str">
            <v>Mayday</v>
          </cell>
          <cell r="I4291">
            <v>0.60416666666666663</v>
          </cell>
          <cell r="J4291">
            <v>0.83333333333333337</v>
          </cell>
          <cell r="K4291">
            <v>5.5</v>
          </cell>
          <cell r="L4291">
            <v>177.59</v>
          </cell>
          <cell r="O4291" t="str">
            <v>Y</v>
          </cell>
          <cell r="P4291" t="str">
            <v>N</v>
          </cell>
          <cell r="Q4291" t="str">
            <v>Extra Capacity</v>
          </cell>
          <cell r="S4291">
            <v>0.15</v>
          </cell>
        </row>
        <row r="4292">
          <cell r="D4292">
            <v>1208003902</v>
          </cell>
          <cell r="E4292" t="str">
            <v>BERNADETTE SHINYA-NDUNUWANI</v>
          </cell>
          <cell r="F4292" t="str">
            <v>D (MD)</v>
          </cell>
          <cell r="G4292">
            <v>356646</v>
          </cell>
          <cell r="H4292" t="str">
            <v>Mayday</v>
          </cell>
          <cell r="I4292">
            <v>0.3125</v>
          </cell>
          <cell r="J4292">
            <v>0.60416666666666663</v>
          </cell>
          <cell r="K4292">
            <v>6.6666666670000003</v>
          </cell>
          <cell r="L4292">
            <v>215.27</v>
          </cell>
          <cell r="O4292" t="str">
            <v>Y</v>
          </cell>
          <cell r="P4292" t="str">
            <v>N</v>
          </cell>
          <cell r="Q4292" t="str">
            <v>Extra Capacity</v>
          </cell>
          <cell r="S4292">
            <v>0.18</v>
          </cell>
        </row>
        <row r="4293">
          <cell r="D4293">
            <v>1208003908</v>
          </cell>
          <cell r="E4293" t="str">
            <v>BERNADETTE SHINYA-NDUNUWANI</v>
          </cell>
          <cell r="F4293" t="str">
            <v>D (MD)</v>
          </cell>
          <cell r="G4293">
            <v>356646</v>
          </cell>
          <cell r="H4293" t="str">
            <v>Mayday</v>
          </cell>
          <cell r="I4293">
            <v>0.60416666666666663</v>
          </cell>
          <cell r="J4293">
            <v>0.83333333333333337</v>
          </cell>
          <cell r="K4293">
            <v>5.5</v>
          </cell>
          <cell r="L4293">
            <v>177.59</v>
          </cell>
          <cell r="O4293" t="str">
            <v>Y</v>
          </cell>
          <cell r="P4293" t="str">
            <v>N</v>
          </cell>
          <cell r="Q4293" t="str">
            <v>Extra Capacity</v>
          </cell>
          <cell r="S4293">
            <v>0.15</v>
          </cell>
        </row>
        <row r="4294">
          <cell r="D4294">
            <v>1208006282</v>
          </cell>
          <cell r="E4294" t="str">
            <v>BIDDY CHAFESUKA</v>
          </cell>
          <cell r="F4294" t="str">
            <v>D (Ch)</v>
          </cell>
          <cell r="G4294">
            <v>17790</v>
          </cell>
          <cell r="H4294" t="str">
            <v>Choice</v>
          </cell>
          <cell r="I4294">
            <v>0.3125</v>
          </cell>
          <cell r="J4294">
            <v>0.85416666666666663</v>
          </cell>
          <cell r="K4294">
            <v>12.33333333</v>
          </cell>
          <cell r="L4294">
            <v>300.56</v>
          </cell>
          <cell r="O4294" t="str">
            <v>Y</v>
          </cell>
          <cell r="P4294" t="str">
            <v>N</v>
          </cell>
          <cell r="Q4294" t="str">
            <v>Vacancy</v>
          </cell>
          <cell r="S4294">
            <v>0.33</v>
          </cell>
        </row>
        <row r="4295">
          <cell r="D4295">
            <v>1208003671</v>
          </cell>
          <cell r="E4295" t="str">
            <v>BONNIE TWALA</v>
          </cell>
          <cell r="F4295" t="str">
            <v>D (Amb)</v>
          </cell>
          <cell r="G4295">
            <v>772153</v>
          </cell>
          <cell r="H4295" t="str">
            <v>Ambition</v>
          </cell>
          <cell r="I4295">
            <v>0.82291666666666663</v>
          </cell>
          <cell r="J4295">
            <v>0.34375</v>
          </cell>
          <cell r="K4295">
            <v>11.5</v>
          </cell>
          <cell r="L4295">
            <v>584.54999999999995</v>
          </cell>
          <cell r="O4295" t="str">
            <v>Y</v>
          </cell>
          <cell r="P4295" t="str">
            <v>N</v>
          </cell>
          <cell r="Q4295" t="str">
            <v>Escort</v>
          </cell>
          <cell r="S4295">
            <v>0.31</v>
          </cell>
        </row>
        <row r="4296">
          <cell r="D4296">
            <v>1208004226</v>
          </cell>
          <cell r="E4296" t="str">
            <v>BRENDA GWEKWERERE</v>
          </cell>
          <cell r="F4296" t="str">
            <v>D (Ch)</v>
          </cell>
          <cell r="H4296" t="str">
            <v>Choice</v>
          </cell>
          <cell r="I4296">
            <v>0.84375</v>
          </cell>
          <cell r="J4296">
            <v>0.3125</v>
          </cell>
          <cell r="K4296">
            <v>10.25</v>
          </cell>
          <cell r="L4296">
            <v>324.73</v>
          </cell>
          <cell r="O4296" t="str">
            <v>Y</v>
          </cell>
          <cell r="P4296" t="str">
            <v>N</v>
          </cell>
          <cell r="Q4296" t="str">
            <v>Under Established</v>
          </cell>
          <cell r="S4296">
            <v>0.27</v>
          </cell>
        </row>
        <row r="4297">
          <cell r="D4297">
            <v>1208003678</v>
          </cell>
          <cell r="E4297" t="str">
            <v>BRIGHTNESS NDEBELE</v>
          </cell>
          <cell r="F4297" t="str">
            <v>D (MD)</v>
          </cell>
          <cell r="G4297">
            <v>354827</v>
          </cell>
          <cell r="H4297" t="str">
            <v>Mayday</v>
          </cell>
          <cell r="I4297">
            <v>0.82291666666666663</v>
          </cell>
          <cell r="J4297">
            <v>0.34375</v>
          </cell>
          <cell r="K4297">
            <v>11.5</v>
          </cell>
          <cell r="L4297">
            <v>482.74</v>
          </cell>
          <cell r="O4297" t="str">
            <v>Y</v>
          </cell>
          <cell r="P4297" t="str">
            <v>N</v>
          </cell>
          <cell r="Q4297" t="str">
            <v>Extra Capacity</v>
          </cell>
          <cell r="S4297">
            <v>0.31</v>
          </cell>
        </row>
        <row r="4298">
          <cell r="D4298">
            <v>1208006811</v>
          </cell>
          <cell r="E4298" t="str">
            <v>DEBBIE HARRIS</v>
          </cell>
          <cell r="F4298" t="str">
            <v>5 Gen (All)</v>
          </cell>
          <cell r="G4298">
            <v>355193</v>
          </cell>
          <cell r="H4298" t="str">
            <v>Mayday</v>
          </cell>
          <cell r="I4298">
            <v>0.83333333333333337</v>
          </cell>
          <cell r="J4298">
            <v>0.33333333333333331</v>
          </cell>
          <cell r="K4298">
            <v>11</v>
          </cell>
          <cell r="L4298">
            <v>257.11</v>
          </cell>
          <cell r="O4298" t="str">
            <v>Y</v>
          </cell>
          <cell r="P4298" t="str">
            <v>N</v>
          </cell>
          <cell r="Q4298" t="str">
            <v>Extra Capacity</v>
          </cell>
          <cell r="S4298">
            <v>0.28999999999999998</v>
          </cell>
        </row>
        <row r="4299">
          <cell r="D4299">
            <v>1208003079</v>
          </cell>
          <cell r="E4299" t="str">
            <v>DOROTHY MUTEMWA</v>
          </cell>
          <cell r="F4299" t="str">
            <v>A (Ch)</v>
          </cell>
          <cell r="H4299" t="str">
            <v>Choice</v>
          </cell>
          <cell r="I4299">
            <v>0.3125</v>
          </cell>
          <cell r="J4299">
            <v>0.64583333333333337</v>
          </cell>
          <cell r="K4299">
            <v>7.6666666670000003</v>
          </cell>
          <cell r="L4299">
            <v>85.02</v>
          </cell>
          <cell r="O4299" t="str">
            <v>Y</v>
          </cell>
          <cell r="P4299" t="str">
            <v>N</v>
          </cell>
          <cell r="Q4299" t="str">
            <v>Extra Capacity</v>
          </cell>
          <cell r="S4299">
            <v>0.2</v>
          </cell>
        </row>
        <row r="4300">
          <cell r="D4300">
            <v>1208007309</v>
          </cell>
          <cell r="E4300" t="str">
            <v>EUNICE ADEBANJO</v>
          </cell>
          <cell r="F4300" t="str">
            <v>D (Ch)</v>
          </cell>
          <cell r="G4300">
            <v>17798</v>
          </cell>
          <cell r="H4300" t="str">
            <v>Choice</v>
          </cell>
          <cell r="I4300">
            <v>0.875</v>
          </cell>
          <cell r="J4300">
            <v>0.30208333333333331</v>
          </cell>
          <cell r="K4300">
            <v>9.9166666669999994</v>
          </cell>
          <cell r="L4300">
            <v>314.17</v>
          </cell>
          <cell r="O4300" t="str">
            <v>Y</v>
          </cell>
          <cell r="P4300" t="str">
            <v>N</v>
          </cell>
          <cell r="Q4300" t="str">
            <v>Nurse Moved</v>
          </cell>
          <cell r="S4300">
            <v>0.26</v>
          </cell>
        </row>
        <row r="4301">
          <cell r="D4301">
            <v>1208003927</v>
          </cell>
          <cell r="E4301" t="str">
            <v>LETECIA LIWANE</v>
          </cell>
          <cell r="F4301" t="str">
            <v>D (Ch)</v>
          </cell>
          <cell r="H4301" t="str">
            <v>Choice</v>
          </cell>
          <cell r="I4301">
            <v>0.88541666666666663</v>
          </cell>
          <cell r="J4301">
            <v>0.3125</v>
          </cell>
          <cell r="K4301">
            <v>9.25</v>
          </cell>
          <cell r="L4301">
            <v>293.05</v>
          </cell>
          <cell r="O4301" t="str">
            <v>Y</v>
          </cell>
          <cell r="P4301" t="str">
            <v>N</v>
          </cell>
          <cell r="Q4301" t="str">
            <v>Specials</v>
          </cell>
          <cell r="S4301">
            <v>0.25</v>
          </cell>
        </row>
        <row r="4302">
          <cell r="D4302">
            <v>1108006097</v>
          </cell>
          <cell r="E4302" t="str">
            <v>LILLIBETH CASTILO</v>
          </cell>
          <cell r="F4302" t="str">
            <v>D (MD)</v>
          </cell>
          <cell r="G4302">
            <v>355733</v>
          </cell>
          <cell r="H4302" t="str">
            <v>Mayday</v>
          </cell>
          <cell r="I4302">
            <v>0.625</v>
          </cell>
          <cell r="J4302">
            <v>0.85416666666666663</v>
          </cell>
          <cell r="K4302">
            <v>5.5</v>
          </cell>
          <cell r="L4302">
            <v>177.59</v>
          </cell>
          <cell r="O4302" t="str">
            <v>Y</v>
          </cell>
          <cell r="P4302" t="str">
            <v>N</v>
          </cell>
          <cell r="Q4302" t="str">
            <v>Short Term Sick</v>
          </cell>
          <cell r="S4302">
            <v>0.15</v>
          </cell>
        </row>
        <row r="4303">
          <cell r="D4303">
            <v>1208005413</v>
          </cell>
          <cell r="E4303" t="str">
            <v>LILLIBETH CASTILO</v>
          </cell>
          <cell r="F4303" t="str">
            <v>D (MD)</v>
          </cell>
          <cell r="G4303">
            <v>355733</v>
          </cell>
          <cell r="H4303" t="str">
            <v>Mayday</v>
          </cell>
          <cell r="I4303">
            <v>0.3125</v>
          </cell>
          <cell r="J4303">
            <v>0.54166666666666663</v>
          </cell>
          <cell r="K4303">
            <v>5.5</v>
          </cell>
          <cell r="L4303">
            <v>177.59</v>
          </cell>
          <cell r="O4303" t="str">
            <v>Y</v>
          </cell>
          <cell r="P4303" t="str">
            <v>N</v>
          </cell>
          <cell r="Q4303" t="str">
            <v>Vacancy</v>
          </cell>
          <cell r="S4303">
            <v>0.15</v>
          </cell>
        </row>
        <row r="4304">
          <cell r="D4304">
            <v>1208006409</v>
          </cell>
          <cell r="E4304" t="str">
            <v>MABEL MNISI</v>
          </cell>
          <cell r="F4304" t="str">
            <v>D (MD)</v>
          </cell>
          <cell r="G4304">
            <v>357335</v>
          </cell>
          <cell r="H4304" t="str">
            <v>Mayday</v>
          </cell>
          <cell r="I4304">
            <v>0.83333333333333337</v>
          </cell>
          <cell r="J4304">
            <v>0.33333333333333331</v>
          </cell>
          <cell r="K4304">
            <v>11.33333333</v>
          </cell>
          <cell r="L4304">
            <v>475.74</v>
          </cell>
          <cell r="O4304" t="str">
            <v>Y</v>
          </cell>
          <cell r="P4304" t="str">
            <v>N</v>
          </cell>
          <cell r="Q4304" t="str">
            <v>Vacancy</v>
          </cell>
          <cell r="S4304">
            <v>0.3</v>
          </cell>
        </row>
        <row r="4305">
          <cell r="D4305">
            <v>1208006234</v>
          </cell>
          <cell r="E4305" t="str">
            <v>MARGARET MUDEKUNYE</v>
          </cell>
          <cell r="F4305" t="str">
            <v>D (Ch)</v>
          </cell>
          <cell r="G4305">
            <v>17773</v>
          </cell>
          <cell r="H4305" t="str">
            <v>Choice</v>
          </cell>
          <cell r="I4305">
            <v>0.82291666666666663</v>
          </cell>
          <cell r="J4305">
            <v>0.34375</v>
          </cell>
          <cell r="K4305">
            <v>11.5</v>
          </cell>
          <cell r="L4305">
            <v>364.33</v>
          </cell>
          <cell r="O4305" t="str">
            <v>Y</v>
          </cell>
          <cell r="P4305" t="str">
            <v>N</v>
          </cell>
          <cell r="Q4305" t="str">
            <v>Short Term Sick</v>
          </cell>
          <cell r="S4305">
            <v>0.31</v>
          </cell>
        </row>
        <row r="4306">
          <cell r="D4306">
            <v>1208006283</v>
          </cell>
          <cell r="E4306" t="str">
            <v>MERCY SIBANDA</v>
          </cell>
          <cell r="F4306" t="str">
            <v>A (Ch)</v>
          </cell>
          <cell r="H4306" t="str">
            <v>Choice</v>
          </cell>
          <cell r="I4306">
            <v>0.83333333333333337</v>
          </cell>
          <cell r="J4306">
            <v>0.33333333333333331</v>
          </cell>
          <cell r="K4306">
            <v>11.33333333</v>
          </cell>
          <cell r="L4306">
            <v>167.58</v>
          </cell>
          <cell r="O4306" t="str">
            <v>Y</v>
          </cell>
          <cell r="P4306" t="str">
            <v>N</v>
          </cell>
          <cell r="Q4306" t="str">
            <v>Specials</v>
          </cell>
          <cell r="S4306">
            <v>0.3</v>
          </cell>
        </row>
        <row r="4307">
          <cell r="D4307">
            <v>1208006289</v>
          </cell>
          <cell r="E4307" t="str">
            <v>NILO DANUGO</v>
          </cell>
          <cell r="F4307" t="str">
            <v>D (Ch)</v>
          </cell>
          <cell r="G4307">
            <v>17766</v>
          </cell>
          <cell r="H4307" t="str">
            <v>Choice</v>
          </cell>
          <cell r="I4307">
            <v>0.84375</v>
          </cell>
          <cell r="J4307">
            <v>0.3125</v>
          </cell>
          <cell r="K4307">
            <v>10.25</v>
          </cell>
          <cell r="L4307">
            <v>324.73</v>
          </cell>
          <cell r="O4307" t="str">
            <v>Y</v>
          </cell>
          <cell r="P4307" t="str">
            <v>N</v>
          </cell>
          <cell r="Q4307" t="str">
            <v>Short Term Sick</v>
          </cell>
          <cell r="S4307">
            <v>0.27</v>
          </cell>
        </row>
        <row r="4308">
          <cell r="D4308">
            <v>1108005580</v>
          </cell>
          <cell r="E4308" t="str">
            <v>NKOSI BHEBHE</v>
          </cell>
          <cell r="F4308" t="str">
            <v>D (Amb)</v>
          </cell>
          <cell r="G4308">
            <v>772114</v>
          </cell>
          <cell r="H4308" t="str">
            <v>Ambition</v>
          </cell>
          <cell r="I4308">
            <v>0.625</v>
          </cell>
          <cell r="J4308">
            <v>0.875</v>
          </cell>
          <cell r="K4308">
            <v>5.75</v>
          </cell>
          <cell r="L4308">
            <v>224.83</v>
          </cell>
          <cell r="O4308" t="str">
            <v>Y</v>
          </cell>
          <cell r="P4308" t="str">
            <v>N</v>
          </cell>
          <cell r="Q4308" t="str">
            <v>Vacancy</v>
          </cell>
          <cell r="S4308">
            <v>0.15</v>
          </cell>
        </row>
        <row r="4309">
          <cell r="D4309">
            <v>1208004844</v>
          </cell>
          <cell r="E4309" t="str">
            <v>OMAR SENGHORE</v>
          </cell>
          <cell r="F4309" t="str">
            <v>D (MD)</v>
          </cell>
          <cell r="G4309">
            <v>355357</v>
          </cell>
          <cell r="H4309" t="str">
            <v>Mayday</v>
          </cell>
          <cell r="I4309">
            <v>0.8125</v>
          </cell>
          <cell r="J4309">
            <v>0.33333333333333331</v>
          </cell>
          <cell r="K4309">
            <v>11.83333333</v>
          </cell>
          <cell r="L4309">
            <v>496.73</v>
          </cell>
          <cell r="O4309" t="str">
            <v>Y</v>
          </cell>
          <cell r="P4309" t="str">
            <v>N</v>
          </cell>
          <cell r="Q4309" t="str">
            <v>Extra Capacity</v>
          </cell>
          <cell r="S4309">
            <v>0.32</v>
          </cell>
        </row>
        <row r="4310">
          <cell r="D4310">
            <v>1208006808</v>
          </cell>
          <cell r="E4310" t="str">
            <v>RACHEL OBERDOFF</v>
          </cell>
          <cell r="F4310" t="str">
            <v>D (MD)</v>
          </cell>
          <cell r="G4310">
            <v>355373</v>
          </cell>
          <cell r="H4310" t="str">
            <v>Mayday</v>
          </cell>
          <cell r="I4310">
            <v>0.3125</v>
          </cell>
          <cell r="J4310">
            <v>0.85416666666666663</v>
          </cell>
          <cell r="K4310">
            <v>12.33333333</v>
          </cell>
          <cell r="L4310">
            <v>398.24</v>
          </cell>
          <cell r="O4310" t="str">
            <v>Y</v>
          </cell>
          <cell r="P4310" t="str">
            <v>N</v>
          </cell>
          <cell r="Q4310" t="str">
            <v>Extra Capacity</v>
          </cell>
          <cell r="S4310">
            <v>0.33</v>
          </cell>
        </row>
        <row r="4311">
          <cell r="D4311">
            <v>1208006215</v>
          </cell>
          <cell r="E4311" t="str">
            <v>RAMANI THOMAS</v>
          </cell>
          <cell r="F4311" t="str">
            <v>D (MD)</v>
          </cell>
          <cell r="H4311" t="str">
            <v>Mayday</v>
          </cell>
          <cell r="I4311">
            <v>0.83333333333333337</v>
          </cell>
          <cell r="J4311">
            <v>0.33333333333333331</v>
          </cell>
          <cell r="K4311">
            <v>11</v>
          </cell>
          <cell r="L4311">
            <v>461.75</v>
          </cell>
          <cell r="O4311" t="str">
            <v>Y</v>
          </cell>
          <cell r="P4311" t="str">
            <v>N</v>
          </cell>
          <cell r="Q4311" t="str">
            <v>Acuity</v>
          </cell>
          <cell r="S4311">
            <v>0.28999999999999998</v>
          </cell>
        </row>
        <row r="4312">
          <cell r="D4312">
            <v>1208003916</v>
          </cell>
          <cell r="E4312" t="str">
            <v>RIAZ AHMED</v>
          </cell>
          <cell r="F4312" t="str">
            <v>D/5 Mental (Med</v>
          </cell>
          <cell r="G4312" t="str">
            <v>604-163404</v>
          </cell>
          <cell r="H4312" t="str">
            <v>Medacs</v>
          </cell>
          <cell r="I4312">
            <v>0.29166666666666669</v>
          </cell>
          <cell r="J4312">
            <v>0.625</v>
          </cell>
          <cell r="K4312">
            <v>7.6666666670000003</v>
          </cell>
          <cell r="L4312">
            <v>141.30000000000001</v>
          </cell>
          <cell r="O4312" t="str">
            <v>Y</v>
          </cell>
          <cell r="P4312" t="str">
            <v>N</v>
          </cell>
          <cell r="Q4312" t="str">
            <v>Specials</v>
          </cell>
          <cell r="S4312">
            <v>0.2</v>
          </cell>
        </row>
        <row r="4313">
          <cell r="D4313">
            <v>1208003917</v>
          </cell>
          <cell r="E4313" t="str">
            <v>RIAZ AHMED</v>
          </cell>
          <cell r="F4313" t="str">
            <v>D/5 Mental (Med</v>
          </cell>
          <cell r="G4313" t="str">
            <v>604-163404</v>
          </cell>
          <cell r="H4313" t="str">
            <v>Medacs</v>
          </cell>
          <cell r="I4313">
            <v>0.625</v>
          </cell>
          <cell r="J4313">
            <v>0.88541666666666663</v>
          </cell>
          <cell r="K4313">
            <v>5.9166666670000003</v>
          </cell>
          <cell r="L4313">
            <v>109.04</v>
          </cell>
          <cell r="O4313" t="str">
            <v>Y</v>
          </cell>
          <cell r="P4313" t="str">
            <v>N</v>
          </cell>
          <cell r="Q4313" t="str">
            <v>Specials</v>
          </cell>
          <cell r="S4313">
            <v>0.16</v>
          </cell>
        </row>
        <row r="4314">
          <cell r="D4314">
            <v>1208006406</v>
          </cell>
          <cell r="E4314" t="str">
            <v>RITCHIE RUBIA</v>
          </cell>
          <cell r="F4314" t="str">
            <v>D (Ch)</v>
          </cell>
          <cell r="G4314">
            <v>17800</v>
          </cell>
          <cell r="H4314" t="str">
            <v>Choice</v>
          </cell>
          <cell r="I4314">
            <v>0.83333333333333337</v>
          </cell>
          <cell r="J4314">
            <v>0.33333333333333331</v>
          </cell>
          <cell r="K4314">
            <v>11</v>
          </cell>
          <cell r="L4314">
            <v>348.49</v>
          </cell>
          <cell r="O4314" t="str">
            <v>Y</v>
          </cell>
          <cell r="P4314" t="str">
            <v>N</v>
          </cell>
          <cell r="Q4314" t="str">
            <v>Vacancy</v>
          </cell>
          <cell r="S4314">
            <v>0.28999999999999998</v>
          </cell>
        </row>
        <row r="4315">
          <cell r="D4315">
            <v>1208006407</v>
          </cell>
          <cell r="E4315" t="str">
            <v>RODA RAMERIZ</v>
          </cell>
          <cell r="F4315" t="str">
            <v>D (Ch)</v>
          </cell>
          <cell r="G4315">
            <v>17794</v>
          </cell>
          <cell r="H4315" t="str">
            <v>Choice</v>
          </cell>
          <cell r="I4315">
            <v>0.83333333333333337</v>
          </cell>
          <cell r="J4315">
            <v>0.33333333333333331</v>
          </cell>
          <cell r="K4315">
            <v>11.33333333</v>
          </cell>
          <cell r="L4315">
            <v>359.05</v>
          </cell>
          <cell r="O4315" t="str">
            <v>Y</v>
          </cell>
          <cell r="P4315" t="str">
            <v>N</v>
          </cell>
          <cell r="Q4315" t="str">
            <v>Vacancy</v>
          </cell>
          <cell r="S4315">
            <v>0.3</v>
          </cell>
        </row>
        <row r="4316">
          <cell r="D4316">
            <v>1208004227</v>
          </cell>
          <cell r="E4316" t="str">
            <v>SAM KELEM</v>
          </cell>
          <cell r="F4316" t="str">
            <v>D (Ch)</v>
          </cell>
          <cell r="H4316" t="str">
            <v>Choice</v>
          </cell>
          <cell r="I4316">
            <v>0.84375</v>
          </cell>
          <cell r="J4316">
            <v>0.3125</v>
          </cell>
          <cell r="K4316">
            <v>10.25</v>
          </cell>
          <cell r="L4316">
            <v>324.73</v>
          </cell>
          <cell r="O4316" t="str">
            <v>Y</v>
          </cell>
          <cell r="P4316" t="str">
            <v>N</v>
          </cell>
          <cell r="Q4316" t="str">
            <v>Under Established</v>
          </cell>
          <cell r="S4316">
            <v>0.27</v>
          </cell>
        </row>
        <row r="4317">
          <cell r="D4317">
            <v>1108005959</v>
          </cell>
          <cell r="E4317" t="str">
            <v>SEREELETSO MAITIYO</v>
          </cell>
          <cell r="F4317" t="str">
            <v>D (Ch)</v>
          </cell>
          <cell r="H4317" t="str">
            <v>Choice</v>
          </cell>
          <cell r="I4317">
            <v>0.5625</v>
          </cell>
          <cell r="J4317">
            <v>0.85416666666666663</v>
          </cell>
          <cell r="K4317">
            <v>6.6666666670000003</v>
          </cell>
          <cell r="L4317">
            <v>162.47</v>
          </cell>
          <cell r="O4317" t="str">
            <v>Y</v>
          </cell>
          <cell r="P4317" t="str">
            <v>N</v>
          </cell>
          <cell r="Q4317" t="str">
            <v>Under Established</v>
          </cell>
          <cell r="S4317">
            <v>0.18</v>
          </cell>
        </row>
        <row r="4318">
          <cell r="D4318">
            <v>1208000383</v>
          </cell>
          <cell r="E4318" t="str">
            <v>SHEPHERD CHIWANZA</v>
          </cell>
          <cell r="F4318" t="str">
            <v>A (Ch)</v>
          </cell>
          <cell r="G4318">
            <v>17768</v>
          </cell>
          <cell r="H4318" t="str">
            <v>Choice</v>
          </cell>
          <cell r="I4318">
            <v>0.5625</v>
          </cell>
          <cell r="J4318">
            <v>0.85416666666666663</v>
          </cell>
          <cell r="K4318">
            <v>6.6666666670000003</v>
          </cell>
          <cell r="L4318">
            <v>73.930000000000007</v>
          </cell>
          <cell r="O4318" t="str">
            <v>Y</v>
          </cell>
          <cell r="P4318" t="str">
            <v>N</v>
          </cell>
          <cell r="Q4318" t="str">
            <v>Annual Leave</v>
          </cell>
          <cell r="S4318">
            <v>0.18</v>
          </cell>
        </row>
        <row r="4319">
          <cell r="D4319">
            <v>1208006043</v>
          </cell>
          <cell r="E4319" t="str">
            <v>SINDISO MOYO</v>
          </cell>
          <cell r="F4319" t="str">
            <v>D (Amb)</v>
          </cell>
          <cell r="G4319">
            <v>772085</v>
          </cell>
          <cell r="H4319" t="str">
            <v>Ambition</v>
          </cell>
          <cell r="I4319">
            <v>0.3125</v>
          </cell>
          <cell r="J4319">
            <v>0.54166666666666663</v>
          </cell>
          <cell r="K4319">
            <v>5.5</v>
          </cell>
          <cell r="L4319">
            <v>215.05</v>
          </cell>
          <cell r="O4319" t="str">
            <v>Y</v>
          </cell>
          <cell r="P4319" t="str">
            <v>N</v>
          </cell>
          <cell r="Q4319" t="str">
            <v>Short Term Sick</v>
          </cell>
          <cell r="S4319">
            <v>0.15</v>
          </cell>
        </row>
        <row r="4320">
          <cell r="D4320">
            <v>1208006044</v>
          </cell>
          <cell r="E4320" t="str">
            <v>SINDISO MOYO</v>
          </cell>
          <cell r="F4320" t="str">
            <v>D (Amb)</v>
          </cell>
          <cell r="G4320">
            <v>772085</v>
          </cell>
          <cell r="H4320" t="str">
            <v>Ambition</v>
          </cell>
          <cell r="I4320">
            <v>0.625</v>
          </cell>
          <cell r="J4320">
            <v>0.85416666666666663</v>
          </cell>
          <cell r="K4320">
            <v>5.5</v>
          </cell>
          <cell r="L4320">
            <v>215.05</v>
          </cell>
          <cell r="O4320" t="str">
            <v>Y</v>
          </cell>
          <cell r="P4320" t="str">
            <v>N</v>
          </cell>
          <cell r="Q4320" t="str">
            <v>Short Term Sick</v>
          </cell>
          <cell r="S4320">
            <v>0.15</v>
          </cell>
        </row>
        <row r="4321">
          <cell r="D4321">
            <v>1208006040</v>
          </cell>
          <cell r="E4321" t="str">
            <v>TONDERA MAKAZA</v>
          </cell>
          <cell r="F4321" t="str">
            <v>A (Ch)</v>
          </cell>
          <cell r="G4321">
            <v>17777</v>
          </cell>
          <cell r="H4321" t="str">
            <v>Choice</v>
          </cell>
          <cell r="I4321">
            <v>0.83333333333333337</v>
          </cell>
          <cell r="J4321">
            <v>0.33333333333333331</v>
          </cell>
          <cell r="K4321">
            <v>11</v>
          </cell>
          <cell r="L4321">
            <v>162.65</v>
          </cell>
          <cell r="O4321" t="str">
            <v>Y</v>
          </cell>
          <cell r="P4321" t="str">
            <v>N</v>
          </cell>
          <cell r="Q4321" t="str">
            <v>Short Term Sick</v>
          </cell>
          <cell r="S4321">
            <v>0.28999999999999998</v>
          </cell>
        </row>
        <row r="4322">
          <cell r="D4322">
            <v>1208002829</v>
          </cell>
          <cell r="E4322" t="str">
            <v>VICTORIA ANIKINA</v>
          </cell>
          <cell r="F4322" t="str">
            <v>D (Amb)</v>
          </cell>
          <cell r="G4322">
            <v>772121</v>
          </cell>
          <cell r="H4322" t="str">
            <v>Ambition</v>
          </cell>
          <cell r="I4322">
            <v>0.3125</v>
          </cell>
          <cell r="J4322">
            <v>0.60416666666666663</v>
          </cell>
          <cell r="K4322">
            <v>6.6666666670000003</v>
          </cell>
          <cell r="L4322">
            <v>260.67</v>
          </cell>
          <cell r="O4322" t="str">
            <v>Y</v>
          </cell>
          <cell r="P4322" t="str">
            <v>N</v>
          </cell>
          <cell r="Q4322" t="str">
            <v>Vacancy</v>
          </cell>
          <cell r="S4322">
            <v>0.18</v>
          </cell>
        </row>
        <row r="4323">
          <cell r="D4323">
            <v>1208003918</v>
          </cell>
          <cell r="E4323" t="str">
            <v>ALLI SUBRAMANIAM</v>
          </cell>
          <cell r="F4323" t="str">
            <v>D (MD)</v>
          </cell>
          <cell r="G4323">
            <v>355407</v>
          </cell>
          <cell r="H4323" t="str">
            <v>Mayday</v>
          </cell>
          <cell r="I4323">
            <v>0.3125</v>
          </cell>
          <cell r="J4323">
            <v>0.60416666666666663</v>
          </cell>
          <cell r="K4323">
            <v>6.6666666670000003</v>
          </cell>
          <cell r="L4323">
            <v>279.85000000000002</v>
          </cell>
          <cell r="O4323" t="str">
            <v>Y</v>
          </cell>
          <cell r="P4323" t="str">
            <v>N</v>
          </cell>
          <cell r="Q4323" t="str">
            <v>Extra Capacity</v>
          </cell>
          <cell r="S4323">
            <v>0.18</v>
          </cell>
        </row>
        <row r="4324">
          <cell r="D4324">
            <v>1208003924</v>
          </cell>
          <cell r="E4324" t="str">
            <v>ALLI SUBRAMANIAM</v>
          </cell>
          <cell r="F4324" t="str">
            <v>D (MD)</v>
          </cell>
          <cell r="G4324">
            <v>355407</v>
          </cell>
          <cell r="H4324" t="str">
            <v>Mayday</v>
          </cell>
          <cell r="I4324">
            <v>0.60416666666666663</v>
          </cell>
          <cell r="J4324">
            <v>0.83333333333333337</v>
          </cell>
          <cell r="K4324">
            <v>5.5</v>
          </cell>
          <cell r="L4324">
            <v>230.87</v>
          </cell>
          <cell r="O4324" t="str">
            <v>Y</v>
          </cell>
          <cell r="P4324" t="str">
            <v>N</v>
          </cell>
          <cell r="Q4324" t="str">
            <v>Extra Capacity</v>
          </cell>
          <cell r="S4324">
            <v>0.15</v>
          </cell>
        </row>
        <row r="4325">
          <cell r="D4325">
            <v>1208002988</v>
          </cell>
          <cell r="E4325" t="str">
            <v>BESSA CHITAMBO</v>
          </cell>
          <cell r="F4325" t="str">
            <v>D (Ch)</v>
          </cell>
          <cell r="G4325">
            <v>17776</v>
          </cell>
          <cell r="H4325" t="str">
            <v>Choice</v>
          </cell>
          <cell r="I4325">
            <v>0.83333333333333337</v>
          </cell>
          <cell r="J4325">
            <v>0.33333333333333331</v>
          </cell>
          <cell r="K4325">
            <v>11.33333333</v>
          </cell>
          <cell r="L4325">
            <v>359.05</v>
          </cell>
          <cell r="O4325" t="str">
            <v>Y</v>
          </cell>
          <cell r="P4325" t="str">
            <v>N</v>
          </cell>
          <cell r="Q4325" t="str">
            <v>Extra Capacity</v>
          </cell>
          <cell r="S4325">
            <v>0.3</v>
          </cell>
        </row>
        <row r="4326">
          <cell r="D4326">
            <v>1208003921</v>
          </cell>
          <cell r="E4326" t="str">
            <v>BIDDY CHAFESUKA</v>
          </cell>
          <cell r="F4326" t="str">
            <v>D (Ch)</v>
          </cell>
          <cell r="G4326">
            <v>17786</v>
          </cell>
          <cell r="H4326" t="str">
            <v>Choice</v>
          </cell>
          <cell r="I4326">
            <v>0.3125</v>
          </cell>
          <cell r="J4326">
            <v>0.60416666666666663</v>
          </cell>
          <cell r="K4326">
            <v>6.6666666670000003</v>
          </cell>
          <cell r="L4326">
            <v>211.21</v>
          </cell>
          <cell r="O4326" t="str">
            <v>Y</v>
          </cell>
          <cell r="P4326" t="str">
            <v>N</v>
          </cell>
          <cell r="Q4326" t="str">
            <v>Extra Capacity</v>
          </cell>
          <cell r="S4326">
            <v>0.18</v>
          </cell>
        </row>
        <row r="4327">
          <cell r="D4327">
            <v>1208006046</v>
          </cell>
          <cell r="E4327" t="str">
            <v>BIDDY CHAFESUKA</v>
          </cell>
          <cell r="F4327" t="str">
            <v>D (Ch)</v>
          </cell>
          <cell r="G4327">
            <v>17786</v>
          </cell>
          <cell r="H4327" t="str">
            <v>Choice</v>
          </cell>
          <cell r="I4327">
            <v>0.625</v>
          </cell>
          <cell r="J4327">
            <v>0.85416666666666663</v>
          </cell>
          <cell r="K4327">
            <v>5.5</v>
          </cell>
          <cell r="L4327">
            <v>174.25</v>
          </cell>
          <cell r="O4327" t="str">
            <v>Y</v>
          </cell>
          <cell r="P4327" t="str">
            <v>N</v>
          </cell>
          <cell r="Q4327" t="str">
            <v>Short Term Sick</v>
          </cell>
          <cell r="S4327">
            <v>0.15</v>
          </cell>
        </row>
        <row r="4328">
          <cell r="D4328">
            <v>1208003672</v>
          </cell>
          <cell r="E4328" t="str">
            <v>BONNIE TWALA</v>
          </cell>
          <cell r="F4328" t="str">
            <v>D (Amb)</v>
          </cell>
          <cell r="G4328">
            <v>772154</v>
          </cell>
          <cell r="H4328" t="str">
            <v>Ambition</v>
          </cell>
          <cell r="I4328">
            <v>0.82291666666666663</v>
          </cell>
          <cell r="J4328">
            <v>0.34375</v>
          </cell>
          <cell r="K4328">
            <v>11.5</v>
          </cell>
          <cell r="L4328">
            <v>584.54999999999995</v>
          </cell>
          <cell r="O4328" t="str">
            <v>Y</v>
          </cell>
          <cell r="P4328" t="str">
            <v>N</v>
          </cell>
          <cell r="Q4328" t="str">
            <v>Escort</v>
          </cell>
          <cell r="S4328">
            <v>0.31</v>
          </cell>
        </row>
        <row r="4329">
          <cell r="D4329">
            <v>1208006814</v>
          </cell>
          <cell r="E4329" t="str">
            <v>CARMEN MAURICIO</v>
          </cell>
          <cell r="F4329" t="str">
            <v>D (MD)</v>
          </cell>
          <cell r="G4329">
            <v>354968</v>
          </cell>
          <cell r="H4329" t="str">
            <v>Mayday</v>
          </cell>
          <cell r="I4329">
            <v>0.83333333333333337</v>
          </cell>
          <cell r="J4329">
            <v>0.33333333333333331</v>
          </cell>
          <cell r="K4329">
            <v>11</v>
          </cell>
          <cell r="L4329">
            <v>461.75</v>
          </cell>
          <cell r="O4329" t="str">
            <v>Y</v>
          </cell>
          <cell r="P4329" t="str">
            <v>N</v>
          </cell>
          <cell r="Q4329" t="str">
            <v>Extra Capacity</v>
          </cell>
          <cell r="S4329">
            <v>0.28999999999999998</v>
          </cell>
        </row>
        <row r="4330">
          <cell r="D4330">
            <v>1108005020</v>
          </cell>
          <cell r="E4330" t="str">
            <v>CHRIS STULAR</v>
          </cell>
          <cell r="F4330" t="str">
            <v>D General (Orio</v>
          </cell>
          <cell r="G4330" t="str">
            <v>Invsd Smt checked</v>
          </cell>
          <cell r="H4330" t="str">
            <v>Orion</v>
          </cell>
          <cell r="I4330">
            <v>0.33333333333333331</v>
          </cell>
          <cell r="J4330">
            <v>0.75</v>
          </cell>
          <cell r="K4330">
            <v>9.5</v>
          </cell>
          <cell r="L4330">
            <v>223.78</v>
          </cell>
          <cell r="O4330" t="str">
            <v>Y</v>
          </cell>
          <cell r="P4330" t="str">
            <v>N</v>
          </cell>
          <cell r="Q4330" t="str">
            <v>Backfill</v>
          </cell>
          <cell r="S4330">
            <v>0.25</v>
          </cell>
        </row>
        <row r="4331">
          <cell r="D4331">
            <v>1208003931</v>
          </cell>
          <cell r="E4331" t="str">
            <v>CYNTHIA DELMO</v>
          </cell>
          <cell r="F4331" t="str">
            <v>D (Ch)</v>
          </cell>
          <cell r="G4331">
            <v>17780</v>
          </cell>
          <cell r="H4331" t="str">
            <v>Choice</v>
          </cell>
          <cell r="I4331">
            <v>0.83333333333333337</v>
          </cell>
          <cell r="J4331">
            <v>0.33333333333333331</v>
          </cell>
          <cell r="K4331">
            <v>11.33333333</v>
          </cell>
          <cell r="L4331">
            <v>359.05</v>
          </cell>
          <cell r="O4331" t="str">
            <v>Y</v>
          </cell>
          <cell r="P4331" t="str">
            <v>N</v>
          </cell>
          <cell r="Q4331" t="str">
            <v>Extra Capacity</v>
          </cell>
          <cell r="S4331">
            <v>0.3</v>
          </cell>
        </row>
        <row r="4332">
          <cell r="D4332">
            <v>1208000385</v>
          </cell>
          <cell r="E4332" t="str">
            <v>DAMILOLA AIKI</v>
          </cell>
          <cell r="F4332" t="str">
            <v>A (Ch)</v>
          </cell>
          <cell r="H4332" t="str">
            <v>Choice</v>
          </cell>
          <cell r="I4332">
            <v>0.3125</v>
          </cell>
          <cell r="J4332">
            <v>0.5625</v>
          </cell>
          <cell r="K4332">
            <v>5.6666666670000003</v>
          </cell>
          <cell r="L4332">
            <v>83.79</v>
          </cell>
          <cell r="O4332" t="str">
            <v>Y</v>
          </cell>
          <cell r="P4332" t="str">
            <v>N</v>
          </cell>
          <cell r="Q4332" t="str">
            <v>Under Established</v>
          </cell>
          <cell r="S4332">
            <v>0.15</v>
          </cell>
        </row>
        <row r="4333">
          <cell r="D4333">
            <v>1208000387</v>
          </cell>
          <cell r="E4333" t="str">
            <v>DAMILOLA AIKI</v>
          </cell>
          <cell r="F4333" t="str">
            <v>A (Ch)</v>
          </cell>
          <cell r="G4333">
            <v>17768</v>
          </cell>
          <cell r="H4333" t="str">
            <v>Choice</v>
          </cell>
          <cell r="I4333">
            <v>0.5625</v>
          </cell>
          <cell r="J4333">
            <v>0.85416666666666663</v>
          </cell>
          <cell r="K4333">
            <v>6.6666666670000003</v>
          </cell>
          <cell r="L4333">
            <v>98.58</v>
          </cell>
          <cell r="O4333" t="str">
            <v>Y</v>
          </cell>
          <cell r="P4333" t="str">
            <v>N</v>
          </cell>
          <cell r="Q4333" t="str">
            <v>Under Established</v>
          </cell>
          <cell r="S4333">
            <v>0.18</v>
          </cell>
        </row>
        <row r="4334">
          <cell r="D4334">
            <v>1208003928</v>
          </cell>
          <cell r="E4334" t="str">
            <v>DENNIS HEBRON</v>
          </cell>
          <cell r="F4334" t="str">
            <v>D (Ch)</v>
          </cell>
          <cell r="G4334">
            <v>17782</v>
          </cell>
          <cell r="H4334" t="str">
            <v>Choice</v>
          </cell>
          <cell r="I4334">
            <v>0.83333333333333337</v>
          </cell>
          <cell r="J4334">
            <v>0.33333333333333331</v>
          </cell>
          <cell r="K4334">
            <v>11.33333333</v>
          </cell>
          <cell r="L4334">
            <v>359.05</v>
          </cell>
          <cell r="O4334" t="str">
            <v>Y</v>
          </cell>
          <cell r="P4334" t="str">
            <v>N</v>
          </cell>
          <cell r="Q4334" t="str">
            <v>Extra Capacity</v>
          </cell>
          <cell r="S4334">
            <v>0.3</v>
          </cell>
        </row>
        <row r="4335">
          <cell r="D4335">
            <v>1208000386</v>
          </cell>
          <cell r="E4335" t="str">
            <v>DOROTHY MUTEMWA</v>
          </cell>
          <cell r="F4335" t="str">
            <v>A (Ch)</v>
          </cell>
          <cell r="G4335">
            <v>17768</v>
          </cell>
          <cell r="H4335" t="str">
            <v>Choice</v>
          </cell>
          <cell r="I4335">
            <v>0.3125</v>
          </cell>
          <cell r="J4335">
            <v>0.5625</v>
          </cell>
          <cell r="K4335">
            <v>5.6666666670000003</v>
          </cell>
          <cell r="L4335">
            <v>83.79</v>
          </cell>
          <cell r="O4335" t="str">
            <v>Y</v>
          </cell>
          <cell r="P4335" t="str">
            <v>N</v>
          </cell>
          <cell r="Q4335" t="str">
            <v>Under Established</v>
          </cell>
          <cell r="S4335">
            <v>0.15</v>
          </cell>
        </row>
        <row r="4336">
          <cell r="D4336">
            <v>1208006411</v>
          </cell>
          <cell r="E4336" t="str">
            <v>DOROTHY MUTEMWA</v>
          </cell>
          <cell r="F4336" t="str">
            <v>A (Ch)</v>
          </cell>
          <cell r="G4336">
            <v>17768</v>
          </cell>
          <cell r="H4336" t="str">
            <v>Choice</v>
          </cell>
          <cell r="I4336">
            <v>0.625</v>
          </cell>
          <cell r="J4336">
            <v>0.875</v>
          </cell>
          <cell r="K4336">
            <v>5.6666666670000003</v>
          </cell>
          <cell r="L4336">
            <v>83.79</v>
          </cell>
          <cell r="O4336" t="str">
            <v>Y</v>
          </cell>
          <cell r="P4336" t="str">
            <v>N</v>
          </cell>
          <cell r="Q4336" t="str">
            <v>Short Term Sick</v>
          </cell>
          <cell r="S4336">
            <v>0.15</v>
          </cell>
        </row>
        <row r="4337">
          <cell r="D4337">
            <v>1208003919</v>
          </cell>
          <cell r="E4337" t="str">
            <v>EMMANUEL SALAKO</v>
          </cell>
          <cell r="F4337" t="str">
            <v>D (MD)</v>
          </cell>
          <cell r="G4337">
            <v>354248</v>
          </cell>
          <cell r="H4337" t="str">
            <v>Mayday</v>
          </cell>
          <cell r="I4337">
            <v>0.3125</v>
          </cell>
          <cell r="J4337">
            <v>0.60416666666666663</v>
          </cell>
          <cell r="K4337">
            <v>6.6666666670000003</v>
          </cell>
          <cell r="L4337">
            <v>279.85000000000002</v>
          </cell>
          <cell r="O4337" t="str">
            <v>Y</v>
          </cell>
          <cell r="P4337" t="str">
            <v>N</v>
          </cell>
          <cell r="Q4337" t="str">
            <v>Extra Capacity</v>
          </cell>
          <cell r="S4337">
            <v>0.18</v>
          </cell>
        </row>
        <row r="4338">
          <cell r="D4338">
            <v>1208003925</v>
          </cell>
          <cell r="E4338" t="str">
            <v>EMMANUEL SALAKO</v>
          </cell>
          <cell r="F4338" t="str">
            <v>D (MD)</v>
          </cell>
          <cell r="G4338">
            <v>354248</v>
          </cell>
          <cell r="H4338" t="str">
            <v>Mayday</v>
          </cell>
          <cell r="I4338">
            <v>0.60416666666666663</v>
          </cell>
          <cell r="J4338">
            <v>0.83333333333333337</v>
          </cell>
          <cell r="K4338">
            <v>5.5</v>
          </cell>
          <cell r="L4338">
            <v>230.87</v>
          </cell>
          <cell r="O4338" t="str">
            <v>Y</v>
          </cell>
          <cell r="P4338" t="str">
            <v>N</v>
          </cell>
          <cell r="Q4338" t="str">
            <v>Extra Capacity</v>
          </cell>
          <cell r="S4338">
            <v>0.15</v>
          </cell>
        </row>
        <row r="4339">
          <cell r="D4339">
            <v>1208003932</v>
          </cell>
          <cell r="E4339" t="str">
            <v>EUNICE ADEBANJO</v>
          </cell>
          <cell r="F4339" t="str">
            <v>D (Ch)</v>
          </cell>
          <cell r="H4339" t="str">
            <v>Choice</v>
          </cell>
          <cell r="I4339">
            <v>0.83333333333333337</v>
          </cell>
          <cell r="J4339">
            <v>0.33333333333333331</v>
          </cell>
          <cell r="K4339">
            <v>11.33333333</v>
          </cell>
          <cell r="L4339">
            <v>359.05</v>
          </cell>
          <cell r="O4339" t="str">
            <v>Y</v>
          </cell>
          <cell r="P4339" t="str">
            <v>N</v>
          </cell>
          <cell r="Q4339" t="str">
            <v>Extra Capacity</v>
          </cell>
          <cell r="S4339">
            <v>0.3</v>
          </cell>
        </row>
        <row r="4340">
          <cell r="D4340">
            <v>1108005661</v>
          </cell>
          <cell r="E4340" t="str">
            <v>FIONA DURKIN-GREER</v>
          </cell>
          <cell r="F4340" t="str">
            <v>D (MD)</v>
          </cell>
          <cell r="G4340">
            <v>356844</v>
          </cell>
          <cell r="H4340" t="str">
            <v>Mayday</v>
          </cell>
          <cell r="I4340">
            <v>0.3125</v>
          </cell>
          <cell r="J4340">
            <v>0.5625</v>
          </cell>
          <cell r="K4340">
            <v>5.6666666670000003</v>
          </cell>
          <cell r="L4340">
            <v>237.87</v>
          </cell>
          <cell r="O4340" t="str">
            <v>Y</v>
          </cell>
          <cell r="P4340" t="str">
            <v>N</v>
          </cell>
          <cell r="Q4340" t="str">
            <v>Vacancy</v>
          </cell>
          <cell r="S4340">
            <v>0.15</v>
          </cell>
        </row>
        <row r="4341">
          <cell r="D4341">
            <v>1208005105</v>
          </cell>
          <cell r="E4341" t="str">
            <v>GEORGE MALETE</v>
          </cell>
          <cell r="F4341" t="str">
            <v>A (Ch)</v>
          </cell>
          <cell r="G4341">
            <v>18082</v>
          </cell>
          <cell r="H4341" t="str">
            <v>Choice</v>
          </cell>
          <cell r="I4341">
            <v>0.3125</v>
          </cell>
          <cell r="J4341">
            <v>0.5625</v>
          </cell>
          <cell r="K4341">
            <v>5.6666666670000003</v>
          </cell>
          <cell r="L4341">
            <v>83.79</v>
          </cell>
          <cell r="O4341" t="str">
            <v>Y</v>
          </cell>
          <cell r="P4341" t="str">
            <v>N</v>
          </cell>
          <cell r="Q4341" t="str">
            <v>Short Term Sick</v>
          </cell>
          <cell r="S4341">
            <v>0.15</v>
          </cell>
        </row>
        <row r="4342">
          <cell r="D4342">
            <v>1208006817</v>
          </cell>
          <cell r="E4342" t="str">
            <v>JAMES MCCLEMENTS</v>
          </cell>
          <cell r="F4342" t="str">
            <v>D (MD)</v>
          </cell>
          <cell r="G4342">
            <v>356854</v>
          </cell>
          <cell r="H4342" t="str">
            <v>Mayday</v>
          </cell>
          <cell r="I4342">
            <v>0.3125</v>
          </cell>
          <cell r="J4342">
            <v>0.85416666666666663</v>
          </cell>
          <cell r="K4342">
            <v>12.33333333</v>
          </cell>
          <cell r="L4342">
            <v>517.72</v>
          </cell>
          <cell r="O4342" t="str">
            <v>Y</v>
          </cell>
          <cell r="P4342" t="str">
            <v>N</v>
          </cell>
          <cell r="Q4342" t="str">
            <v>Extra Capacity</v>
          </cell>
          <cell r="S4342">
            <v>0.33</v>
          </cell>
        </row>
        <row r="4343">
          <cell r="D4343">
            <v>1208007523</v>
          </cell>
          <cell r="E4343" t="str">
            <v>JOSEPHINE MOLLOY</v>
          </cell>
          <cell r="F4343" t="str">
            <v>D (Amb)</v>
          </cell>
          <cell r="G4343">
            <v>772161</v>
          </cell>
          <cell r="H4343" t="str">
            <v>Ambition</v>
          </cell>
          <cell r="I4343">
            <v>0.8125</v>
          </cell>
          <cell r="J4343">
            <v>0.33333333333333331</v>
          </cell>
          <cell r="K4343">
            <v>11.83333333</v>
          </cell>
          <cell r="L4343">
            <v>601.49</v>
          </cell>
          <cell r="O4343" t="str">
            <v>Y</v>
          </cell>
          <cell r="P4343" t="str">
            <v>N</v>
          </cell>
          <cell r="Q4343" t="str">
            <v>Extra Capacity</v>
          </cell>
          <cell r="S4343">
            <v>0.32</v>
          </cell>
        </row>
        <row r="4344">
          <cell r="D4344">
            <v>1208005394</v>
          </cell>
          <cell r="E4344" t="str">
            <v>KUDA SAMURIWO</v>
          </cell>
          <cell r="F4344" t="str">
            <v>A (Ch)</v>
          </cell>
          <cell r="H4344" t="str">
            <v>Choice</v>
          </cell>
          <cell r="I4344">
            <v>0.3125</v>
          </cell>
          <cell r="J4344">
            <v>0.64583333333333337</v>
          </cell>
          <cell r="K4344">
            <v>7.6666666670000003</v>
          </cell>
          <cell r="L4344">
            <v>113.36</v>
          </cell>
          <cell r="O4344" t="str">
            <v>Y</v>
          </cell>
          <cell r="P4344" t="str">
            <v>N</v>
          </cell>
          <cell r="Q4344" t="str">
            <v>Short Term Sick</v>
          </cell>
          <cell r="S4344">
            <v>0.2</v>
          </cell>
        </row>
        <row r="4345">
          <cell r="D4345">
            <v>1208005156</v>
          </cell>
          <cell r="E4345" t="str">
            <v>LETECIA LIWANE</v>
          </cell>
          <cell r="F4345" t="str">
            <v>D (Ch)</v>
          </cell>
          <cell r="G4345">
            <v>17792</v>
          </cell>
          <cell r="H4345" t="str">
            <v>Choice</v>
          </cell>
          <cell r="I4345">
            <v>0.88541666666666663</v>
          </cell>
          <cell r="J4345">
            <v>0.3125</v>
          </cell>
          <cell r="K4345">
            <v>9.25</v>
          </cell>
          <cell r="L4345">
            <v>293.05</v>
          </cell>
          <cell r="M4345">
            <v>351.98</v>
          </cell>
          <cell r="O4345" t="str">
            <v>Y</v>
          </cell>
          <cell r="P4345" t="str">
            <v>N</v>
          </cell>
          <cell r="Q4345" t="str">
            <v>Specials</v>
          </cell>
          <cell r="S4345">
            <v>0.25</v>
          </cell>
        </row>
        <row r="4346">
          <cell r="D4346">
            <v>1208006045</v>
          </cell>
          <cell r="E4346" t="str">
            <v>LILLIBETH CASTILO</v>
          </cell>
          <cell r="F4346" t="str">
            <v>D (MD)</v>
          </cell>
          <cell r="G4346">
            <v>355734</v>
          </cell>
          <cell r="H4346" t="str">
            <v>Mayday</v>
          </cell>
          <cell r="I4346">
            <v>0.3125</v>
          </cell>
          <cell r="J4346">
            <v>0.5625</v>
          </cell>
          <cell r="K4346">
            <v>5.6666666670000003</v>
          </cell>
          <cell r="L4346">
            <v>237.87</v>
          </cell>
          <cell r="O4346" t="str">
            <v>Y</v>
          </cell>
          <cell r="P4346" t="str">
            <v>N</v>
          </cell>
          <cell r="Q4346" t="str">
            <v>Short Term Sick</v>
          </cell>
          <cell r="S4346">
            <v>0.15</v>
          </cell>
        </row>
        <row r="4347">
          <cell r="D4347">
            <v>1208006235</v>
          </cell>
          <cell r="E4347" t="str">
            <v>MARGARET MUDEKUNYE</v>
          </cell>
          <cell r="F4347" t="str">
            <v>D (Ch)</v>
          </cell>
          <cell r="G4347">
            <v>17773</v>
          </cell>
          <cell r="H4347" t="str">
            <v>Choice</v>
          </cell>
          <cell r="I4347">
            <v>0.82291666666666663</v>
          </cell>
          <cell r="J4347">
            <v>0.34375</v>
          </cell>
          <cell r="K4347">
            <v>11.5</v>
          </cell>
          <cell r="L4347">
            <v>364.33</v>
          </cell>
          <cell r="O4347" t="str">
            <v>Y</v>
          </cell>
          <cell r="P4347" t="str">
            <v>N</v>
          </cell>
          <cell r="Q4347" t="str">
            <v>Short Term Sick</v>
          </cell>
          <cell r="S4347">
            <v>0.31</v>
          </cell>
        </row>
        <row r="4348">
          <cell r="D4348">
            <v>1108006101</v>
          </cell>
          <cell r="E4348" t="str">
            <v>MARIA METIU</v>
          </cell>
          <cell r="F4348" t="str">
            <v>D (Amb)</v>
          </cell>
          <cell r="G4348">
            <v>772081</v>
          </cell>
          <cell r="H4348" t="str">
            <v>Ambition</v>
          </cell>
          <cell r="I4348">
            <v>0.625</v>
          </cell>
          <cell r="J4348">
            <v>0.85416666666666663</v>
          </cell>
          <cell r="K4348">
            <v>5.5</v>
          </cell>
          <cell r="L4348">
            <v>279.57</v>
          </cell>
          <cell r="O4348" t="str">
            <v>Y</v>
          </cell>
          <cell r="P4348" t="str">
            <v>N</v>
          </cell>
          <cell r="Q4348" t="str">
            <v>Short Term Sick</v>
          </cell>
          <cell r="S4348">
            <v>0.15</v>
          </cell>
        </row>
        <row r="4349">
          <cell r="D4349">
            <v>1208006386</v>
          </cell>
          <cell r="E4349" t="str">
            <v>MERCY SIBANDA</v>
          </cell>
          <cell r="F4349" t="str">
            <v>A (Ch)</v>
          </cell>
          <cell r="G4349">
            <v>17780</v>
          </cell>
          <cell r="H4349" t="str">
            <v>Choice</v>
          </cell>
          <cell r="I4349">
            <v>0.625</v>
          </cell>
          <cell r="J4349">
            <v>0.84375</v>
          </cell>
          <cell r="K4349">
            <v>5.25</v>
          </cell>
          <cell r="L4349">
            <v>77.63</v>
          </cell>
          <cell r="O4349" t="str">
            <v>Y</v>
          </cell>
          <cell r="P4349" t="str">
            <v>N</v>
          </cell>
          <cell r="Q4349" t="str">
            <v>Short Term Sick</v>
          </cell>
          <cell r="S4349">
            <v>0.14000000000000001</v>
          </cell>
        </row>
        <row r="4350">
          <cell r="D4350">
            <v>1208005154</v>
          </cell>
          <cell r="E4350" t="str">
            <v>MIRIAM MAGWETTE</v>
          </cell>
          <cell r="F4350" t="str">
            <v>D (Ch)</v>
          </cell>
          <cell r="H4350" t="str">
            <v>Choice</v>
          </cell>
          <cell r="I4350">
            <v>0.29166666666666669</v>
          </cell>
          <cell r="J4350">
            <v>0.625</v>
          </cell>
          <cell r="K4350">
            <v>7.6666666670000003</v>
          </cell>
          <cell r="L4350">
            <v>242.89</v>
          </cell>
          <cell r="O4350" t="str">
            <v>Y</v>
          </cell>
          <cell r="P4350" t="str">
            <v>N</v>
          </cell>
          <cell r="Q4350" t="str">
            <v>Specials</v>
          </cell>
          <cell r="S4350">
            <v>0.2</v>
          </cell>
        </row>
        <row r="4351">
          <cell r="D4351">
            <v>1208005155</v>
          </cell>
          <cell r="E4351" t="str">
            <v>MIRIAM MAGWETTE</v>
          </cell>
          <cell r="F4351" t="str">
            <v>D (Ch)</v>
          </cell>
          <cell r="H4351" t="str">
            <v>Choice</v>
          </cell>
          <cell r="I4351">
            <v>0.625</v>
          </cell>
          <cell r="J4351">
            <v>0.88541666666666663</v>
          </cell>
          <cell r="K4351">
            <v>5.9166666670000003</v>
          </cell>
          <cell r="L4351">
            <v>187.45</v>
          </cell>
          <cell r="O4351" t="str">
            <v>Y</v>
          </cell>
          <cell r="P4351" t="str">
            <v>N</v>
          </cell>
          <cell r="Q4351" t="str">
            <v>Specials</v>
          </cell>
          <cell r="S4351">
            <v>0.16</v>
          </cell>
        </row>
        <row r="4352">
          <cell r="D4352">
            <v>1208005416</v>
          </cell>
          <cell r="E4352" t="str">
            <v>NKOSI BHEBHE</v>
          </cell>
          <cell r="F4352" t="str">
            <v>D (Amb)</v>
          </cell>
          <cell r="G4352">
            <v>772113</v>
          </cell>
          <cell r="H4352" t="str">
            <v>Ambition</v>
          </cell>
          <cell r="I4352">
            <v>0.625</v>
          </cell>
          <cell r="J4352">
            <v>0.85416666666666663</v>
          </cell>
          <cell r="K4352">
            <v>5.5</v>
          </cell>
          <cell r="L4352">
            <v>279.57</v>
          </cell>
          <cell r="O4352" t="str">
            <v>Y</v>
          </cell>
          <cell r="P4352" t="str">
            <v>N</v>
          </cell>
          <cell r="Q4352" t="str">
            <v>Vacancy</v>
          </cell>
          <cell r="S4352">
            <v>0.15</v>
          </cell>
        </row>
        <row r="4353">
          <cell r="D4353">
            <v>1208003930</v>
          </cell>
          <cell r="E4353" t="str">
            <v>RITCHIE RUBIA</v>
          </cell>
          <cell r="F4353" t="str">
            <v>D (Ch)</v>
          </cell>
          <cell r="G4353">
            <v>17793</v>
          </cell>
          <cell r="H4353" t="str">
            <v>Choice</v>
          </cell>
          <cell r="I4353">
            <v>0.83333333333333337</v>
          </cell>
          <cell r="J4353">
            <v>0.33333333333333331</v>
          </cell>
          <cell r="K4353">
            <v>11.33333333</v>
          </cell>
          <cell r="L4353">
            <v>359.05</v>
          </cell>
          <cell r="O4353" t="str">
            <v>Y</v>
          </cell>
          <cell r="P4353" t="str">
            <v>N</v>
          </cell>
          <cell r="Q4353" t="str">
            <v>Extra Capacity</v>
          </cell>
          <cell r="S4353">
            <v>0.3</v>
          </cell>
        </row>
        <row r="4354">
          <cell r="D4354">
            <v>1208004852</v>
          </cell>
          <cell r="E4354" t="str">
            <v>ROBERT DELACOUR</v>
          </cell>
          <cell r="F4354" t="str">
            <v>D (Amb)</v>
          </cell>
          <cell r="G4354">
            <v>772158</v>
          </cell>
          <cell r="H4354" t="str">
            <v>Ambition</v>
          </cell>
          <cell r="I4354">
            <v>0.3125</v>
          </cell>
          <cell r="J4354">
            <v>0.83333333333333337</v>
          </cell>
          <cell r="K4354">
            <v>11.83333333</v>
          </cell>
          <cell r="L4354">
            <v>601.49</v>
          </cell>
          <cell r="O4354" t="str">
            <v>Y</v>
          </cell>
          <cell r="P4354" t="str">
            <v>N</v>
          </cell>
          <cell r="Q4354" t="str">
            <v>Extra Capacity</v>
          </cell>
          <cell r="S4354">
            <v>0.32</v>
          </cell>
        </row>
        <row r="4355">
          <cell r="D4355">
            <v>1208004370</v>
          </cell>
          <cell r="E4355" t="str">
            <v>RODA RAMERIZ</v>
          </cell>
          <cell r="F4355" t="str">
            <v>D (Ch)</v>
          </cell>
          <cell r="G4355">
            <v>17796</v>
          </cell>
          <cell r="H4355" t="str">
            <v>Choice</v>
          </cell>
          <cell r="I4355">
            <v>0.875</v>
          </cell>
          <cell r="J4355">
            <v>0.32291666666666669</v>
          </cell>
          <cell r="K4355">
            <v>10</v>
          </cell>
          <cell r="L4355">
            <v>316.81</v>
          </cell>
          <cell r="O4355" t="str">
            <v>Y</v>
          </cell>
          <cell r="P4355" t="str">
            <v>N</v>
          </cell>
          <cell r="Q4355" t="str">
            <v>Specials</v>
          </cell>
          <cell r="S4355">
            <v>0.27</v>
          </cell>
        </row>
        <row r="4356">
          <cell r="D4356">
            <v>1208004228</v>
          </cell>
          <cell r="E4356" t="str">
            <v>ROMMEL MAQUEDA</v>
          </cell>
          <cell r="F4356" t="str">
            <v>D (Ch)</v>
          </cell>
          <cell r="G4356">
            <v>17766</v>
          </cell>
          <cell r="H4356" t="str">
            <v>Choice</v>
          </cell>
          <cell r="I4356">
            <v>0.84375</v>
          </cell>
          <cell r="J4356">
            <v>0.3125</v>
          </cell>
          <cell r="K4356">
            <v>10.25</v>
          </cell>
          <cell r="L4356">
            <v>324.73</v>
          </cell>
          <cell r="O4356" t="str">
            <v>Y</v>
          </cell>
          <cell r="P4356" t="str">
            <v>N</v>
          </cell>
          <cell r="Q4356" t="str">
            <v>Under Established</v>
          </cell>
          <cell r="S4356">
            <v>0.27</v>
          </cell>
        </row>
        <row r="4357">
          <cell r="D4357">
            <v>1208003929</v>
          </cell>
          <cell r="E4357" t="str">
            <v>RUSSELL CATIBOG</v>
          </cell>
          <cell r="F4357" t="str">
            <v>D (Ch)</v>
          </cell>
          <cell r="G4357">
            <v>17798</v>
          </cell>
          <cell r="H4357" t="str">
            <v>Choice</v>
          </cell>
          <cell r="I4357">
            <v>0.83333333333333337</v>
          </cell>
          <cell r="J4357">
            <v>0.33333333333333331</v>
          </cell>
          <cell r="K4357">
            <v>11.33333333</v>
          </cell>
          <cell r="L4357">
            <v>359.05</v>
          </cell>
          <cell r="O4357" t="str">
            <v>Y</v>
          </cell>
          <cell r="P4357" t="str">
            <v>N</v>
          </cell>
          <cell r="Q4357" t="str">
            <v>Extra Capacity</v>
          </cell>
          <cell r="S4357">
            <v>0.3</v>
          </cell>
        </row>
        <row r="4358">
          <cell r="D4358">
            <v>1108006099</v>
          </cell>
          <cell r="E4358" t="str">
            <v>RUTA KAIRYTE</v>
          </cell>
          <cell r="F4358" t="str">
            <v>D (Amb)</v>
          </cell>
          <cell r="G4358">
            <v>772131</v>
          </cell>
          <cell r="H4358" t="str">
            <v>Ambition</v>
          </cell>
          <cell r="I4358">
            <v>0.625</v>
          </cell>
          <cell r="J4358">
            <v>0.85416666666666663</v>
          </cell>
          <cell r="K4358">
            <v>5.5</v>
          </cell>
          <cell r="L4358">
            <v>279.57</v>
          </cell>
          <cell r="O4358" t="str">
            <v>Y</v>
          </cell>
          <cell r="P4358" t="str">
            <v>N</v>
          </cell>
          <cell r="Q4358" t="str">
            <v>Short Term Sick</v>
          </cell>
          <cell r="S4358">
            <v>0.15</v>
          </cell>
        </row>
        <row r="4359">
          <cell r="D4359">
            <v>1108005966</v>
          </cell>
          <cell r="E4359" t="str">
            <v>SEREELETSO MAITIYO</v>
          </cell>
          <cell r="F4359" t="str">
            <v>D (Ch)</v>
          </cell>
          <cell r="H4359" t="str">
            <v>Choice</v>
          </cell>
          <cell r="I4359">
            <v>0.3125</v>
          </cell>
          <cell r="J4359">
            <v>0.5625</v>
          </cell>
          <cell r="K4359">
            <v>5.6666666670000003</v>
          </cell>
          <cell r="L4359">
            <v>179.53</v>
          </cell>
          <cell r="O4359" t="str">
            <v>Y</v>
          </cell>
          <cell r="P4359" t="str">
            <v>N</v>
          </cell>
          <cell r="Q4359" t="str">
            <v>Under Established</v>
          </cell>
          <cell r="S4359">
            <v>0.15</v>
          </cell>
        </row>
        <row r="4360">
          <cell r="D4360">
            <v>1108005969</v>
          </cell>
          <cell r="E4360" t="str">
            <v>SEREELETSO MAITIYO</v>
          </cell>
          <cell r="F4360" t="str">
            <v>D (Ch)</v>
          </cell>
          <cell r="H4360" t="str">
            <v>Choice</v>
          </cell>
          <cell r="I4360">
            <v>0.5625</v>
          </cell>
          <cell r="J4360">
            <v>0.85416666666666663</v>
          </cell>
          <cell r="K4360">
            <v>6.6666666670000003</v>
          </cell>
          <cell r="L4360">
            <v>211.21</v>
          </cell>
          <cell r="O4360" t="str">
            <v>Y</v>
          </cell>
          <cell r="P4360" t="str">
            <v>N</v>
          </cell>
          <cell r="Q4360" t="str">
            <v>Under Established</v>
          </cell>
          <cell r="S4360">
            <v>0.18</v>
          </cell>
        </row>
        <row r="4361">
          <cell r="D4361">
            <v>1208003084</v>
          </cell>
          <cell r="E4361" t="str">
            <v>TAMBU JENA</v>
          </cell>
          <cell r="F4361" t="str">
            <v>D (Ch)</v>
          </cell>
          <cell r="H4361" t="str">
            <v>Choice</v>
          </cell>
          <cell r="I4361">
            <v>0.3125</v>
          </cell>
          <cell r="J4361">
            <v>0.64583333333333337</v>
          </cell>
          <cell r="K4361">
            <v>7.6666666670000003</v>
          </cell>
          <cell r="L4361">
            <v>242.89</v>
          </cell>
          <cell r="O4361" t="str">
            <v>Y</v>
          </cell>
          <cell r="P4361" t="str">
            <v>N</v>
          </cell>
          <cell r="Q4361" t="str">
            <v>Extra Capacity</v>
          </cell>
          <cell r="S4361">
            <v>0.2</v>
          </cell>
        </row>
        <row r="4362">
          <cell r="D4362">
            <v>1108003604</v>
          </cell>
          <cell r="E4362" t="str">
            <v>TERESA RADEJKO</v>
          </cell>
          <cell r="F4362" t="str">
            <v>D (Amb)</v>
          </cell>
          <cell r="G4362">
            <v>772127</v>
          </cell>
          <cell r="H4362" t="str">
            <v>Ambition</v>
          </cell>
          <cell r="I4362">
            <v>0.64583333333333337</v>
          </cell>
          <cell r="J4362">
            <v>0.85416666666666663</v>
          </cell>
          <cell r="K4362">
            <v>5</v>
          </cell>
          <cell r="L4362">
            <v>254.15</v>
          </cell>
          <cell r="O4362" t="str">
            <v>Y</v>
          </cell>
          <cell r="P4362" t="str">
            <v>N</v>
          </cell>
          <cell r="Q4362" t="str">
            <v>Vacancy</v>
          </cell>
          <cell r="S4362">
            <v>0.13</v>
          </cell>
        </row>
        <row r="4363">
          <cell r="D4363">
            <v>1208004572</v>
          </cell>
          <cell r="E4363" t="str">
            <v>VICTORIA MAESTRANI</v>
          </cell>
          <cell r="F4363" t="str">
            <v>D (MD)</v>
          </cell>
          <cell r="G4363">
            <v>355724</v>
          </cell>
          <cell r="H4363" t="str">
            <v>Mayday</v>
          </cell>
          <cell r="I4363">
            <v>0.3125</v>
          </cell>
          <cell r="J4363">
            <v>0.85416666666666663</v>
          </cell>
          <cell r="K4363">
            <v>12.33333333</v>
          </cell>
          <cell r="L4363">
            <v>517.72</v>
          </cell>
          <cell r="O4363" t="str">
            <v>Y</v>
          </cell>
          <cell r="P4363" t="str">
            <v>N</v>
          </cell>
          <cell r="Q4363" t="str">
            <v>Vacancy</v>
          </cell>
          <cell r="S4363">
            <v>0.33</v>
          </cell>
        </row>
        <row r="4364">
          <cell r="D4364">
            <v>1208003933</v>
          </cell>
          <cell r="E4364" t="str">
            <v>ALLI SUBRAMANIAM</v>
          </cell>
          <cell r="F4364" t="str">
            <v>D (MD)</v>
          </cell>
          <cell r="G4364">
            <v>355406</v>
          </cell>
          <cell r="H4364" t="str">
            <v>Mayday</v>
          </cell>
          <cell r="I4364">
            <v>0.3125</v>
          </cell>
          <cell r="J4364">
            <v>0.60416666666666663</v>
          </cell>
          <cell r="K4364">
            <v>6.6666666670000003</v>
          </cell>
          <cell r="L4364">
            <v>344.43</v>
          </cell>
          <cell r="O4364" t="str">
            <v>Y</v>
          </cell>
          <cell r="P4364" t="str">
            <v>N</v>
          </cell>
          <cell r="Q4364" t="str">
            <v>Extra Capacity</v>
          </cell>
          <cell r="S4364">
            <v>0.18</v>
          </cell>
        </row>
        <row r="4365">
          <cell r="D4365">
            <v>1208003938</v>
          </cell>
          <cell r="E4365" t="str">
            <v>ALLI SUBRAMANIAM</v>
          </cell>
          <cell r="F4365" t="str">
            <v>D (MD)</v>
          </cell>
          <cell r="G4365">
            <v>355406</v>
          </cell>
          <cell r="H4365" t="str">
            <v>Mayday</v>
          </cell>
          <cell r="I4365">
            <v>0.60416666666666663</v>
          </cell>
          <cell r="J4365">
            <v>0.83333333333333337</v>
          </cell>
          <cell r="K4365">
            <v>5.5</v>
          </cell>
          <cell r="L4365">
            <v>284.14999999999998</v>
          </cell>
          <cell r="O4365" t="str">
            <v>Y</v>
          </cell>
          <cell r="P4365" t="str">
            <v>N</v>
          </cell>
          <cell r="Q4365" t="str">
            <v>Extra Capacity</v>
          </cell>
          <cell r="S4365">
            <v>0.15</v>
          </cell>
        </row>
        <row r="4366">
          <cell r="D4366">
            <v>1208005158</v>
          </cell>
          <cell r="E4366" t="str">
            <v>ARLENA RUBEN</v>
          </cell>
          <cell r="F4366" t="str">
            <v>D (MD)</v>
          </cell>
          <cell r="H4366" t="str">
            <v>Mayday</v>
          </cell>
          <cell r="I4366">
            <v>0.29166666666666669</v>
          </cell>
          <cell r="J4366">
            <v>0.625</v>
          </cell>
          <cell r="K4366">
            <v>7.6666666670000003</v>
          </cell>
          <cell r="L4366">
            <v>396.09</v>
          </cell>
          <cell r="O4366" t="str">
            <v>Y</v>
          </cell>
          <cell r="P4366" t="str">
            <v>N</v>
          </cell>
          <cell r="Q4366" t="str">
            <v>Specials</v>
          </cell>
          <cell r="S4366">
            <v>0.2</v>
          </cell>
        </row>
        <row r="4367">
          <cell r="D4367">
            <v>1208005159</v>
          </cell>
          <cell r="E4367" t="str">
            <v>ARLENA RUBEN</v>
          </cell>
          <cell r="F4367" t="str">
            <v>D (MD)</v>
          </cell>
          <cell r="H4367" t="str">
            <v>Mayday</v>
          </cell>
          <cell r="I4367">
            <v>0.625</v>
          </cell>
          <cell r="J4367">
            <v>0.88541666666666663</v>
          </cell>
          <cell r="K4367">
            <v>5.9166666670000003</v>
          </cell>
          <cell r="L4367">
            <v>305.68</v>
          </cell>
          <cell r="O4367" t="str">
            <v>Y</v>
          </cell>
          <cell r="P4367" t="str">
            <v>N</v>
          </cell>
          <cell r="Q4367" t="str">
            <v>Specials</v>
          </cell>
          <cell r="S4367">
            <v>0.16</v>
          </cell>
        </row>
        <row r="4368">
          <cell r="D4368">
            <v>1208003950</v>
          </cell>
          <cell r="E4368" t="str">
            <v>BEAUTY NGIDI</v>
          </cell>
          <cell r="F4368" t="str">
            <v>D (MD)</v>
          </cell>
          <cell r="G4368">
            <v>355723</v>
          </cell>
          <cell r="H4368" t="str">
            <v>Mayday</v>
          </cell>
          <cell r="I4368">
            <v>0.83333333333333337</v>
          </cell>
          <cell r="J4368">
            <v>0.33333333333333331</v>
          </cell>
          <cell r="K4368">
            <v>11.33333333</v>
          </cell>
          <cell r="L4368">
            <v>585.53</v>
          </cell>
          <cell r="O4368" t="str">
            <v>Y</v>
          </cell>
          <cell r="P4368" t="str">
            <v>N</v>
          </cell>
          <cell r="Q4368" t="str">
            <v>Extra Capacity</v>
          </cell>
          <cell r="S4368">
            <v>0.3</v>
          </cell>
        </row>
        <row r="4369">
          <cell r="D4369">
            <v>1208002501</v>
          </cell>
          <cell r="E4369" t="str">
            <v>BERNADETTE SHINYA-NDUNUWANI</v>
          </cell>
          <cell r="F4369" t="str">
            <v>D (MD)</v>
          </cell>
          <cell r="G4369">
            <v>356646</v>
          </cell>
          <cell r="H4369" t="str">
            <v>Mayday</v>
          </cell>
          <cell r="I4369">
            <v>0.3125</v>
          </cell>
          <cell r="J4369">
            <v>0.85416666666666663</v>
          </cell>
          <cell r="K4369">
            <v>12.33333333</v>
          </cell>
          <cell r="L4369">
            <v>637.19000000000005</v>
          </cell>
          <cell r="O4369" t="str">
            <v>Y</v>
          </cell>
          <cell r="P4369" t="str">
            <v>N</v>
          </cell>
          <cell r="Q4369" t="str">
            <v>Extra Capacity</v>
          </cell>
          <cell r="S4369">
            <v>0.33</v>
          </cell>
        </row>
        <row r="4370">
          <cell r="D4370">
            <v>1208006310</v>
          </cell>
          <cell r="E4370" t="str">
            <v>BIDDY CHAFESUKA</v>
          </cell>
          <cell r="F4370" t="str">
            <v>D (Ch)</v>
          </cell>
          <cell r="G4370">
            <v>17790</v>
          </cell>
          <cell r="H4370" t="str">
            <v>Choice</v>
          </cell>
          <cell r="I4370">
            <v>0.29166666666666669</v>
          </cell>
          <cell r="J4370">
            <v>0.54166666666666663</v>
          </cell>
          <cell r="K4370">
            <v>5.75</v>
          </cell>
          <cell r="L4370">
            <v>224.2</v>
          </cell>
          <cell r="O4370" t="str">
            <v>Y</v>
          </cell>
          <cell r="P4370" t="str">
            <v>N</v>
          </cell>
          <cell r="Q4370" t="str">
            <v>Annual Leave</v>
          </cell>
          <cell r="S4370">
            <v>0.15</v>
          </cell>
        </row>
        <row r="4371">
          <cell r="D4371">
            <v>1108005979</v>
          </cell>
          <cell r="E4371" t="str">
            <v>COLLEN SIBANDA</v>
          </cell>
          <cell r="F4371" t="str">
            <v>D (Ch)</v>
          </cell>
          <cell r="G4371">
            <v>17768</v>
          </cell>
          <cell r="H4371" t="str">
            <v>Choice</v>
          </cell>
          <cell r="I4371">
            <v>0.5625</v>
          </cell>
          <cell r="J4371">
            <v>0.85416666666666663</v>
          </cell>
          <cell r="K4371">
            <v>6.6666666670000003</v>
          </cell>
          <cell r="L4371">
            <v>259.95</v>
          </cell>
          <cell r="O4371" t="str">
            <v>Y</v>
          </cell>
          <cell r="P4371" t="str">
            <v>N</v>
          </cell>
          <cell r="Q4371" t="str">
            <v>Annual Leave</v>
          </cell>
          <cell r="S4371">
            <v>0.18</v>
          </cell>
        </row>
        <row r="4372">
          <cell r="D4372">
            <v>1208006815</v>
          </cell>
          <cell r="E4372" t="str">
            <v>DEBBIE HARRIS</v>
          </cell>
          <cell r="F4372" t="str">
            <v>5 Gen (All)</v>
          </cell>
          <cell r="G4372">
            <v>355061</v>
          </cell>
          <cell r="H4372" t="str">
            <v>Mayday</v>
          </cell>
          <cell r="I4372">
            <v>0.83333333333333337</v>
          </cell>
          <cell r="J4372">
            <v>0.33333333333333331</v>
          </cell>
          <cell r="K4372">
            <v>11</v>
          </cell>
          <cell r="L4372">
            <v>316.45</v>
          </cell>
          <cell r="O4372" t="str">
            <v>Y</v>
          </cell>
          <cell r="P4372" t="str">
            <v>N</v>
          </cell>
          <cell r="Q4372" t="str">
            <v>Short Term Sick</v>
          </cell>
          <cell r="S4372">
            <v>0.28999999999999998</v>
          </cell>
        </row>
        <row r="4373">
          <cell r="D4373">
            <v>1208006916</v>
          </cell>
          <cell r="E4373" t="str">
            <v>DENNIS HEBRON</v>
          </cell>
          <cell r="F4373" t="str">
            <v>D (Ch)</v>
          </cell>
          <cell r="G4373">
            <v>17766</v>
          </cell>
          <cell r="H4373" t="str">
            <v>Choice</v>
          </cell>
          <cell r="I4373">
            <v>0.82291666666666663</v>
          </cell>
          <cell r="J4373">
            <v>0.34375</v>
          </cell>
          <cell r="K4373">
            <v>11.5</v>
          </cell>
          <cell r="L4373">
            <v>448.41</v>
          </cell>
          <cell r="O4373" t="str">
            <v>Y</v>
          </cell>
          <cell r="P4373" t="str">
            <v>N</v>
          </cell>
          <cell r="Q4373" t="str">
            <v>On-Call</v>
          </cell>
          <cell r="S4373">
            <v>0.31</v>
          </cell>
        </row>
        <row r="4374">
          <cell r="D4374">
            <v>1208003934</v>
          </cell>
          <cell r="E4374" t="str">
            <v>EMMANUEL SALAKO</v>
          </cell>
          <cell r="F4374" t="str">
            <v>D (MD)</v>
          </cell>
          <cell r="G4374">
            <v>354247</v>
          </cell>
          <cell r="H4374" t="str">
            <v>Mayday</v>
          </cell>
          <cell r="I4374">
            <v>0.3125</v>
          </cell>
          <cell r="J4374">
            <v>0.60416666666666663</v>
          </cell>
          <cell r="K4374">
            <v>6.6666666670000003</v>
          </cell>
          <cell r="L4374">
            <v>344.43</v>
          </cell>
          <cell r="O4374" t="str">
            <v>Y</v>
          </cell>
          <cell r="P4374" t="str">
            <v>N</v>
          </cell>
          <cell r="Q4374" t="str">
            <v>Extra Capacity</v>
          </cell>
          <cell r="S4374">
            <v>0.18</v>
          </cell>
        </row>
        <row r="4375">
          <cell r="D4375">
            <v>1208003939</v>
          </cell>
          <cell r="E4375" t="str">
            <v>EMMANUEL SALAKO</v>
          </cell>
          <cell r="F4375" t="str">
            <v>D (MD)</v>
          </cell>
          <cell r="G4375">
            <v>354247</v>
          </cell>
          <cell r="H4375" t="str">
            <v>Mayday</v>
          </cell>
          <cell r="I4375">
            <v>0.60416666666666663</v>
          </cell>
          <cell r="J4375">
            <v>0.83333333333333337</v>
          </cell>
          <cell r="K4375">
            <v>5.5</v>
          </cell>
          <cell r="L4375">
            <v>284.14999999999998</v>
          </cell>
          <cell r="O4375" t="str">
            <v>Y</v>
          </cell>
          <cell r="P4375" t="str">
            <v>N</v>
          </cell>
          <cell r="Q4375" t="str">
            <v>Extra Capacity</v>
          </cell>
          <cell r="S4375">
            <v>0.15</v>
          </cell>
        </row>
        <row r="4376">
          <cell r="D4376">
            <v>1108005666</v>
          </cell>
          <cell r="E4376" t="str">
            <v>FIONA DURKIN-GREER</v>
          </cell>
          <cell r="F4376" t="str">
            <v>D (MD)</v>
          </cell>
          <cell r="G4376">
            <v>356844</v>
          </cell>
          <cell r="H4376" t="str">
            <v>Mayday</v>
          </cell>
          <cell r="I4376">
            <v>0.3125</v>
          </cell>
          <cell r="J4376">
            <v>0.5625</v>
          </cell>
          <cell r="K4376">
            <v>5.6666666670000003</v>
          </cell>
          <cell r="L4376">
            <v>292.76</v>
          </cell>
          <cell r="O4376" t="str">
            <v>Y</v>
          </cell>
          <cell r="P4376" t="str">
            <v>N</v>
          </cell>
          <cell r="Q4376" t="str">
            <v>Vacancy</v>
          </cell>
          <cell r="S4376">
            <v>0.15</v>
          </cell>
        </row>
        <row r="4377">
          <cell r="D4377">
            <v>1208005106</v>
          </cell>
          <cell r="E4377" t="str">
            <v>GEORGE MALETE</v>
          </cell>
          <cell r="F4377" t="str">
            <v>A (Ch)</v>
          </cell>
          <cell r="G4377">
            <v>18006</v>
          </cell>
          <cell r="H4377" t="str">
            <v>Choice</v>
          </cell>
          <cell r="I4377">
            <v>0.3125</v>
          </cell>
          <cell r="J4377">
            <v>0.5625</v>
          </cell>
          <cell r="K4377">
            <v>5.6666666670000003</v>
          </cell>
          <cell r="L4377">
            <v>104.74</v>
          </cell>
          <cell r="O4377" t="str">
            <v>Y</v>
          </cell>
          <cell r="P4377" t="str">
            <v>N</v>
          </cell>
          <cell r="Q4377" t="str">
            <v>Short Term Sick</v>
          </cell>
          <cell r="S4377">
            <v>0.15</v>
          </cell>
        </row>
        <row r="4378">
          <cell r="D4378">
            <v>1208006816</v>
          </cell>
          <cell r="E4378" t="str">
            <v>GEORGE MALETE</v>
          </cell>
          <cell r="F4378" t="str">
            <v>A (Ch)</v>
          </cell>
          <cell r="G4378">
            <v>18006</v>
          </cell>
          <cell r="H4378" t="str">
            <v>Choice</v>
          </cell>
          <cell r="I4378">
            <v>0.5625</v>
          </cell>
          <cell r="J4378">
            <v>0.89583333333333337</v>
          </cell>
          <cell r="K4378">
            <v>7.6666666670000003</v>
          </cell>
          <cell r="L4378">
            <v>141.71</v>
          </cell>
          <cell r="O4378" t="str">
            <v>Y</v>
          </cell>
          <cell r="P4378" t="str">
            <v>N</v>
          </cell>
          <cell r="Q4378" t="str">
            <v>Short Term Sick</v>
          </cell>
          <cell r="S4378">
            <v>0.2</v>
          </cell>
        </row>
        <row r="4379">
          <cell r="D4379">
            <v>1208003196</v>
          </cell>
          <cell r="E4379" t="str">
            <v>GLENDA RONA</v>
          </cell>
          <cell r="F4379" t="str">
            <v>D (Ch)</v>
          </cell>
          <cell r="G4379">
            <v>17788</v>
          </cell>
          <cell r="H4379" t="str">
            <v>Choice</v>
          </cell>
          <cell r="I4379">
            <v>0.8125</v>
          </cell>
          <cell r="J4379">
            <v>0.33333333333333331</v>
          </cell>
          <cell r="K4379">
            <v>11.83333333</v>
          </cell>
          <cell r="L4379">
            <v>461.41</v>
          </cell>
          <cell r="O4379" t="str">
            <v>Y</v>
          </cell>
          <cell r="P4379" t="str">
            <v>N</v>
          </cell>
          <cell r="Q4379" t="str">
            <v>Extra Capacity</v>
          </cell>
          <cell r="S4379">
            <v>0.32</v>
          </cell>
        </row>
        <row r="4380">
          <cell r="D4380">
            <v>1208002993</v>
          </cell>
          <cell r="E4380" t="str">
            <v>JAMES MCCLEMENTS</v>
          </cell>
          <cell r="F4380" t="str">
            <v>D (MD)</v>
          </cell>
          <cell r="H4380" t="str">
            <v>Mayday</v>
          </cell>
          <cell r="I4380">
            <v>0.3125</v>
          </cell>
          <cell r="J4380">
            <v>0.60416666666666663</v>
          </cell>
          <cell r="K4380">
            <v>6.6666666670000003</v>
          </cell>
          <cell r="L4380">
            <v>344.43</v>
          </cell>
          <cell r="O4380" t="str">
            <v>Y</v>
          </cell>
          <cell r="P4380" t="str">
            <v>N</v>
          </cell>
          <cell r="Q4380" t="str">
            <v>Extra Capacity</v>
          </cell>
          <cell r="S4380">
            <v>0.18</v>
          </cell>
        </row>
        <row r="4381">
          <cell r="D4381">
            <v>1208002995</v>
          </cell>
          <cell r="E4381" t="str">
            <v>JAMES MCCLEMENTS</v>
          </cell>
          <cell r="F4381" t="str">
            <v>D (MD)</v>
          </cell>
          <cell r="H4381" t="str">
            <v>Mayday</v>
          </cell>
          <cell r="I4381">
            <v>0.60416666666666663</v>
          </cell>
          <cell r="J4381">
            <v>0.85416666666666663</v>
          </cell>
          <cell r="K4381">
            <v>5.6666666670000003</v>
          </cell>
          <cell r="L4381">
            <v>292.76</v>
          </cell>
          <cell r="O4381" t="str">
            <v>Y</v>
          </cell>
          <cell r="P4381" t="str">
            <v>N</v>
          </cell>
          <cell r="Q4381" t="str">
            <v>Extra Capacity</v>
          </cell>
          <cell r="S4381">
            <v>0.15</v>
          </cell>
        </row>
        <row r="4382">
          <cell r="D4382">
            <v>1208003183</v>
          </cell>
          <cell r="E4382" t="str">
            <v>JASMINE ESGUERRA</v>
          </cell>
          <cell r="F4382" t="str">
            <v>D (Ch)</v>
          </cell>
          <cell r="G4382">
            <v>17788</v>
          </cell>
          <cell r="H4382" t="str">
            <v>Choice</v>
          </cell>
          <cell r="I4382">
            <v>0.82291666666666663</v>
          </cell>
          <cell r="J4382">
            <v>0.34375</v>
          </cell>
          <cell r="K4382">
            <v>11.5</v>
          </cell>
          <cell r="L4382">
            <v>448.41</v>
          </cell>
          <cell r="O4382" t="str">
            <v>Y</v>
          </cell>
          <cell r="P4382" t="str">
            <v>N</v>
          </cell>
          <cell r="Q4382" t="str">
            <v>Extra Capacity</v>
          </cell>
          <cell r="S4382">
            <v>0.31</v>
          </cell>
        </row>
        <row r="4383">
          <cell r="D4383">
            <v>1208006085</v>
          </cell>
          <cell r="E4383" t="str">
            <v>JOANNE BUSS</v>
          </cell>
          <cell r="F4383" t="str">
            <v>D (MD)</v>
          </cell>
          <cell r="G4383">
            <v>356906</v>
          </cell>
          <cell r="H4383" t="str">
            <v>Mayday</v>
          </cell>
          <cell r="I4383">
            <v>0.84375</v>
          </cell>
          <cell r="J4383">
            <v>0.3125</v>
          </cell>
          <cell r="K4383">
            <v>10.25</v>
          </cell>
          <cell r="L4383">
            <v>529.55999999999995</v>
          </cell>
          <cell r="O4383" t="str">
            <v>Y</v>
          </cell>
          <cell r="P4383" t="str">
            <v>N</v>
          </cell>
          <cell r="Q4383" t="str">
            <v>Under Established</v>
          </cell>
          <cell r="S4383">
            <v>0.27</v>
          </cell>
        </row>
        <row r="4384">
          <cell r="D4384">
            <v>1208003949</v>
          </cell>
          <cell r="E4384" t="str">
            <v>JOELIS PASCUA</v>
          </cell>
          <cell r="F4384" t="str">
            <v>D (Ch)</v>
          </cell>
          <cell r="G4384">
            <v>17798</v>
          </cell>
          <cell r="H4384" t="str">
            <v>Choice</v>
          </cell>
          <cell r="I4384">
            <v>0.83333333333333337</v>
          </cell>
          <cell r="J4384">
            <v>0.33333333333333331</v>
          </cell>
          <cell r="K4384">
            <v>11.33333333</v>
          </cell>
          <cell r="L4384">
            <v>441.91</v>
          </cell>
          <cell r="O4384" t="str">
            <v>Y</v>
          </cell>
          <cell r="P4384" t="str">
            <v>N</v>
          </cell>
          <cell r="Q4384" t="str">
            <v>Extra Capacity</v>
          </cell>
          <cell r="S4384">
            <v>0.3</v>
          </cell>
        </row>
        <row r="4385">
          <cell r="D4385">
            <v>1208003951</v>
          </cell>
          <cell r="E4385" t="str">
            <v>JOSEPH BASS</v>
          </cell>
          <cell r="F4385" t="str">
            <v>D (MD)</v>
          </cell>
          <cell r="G4385">
            <v>357829</v>
          </cell>
          <cell r="H4385" t="str">
            <v>Mayday</v>
          </cell>
          <cell r="I4385">
            <v>0.83333333333333337</v>
          </cell>
          <cell r="J4385">
            <v>0.33333333333333331</v>
          </cell>
          <cell r="K4385">
            <v>11.33333333</v>
          </cell>
          <cell r="L4385">
            <v>585.53</v>
          </cell>
          <cell r="O4385" t="str">
            <v>Y</v>
          </cell>
          <cell r="P4385" t="str">
            <v>N</v>
          </cell>
          <cell r="Q4385" t="str">
            <v>Extra Capacity</v>
          </cell>
          <cell r="S4385">
            <v>0.3</v>
          </cell>
        </row>
        <row r="4386">
          <cell r="D4386">
            <v>1208003940</v>
          </cell>
          <cell r="E4386" t="str">
            <v>LEONA CONTRERAS</v>
          </cell>
          <cell r="F4386" t="str">
            <v>D (MD)</v>
          </cell>
          <cell r="G4386">
            <v>354484</v>
          </cell>
          <cell r="H4386" t="str">
            <v>Mayday</v>
          </cell>
          <cell r="I4386">
            <v>0.60416666666666663</v>
          </cell>
          <cell r="J4386">
            <v>0.83333333333333337</v>
          </cell>
          <cell r="K4386">
            <v>5.5</v>
          </cell>
          <cell r="L4386">
            <v>284.14999999999998</v>
          </cell>
          <cell r="O4386" t="str">
            <v>Y</v>
          </cell>
          <cell r="P4386" t="str">
            <v>N</v>
          </cell>
          <cell r="Q4386" t="str">
            <v>Extra Capacity</v>
          </cell>
          <cell r="S4386">
            <v>0.15</v>
          </cell>
        </row>
        <row r="4387">
          <cell r="D4387">
            <v>1208005419</v>
          </cell>
          <cell r="E4387" t="str">
            <v>LEONA CONTRERAS</v>
          </cell>
          <cell r="F4387" t="str">
            <v>D (MD)</v>
          </cell>
          <cell r="G4387">
            <v>354483</v>
          </cell>
          <cell r="H4387" t="str">
            <v>Mayday</v>
          </cell>
          <cell r="I4387">
            <v>0.3125</v>
          </cell>
          <cell r="J4387">
            <v>0.54166666666666663</v>
          </cell>
          <cell r="K4387">
            <v>5.5</v>
          </cell>
          <cell r="L4387">
            <v>284.14999999999998</v>
          </cell>
          <cell r="O4387" t="str">
            <v>Y</v>
          </cell>
          <cell r="P4387" t="str">
            <v>N</v>
          </cell>
          <cell r="Q4387" t="str">
            <v>Vacancy</v>
          </cell>
          <cell r="S4387">
            <v>0.15</v>
          </cell>
        </row>
        <row r="4388">
          <cell r="D4388">
            <v>1208006086</v>
          </cell>
          <cell r="E4388" t="str">
            <v>NILO DANUGO</v>
          </cell>
          <cell r="F4388" t="str">
            <v>D (Ch)</v>
          </cell>
          <cell r="G4388">
            <v>17766</v>
          </cell>
          <cell r="H4388" t="str">
            <v>Choice</v>
          </cell>
          <cell r="I4388">
            <v>0.84375</v>
          </cell>
          <cell r="J4388">
            <v>0.3125</v>
          </cell>
          <cell r="K4388">
            <v>10.25</v>
          </cell>
          <cell r="L4388">
            <v>399.67</v>
          </cell>
          <cell r="O4388" t="str">
            <v>Y</v>
          </cell>
          <cell r="P4388" t="str">
            <v>N</v>
          </cell>
          <cell r="Q4388" t="str">
            <v>Under Established</v>
          </cell>
          <cell r="S4388">
            <v>0.27</v>
          </cell>
        </row>
        <row r="4389">
          <cell r="D4389">
            <v>1208004845</v>
          </cell>
          <cell r="E4389" t="str">
            <v>OMAR SENGHORE</v>
          </cell>
          <cell r="F4389" t="str">
            <v>D (MD)</v>
          </cell>
          <cell r="G4389">
            <v>355356</v>
          </cell>
          <cell r="H4389" t="str">
            <v>Mayday</v>
          </cell>
          <cell r="I4389">
            <v>0.8125</v>
          </cell>
          <cell r="J4389">
            <v>0.33333333333333331</v>
          </cell>
          <cell r="K4389">
            <v>11.83333333</v>
          </cell>
          <cell r="L4389">
            <v>611.36</v>
          </cell>
          <cell r="O4389" t="str">
            <v>Y</v>
          </cell>
          <cell r="P4389" t="str">
            <v>N</v>
          </cell>
          <cell r="Q4389" t="str">
            <v>Extra Capacity</v>
          </cell>
          <cell r="S4389">
            <v>0.32</v>
          </cell>
        </row>
        <row r="4390">
          <cell r="D4390">
            <v>1208004046</v>
          </cell>
          <cell r="E4390" t="str">
            <v>PAULINE CLARK-SAUNDERS</v>
          </cell>
          <cell r="F4390" t="str">
            <v>D (Amb)</v>
          </cell>
          <cell r="G4390">
            <v>774234</v>
          </cell>
          <cell r="H4390" t="str">
            <v>Ambition</v>
          </cell>
          <cell r="I4390">
            <v>0.3125</v>
          </cell>
          <cell r="J4390">
            <v>0.64583333333333337</v>
          </cell>
          <cell r="K4390">
            <v>7.6666666670000003</v>
          </cell>
          <cell r="L4390">
            <v>479.63</v>
          </cell>
          <cell r="O4390" t="str">
            <v>Y</v>
          </cell>
          <cell r="P4390" t="str">
            <v>N</v>
          </cell>
          <cell r="Q4390" t="str">
            <v>Vacancy</v>
          </cell>
          <cell r="S4390">
            <v>0.2</v>
          </cell>
        </row>
        <row r="4391">
          <cell r="D4391">
            <v>1208006799</v>
          </cell>
          <cell r="E4391" t="str">
            <v>PETER HESSLER</v>
          </cell>
          <cell r="F4391" t="str">
            <v>D (Amb)</v>
          </cell>
          <cell r="G4391">
            <v>772177</v>
          </cell>
          <cell r="H4391" t="str">
            <v>Ambition</v>
          </cell>
          <cell r="I4391">
            <v>0.83333333333333337</v>
          </cell>
          <cell r="J4391">
            <v>0.33333333333333331</v>
          </cell>
          <cell r="K4391">
            <v>11</v>
          </cell>
          <cell r="L4391">
            <v>688.16</v>
          </cell>
          <cell r="O4391" t="str">
            <v>Y</v>
          </cell>
          <cell r="P4391" t="str">
            <v>N</v>
          </cell>
          <cell r="Q4391" t="str">
            <v>Extra Capacity</v>
          </cell>
          <cell r="S4391">
            <v>0.28999999999999998</v>
          </cell>
        </row>
        <row r="4392">
          <cell r="D4392">
            <v>1208006818</v>
          </cell>
          <cell r="E4392" t="str">
            <v>RACHEL OBERDOFF</v>
          </cell>
          <cell r="F4392" t="str">
            <v>D (MD)</v>
          </cell>
          <cell r="G4392">
            <v>355358</v>
          </cell>
          <cell r="H4392" t="str">
            <v>Mayday</v>
          </cell>
          <cell r="I4392">
            <v>0.3125</v>
          </cell>
          <cell r="J4392">
            <v>0.85416666666666663</v>
          </cell>
          <cell r="K4392">
            <v>12.33333333</v>
          </cell>
          <cell r="L4392">
            <v>637.19000000000005</v>
          </cell>
          <cell r="O4392" t="str">
            <v>Y</v>
          </cell>
          <cell r="P4392" t="str">
            <v>N</v>
          </cell>
          <cell r="Q4392" t="str">
            <v>Extra Capacity</v>
          </cell>
          <cell r="S4392">
            <v>0.33</v>
          </cell>
        </row>
        <row r="4393">
          <cell r="D4393">
            <v>1208005162</v>
          </cell>
          <cell r="E4393" t="str">
            <v>RIAZ AHMED</v>
          </cell>
          <cell r="F4393" t="str">
            <v>D/5 Mental (Med</v>
          </cell>
          <cell r="G4393" t="str">
            <v>604-164117</v>
          </cell>
          <cell r="H4393" t="str">
            <v>Medacs</v>
          </cell>
          <cell r="I4393">
            <v>0.88541666666666663</v>
          </cell>
          <cell r="J4393">
            <v>0.3125</v>
          </cell>
          <cell r="K4393">
            <v>9.25</v>
          </cell>
          <cell r="L4393">
            <v>272.76</v>
          </cell>
          <cell r="O4393" t="str">
            <v>Y</v>
          </cell>
          <cell r="P4393" t="str">
            <v>N</v>
          </cell>
          <cell r="Q4393" t="str">
            <v>Specials</v>
          </cell>
          <cell r="S4393">
            <v>0.25</v>
          </cell>
        </row>
        <row r="4394">
          <cell r="D4394">
            <v>1208004853</v>
          </cell>
          <cell r="E4394" t="str">
            <v>ROBERT DELACOUR</v>
          </cell>
          <cell r="F4394" t="str">
            <v>D (Amb)</v>
          </cell>
          <cell r="G4394">
            <v>772158</v>
          </cell>
          <cell r="H4394" t="str">
            <v>Ambition</v>
          </cell>
          <cell r="I4394">
            <v>0.3125</v>
          </cell>
          <cell r="J4394">
            <v>0.83333333333333337</v>
          </cell>
          <cell r="K4394">
            <v>11.83333333</v>
          </cell>
          <cell r="L4394">
            <v>740.29</v>
          </cell>
          <cell r="O4394" t="str">
            <v>Y</v>
          </cell>
          <cell r="P4394" t="str">
            <v>N</v>
          </cell>
          <cell r="Q4394" t="str">
            <v>Extra Capacity</v>
          </cell>
          <cell r="S4394">
            <v>0.32</v>
          </cell>
        </row>
        <row r="4395">
          <cell r="D4395">
            <v>1208003942</v>
          </cell>
          <cell r="E4395" t="str">
            <v>RODA RAMERIZ</v>
          </cell>
          <cell r="F4395" t="str">
            <v>D (Ch)</v>
          </cell>
          <cell r="G4395">
            <v>17798</v>
          </cell>
          <cell r="H4395" t="str">
            <v>Choice</v>
          </cell>
          <cell r="I4395">
            <v>0.83333333333333337</v>
          </cell>
          <cell r="J4395">
            <v>0.33333333333333331</v>
          </cell>
          <cell r="K4395">
            <v>11.33333333</v>
          </cell>
          <cell r="L4395">
            <v>441.91</v>
          </cell>
          <cell r="O4395" t="str">
            <v>Y</v>
          </cell>
          <cell r="P4395" t="str">
            <v>N</v>
          </cell>
          <cell r="Q4395" t="str">
            <v>Extra Capacity</v>
          </cell>
          <cell r="S4395">
            <v>0.3</v>
          </cell>
        </row>
        <row r="4396">
          <cell r="D4396">
            <v>1208006917</v>
          </cell>
          <cell r="E4396" t="str">
            <v>RUSSELL CATIBOG</v>
          </cell>
          <cell r="F4396" t="str">
            <v>D (Ch)</v>
          </cell>
          <cell r="G4396">
            <v>17798</v>
          </cell>
          <cell r="H4396" t="str">
            <v>Choice</v>
          </cell>
          <cell r="I4396">
            <v>0.88541666666666663</v>
          </cell>
          <cell r="J4396">
            <v>0.3125</v>
          </cell>
          <cell r="K4396">
            <v>9.25</v>
          </cell>
          <cell r="L4396">
            <v>360.68</v>
          </cell>
          <cell r="O4396" t="str">
            <v>Y</v>
          </cell>
          <cell r="P4396" t="str">
            <v>N</v>
          </cell>
          <cell r="Q4396" t="str">
            <v>On-Call</v>
          </cell>
          <cell r="S4396">
            <v>0.25</v>
          </cell>
        </row>
        <row r="4397">
          <cell r="D4397">
            <v>1208006915</v>
          </cell>
          <cell r="E4397" t="str">
            <v>SAMSON BARACENA</v>
          </cell>
          <cell r="F4397" t="str">
            <v>D (Ch)</v>
          </cell>
          <cell r="G4397">
            <v>354425</v>
          </cell>
          <cell r="H4397" t="str">
            <v>Choice</v>
          </cell>
          <cell r="I4397">
            <v>0.875</v>
          </cell>
          <cell r="J4397">
            <v>0.33333333333333331</v>
          </cell>
          <cell r="K4397">
            <v>10</v>
          </cell>
          <cell r="L4397">
            <v>389.92</v>
          </cell>
          <cell r="O4397" t="str">
            <v>Y</v>
          </cell>
          <cell r="P4397" t="str">
            <v>N</v>
          </cell>
          <cell r="Q4397" t="str">
            <v>On-Call</v>
          </cell>
          <cell r="S4397">
            <v>0.27</v>
          </cell>
        </row>
        <row r="4398">
          <cell r="D4398">
            <v>1208006919</v>
          </cell>
          <cell r="E4398" t="str">
            <v>SAVETREE PANIS</v>
          </cell>
          <cell r="F4398" t="str">
            <v>D (MD)</v>
          </cell>
          <cell r="G4398">
            <v>354800</v>
          </cell>
          <cell r="H4398" t="str">
            <v>Mayday</v>
          </cell>
          <cell r="I4398">
            <v>0.3125</v>
          </cell>
          <cell r="J4398">
            <v>0.85416666666666663</v>
          </cell>
          <cell r="K4398">
            <v>12.33333333</v>
          </cell>
          <cell r="L4398">
            <v>637.19000000000005</v>
          </cell>
          <cell r="O4398" t="str">
            <v>Y</v>
          </cell>
          <cell r="P4398" t="str">
            <v>N</v>
          </cell>
          <cell r="Q4398" t="str">
            <v>On-Call</v>
          </cell>
          <cell r="S4398">
            <v>0.33</v>
          </cell>
        </row>
        <row r="4399">
          <cell r="D4399">
            <v>1208004573</v>
          </cell>
          <cell r="E4399" t="str">
            <v>VICTORIA MAESTRANI</v>
          </cell>
          <cell r="F4399" t="str">
            <v>D (MD)</v>
          </cell>
          <cell r="G4399">
            <v>355724</v>
          </cell>
          <cell r="H4399" t="str">
            <v>Mayday</v>
          </cell>
          <cell r="I4399">
            <v>0.3125</v>
          </cell>
          <cell r="J4399">
            <v>0.85416666666666663</v>
          </cell>
          <cell r="K4399">
            <v>12.33333333</v>
          </cell>
          <cell r="L4399">
            <v>637.19000000000005</v>
          </cell>
          <cell r="O4399" t="str">
            <v>Y</v>
          </cell>
          <cell r="P4399" t="str">
            <v>N</v>
          </cell>
          <cell r="Q4399" t="str">
            <v>Vacancy</v>
          </cell>
          <cell r="S4399">
            <v>0.33</v>
          </cell>
        </row>
        <row r="4400">
          <cell r="D4400">
            <v>1108002923</v>
          </cell>
          <cell r="E4400" t="str">
            <v>ALAN CURTIS</v>
          </cell>
          <cell r="F4400" t="str">
            <v>D (MD)</v>
          </cell>
          <cell r="G4400">
            <v>356892</v>
          </cell>
          <cell r="H4400" t="str">
            <v>Mayday</v>
          </cell>
          <cell r="I4400">
            <v>0.32291666666666669</v>
          </cell>
          <cell r="J4400">
            <v>0.84375</v>
          </cell>
          <cell r="K4400">
            <v>11.5</v>
          </cell>
          <cell r="L4400">
            <v>371.33</v>
          </cell>
          <cell r="O4400" t="str">
            <v>Y</v>
          </cell>
          <cell r="P4400" t="str">
            <v>N</v>
          </cell>
          <cell r="Q4400" t="str">
            <v>Vacancy</v>
          </cell>
          <cell r="S4400">
            <v>0.31</v>
          </cell>
        </row>
        <row r="4401">
          <cell r="D4401">
            <v>1208007130</v>
          </cell>
          <cell r="E4401" t="str">
            <v>ALAN ROWLATT-HARROD</v>
          </cell>
          <cell r="F4401" t="str">
            <v>D (Amb)</v>
          </cell>
          <cell r="G4401">
            <v>772151</v>
          </cell>
          <cell r="H4401" t="str">
            <v>Ambition</v>
          </cell>
          <cell r="I4401">
            <v>0.8125</v>
          </cell>
          <cell r="J4401">
            <v>0.33333333333333331</v>
          </cell>
          <cell r="K4401">
            <v>11.83333333</v>
          </cell>
          <cell r="L4401">
            <v>601.49</v>
          </cell>
          <cell r="O4401" t="str">
            <v>Y</v>
          </cell>
          <cell r="P4401" t="str">
            <v>N</v>
          </cell>
          <cell r="Q4401" t="str">
            <v>Short Term Sick</v>
          </cell>
          <cell r="S4401">
            <v>0.32</v>
          </cell>
        </row>
        <row r="4402">
          <cell r="D4402">
            <v>1208007591</v>
          </cell>
          <cell r="E4402" t="str">
            <v>ANTHONY OGOEGBUNAN</v>
          </cell>
          <cell r="F4402" t="str">
            <v>D (MD)</v>
          </cell>
          <cell r="H4402" t="str">
            <v>Mayday</v>
          </cell>
          <cell r="I4402">
            <v>0.83333333333333337</v>
          </cell>
          <cell r="J4402">
            <v>0.33333333333333331</v>
          </cell>
          <cell r="K4402">
            <v>11</v>
          </cell>
          <cell r="L4402">
            <v>461.75</v>
          </cell>
          <cell r="O4402" t="str">
            <v>Y</v>
          </cell>
          <cell r="P4402" t="str">
            <v>N</v>
          </cell>
          <cell r="Q4402" t="str">
            <v>Extra Capacity</v>
          </cell>
          <cell r="S4402">
            <v>0.28999999999999998</v>
          </cell>
        </row>
        <row r="4403">
          <cell r="D4403">
            <v>1208007122</v>
          </cell>
          <cell r="E4403" t="str">
            <v>ATINUKE OKE-OLATUNDE</v>
          </cell>
          <cell r="F4403" t="str">
            <v>D (MD)</v>
          </cell>
          <cell r="G4403">
            <v>360400</v>
          </cell>
          <cell r="H4403" t="str">
            <v>Mayday</v>
          </cell>
          <cell r="I4403">
            <v>0.8125</v>
          </cell>
          <cell r="J4403">
            <v>0.33333333333333331</v>
          </cell>
          <cell r="K4403">
            <v>11.5</v>
          </cell>
          <cell r="L4403">
            <v>482.74</v>
          </cell>
          <cell r="O4403" t="str">
            <v>Y</v>
          </cell>
          <cell r="P4403" t="str">
            <v>N</v>
          </cell>
          <cell r="Q4403" t="str">
            <v>Short Term Sick</v>
          </cell>
          <cell r="S4403">
            <v>0.31</v>
          </cell>
        </row>
        <row r="4404">
          <cell r="D4404">
            <v>1208003964</v>
          </cell>
          <cell r="E4404" t="str">
            <v>BEAUTY NGIDI</v>
          </cell>
          <cell r="F4404" t="str">
            <v>D (MD)</v>
          </cell>
          <cell r="G4404">
            <v>356729</v>
          </cell>
          <cell r="H4404" t="str">
            <v>Mayday</v>
          </cell>
          <cell r="I4404">
            <v>0.83333333333333337</v>
          </cell>
          <cell r="J4404">
            <v>0.33333333333333331</v>
          </cell>
          <cell r="K4404">
            <v>11.33333333</v>
          </cell>
          <cell r="L4404">
            <v>475.74</v>
          </cell>
          <cell r="O4404" t="str">
            <v>Y</v>
          </cell>
          <cell r="P4404" t="str">
            <v>N</v>
          </cell>
          <cell r="Q4404" t="str">
            <v>Extra Capacity</v>
          </cell>
          <cell r="S4404">
            <v>0.3</v>
          </cell>
        </row>
        <row r="4405">
          <cell r="D4405">
            <v>1208002503</v>
          </cell>
          <cell r="E4405" t="str">
            <v>BERNADETTE SHINYA-NDUNUWANI</v>
          </cell>
          <cell r="F4405" t="str">
            <v>D (MD)</v>
          </cell>
          <cell r="G4405">
            <v>357848</v>
          </cell>
          <cell r="H4405" t="str">
            <v>Mayday</v>
          </cell>
          <cell r="I4405">
            <v>0.3125</v>
          </cell>
          <cell r="J4405">
            <v>0.64583333333333337</v>
          </cell>
          <cell r="K4405">
            <v>7.6666666670000003</v>
          </cell>
          <cell r="L4405">
            <v>247.56</v>
          </cell>
          <cell r="O4405" t="str">
            <v>Y</v>
          </cell>
          <cell r="P4405" t="str">
            <v>N</v>
          </cell>
          <cell r="Q4405" t="str">
            <v>Extra Capacity</v>
          </cell>
          <cell r="S4405">
            <v>0.2</v>
          </cell>
        </row>
        <row r="4406">
          <cell r="D4406">
            <v>1208003959</v>
          </cell>
          <cell r="E4406" t="str">
            <v>BERNADETTE SHINYA-NDUNUWANI</v>
          </cell>
          <cell r="F4406" t="str">
            <v>D (MD)</v>
          </cell>
          <cell r="H4406" t="str">
            <v>Mayday</v>
          </cell>
          <cell r="I4406">
            <v>0.64583333333333337</v>
          </cell>
          <cell r="J4406">
            <v>0.85416666666666663</v>
          </cell>
          <cell r="K4406">
            <v>5</v>
          </cell>
          <cell r="L4406">
            <v>161.44999999999999</v>
          </cell>
          <cell r="O4406" t="str">
            <v>Y</v>
          </cell>
          <cell r="P4406" t="str">
            <v>N</v>
          </cell>
          <cell r="Q4406" t="str">
            <v>Extra Capacity</v>
          </cell>
          <cell r="S4406">
            <v>0.13</v>
          </cell>
        </row>
        <row r="4407">
          <cell r="D4407">
            <v>1208006617</v>
          </cell>
          <cell r="E4407" t="str">
            <v>BONITA BUTLER</v>
          </cell>
          <cell r="F4407" t="str">
            <v>D (MD)</v>
          </cell>
          <cell r="G4407">
            <v>354969</v>
          </cell>
          <cell r="H4407" t="str">
            <v>Mayday</v>
          </cell>
          <cell r="I4407">
            <v>0.58333333333333337</v>
          </cell>
          <cell r="J4407">
            <v>0.85416666666666663</v>
          </cell>
          <cell r="K4407">
            <v>6.1666666670000003</v>
          </cell>
          <cell r="L4407">
            <v>199.12</v>
          </cell>
          <cell r="O4407" t="str">
            <v>Y</v>
          </cell>
          <cell r="P4407" t="str">
            <v>N</v>
          </cell>
          <cell r="Q4407" t="str">
            <v>Short Term Sick</v>
          </cell>
          <cell r="S4407">
            <v>0.16</v>
          </cell>
        </row>
        <row r="4408">
          <cell r="D4408">
            <v>1208003673</v>
          </cell>
          <cell r="E4408" t="str">
            <v>BONNIE TWALA</v>
          </cell>
          <cell r="F4408" t="str">
            <v>D (Amb)</v>
          </cell>
          <cell r="G4408">
            <v>772163</v>
          </cell>
          <cell r="H4408" t="str">
            <v>Ambition</v>
          </cell>
          <cell r="I4408">
            <v>0.82291666666666663</v>
          </cell>
          <cell r="J4408">
            <v>0.34375</v>
          </cell>
          <cell r="K4408">
            <v>11.5</v>
          </cell>
          <cell r="L4408">
            <v>584.54999999999995</v>
          </cell>
          <cell r="O4408" t="str">
            <v>Y</v>
          </cell>
          <cell r="P4408" t="str">
            <v>N</v>
          </cell>
          <cell r="Q4408" t="str">
            <v>Extra Capacity</v>
          </cell>
          <cell r="S4408">
            <v>0.31</v>
          </cell>
        </row>
        <row r="4409">
          <cell r="D4409">
            <v>1108005680</v>
          </cell>
          <cell r="E4409" t="str">
            <v>BRENDA GWEKWERERE</v>
          </cell>
          <cell r="F4409" t="str">
            <v>D (Ch)</v>
          </cell>
          <cell r="G4409">
            <v>17784</v>
          </cell>
          <cell r="H4409" t="str">
            <v>Choice</v>
          </cell>
          <cell r="I4409">
            <v>0.5625</v>
          </cell>
          <cell r="J4409">
            <v>0.85416666666666663</v>
          </cell>
          <cell r="K4409">
            <v>6.6666666670000003</v>
          </cell>
          <cell r="L4409">
            <v>162.47</v>
          </cell>
          <cell r="O4409" t="str">
            <v>Y</v>
          </cell>
          <cell r="P4409" t="str">
            <v>N</v>
          </cell>
          <cell r="Q4409" t="str">
            <v>Vacancy</v>
          </cell>
          <cell r="S4409">
            <v>0.18</v>
          </cell>
        </row>
        <row r="4410">
          <cell r="D4410">
            <v>1208007628</v>
          </cell>
          <cell r="E4410" t="str">
            <v>DEBBIE HARRIS</v>
          </cell>
          <cell r="F4410" t="str">
            <v>D (MD)</v>
          </cell>
          <cell r="G4410">
            <v>355063</v>
          </cell>
          <cell r="H4410" t="str">
            <v>Mayday</v>
          </cell>
          <cell r="I4410">
            <v>0.83333333333333337</v>
          </cell>
          <cell r="J4410">
            <v>0.33333333333333331</v>
          </cell>
          <cell r="K4410">
            <v>11</v>
          </cell>
          <cell r="L4410">
            <v>461.75</v>
          </cell>
          <cell r="O4410" t="str">
            <v>Y</v>
          </cell>
          <cell r="P4410" t="str">
            <v>N</v>
          </cell>
          <cell r="Q4410" t="str">
            <v>Acuity</v>
          </cell>
          <cell r="S4410">
            <v>0.28999999999999998</v>
          </cell>
        </row>
        <row r="4411">
          <cell r="D4411">
            <v>1208003962</v>
          </cell>
          <cell r="E4411" t="str">
            <v>DENNIS HEBRON</v>
          </cell>
          <cell r="F4411" t="str">
            <v>D (Ch)</v>
          </cell>
          <cell r="H4411" t="str">
            <v>Choice</v>
          </cell>
          <cell r="I4411">
            <v>0.83333333333333337</v>
          </cell>
          <cell r="J4411">
            <v>0.33333333333333331</v>
          </cell>
          <cell r="K4411">
            <v>11.33333333</v>
          </cell>
          <cell r="L4411">
            <v>359.05</v>
          </cell>
          <cell r="O4411" t="str">
            <v>Y</v>
          </cell>
          <cell r="P4411" t="str">
            <v>N</v>
          </cell>
          <cell r="Q4411" t="str">
            <v>Extra Capacity</v>
          </cell>
          <cell r="S4411">
            <v>0.3</v>
          </cell>
        </row>
        <row r="4412">
          <cell r="D4412">
            <v>1208000422</v>
          </cell>
          <cell r="E4412" t="str">
            <v>ELEANOR LEYSO</v>
          </cell>
          <cell r="F4412" t="str">
            <v>D (Amb)</v>
          </cell>
          <cell r="H4412" t="str">
            <v>Ambition</v>
          </cell>
          <cell r="I4412">
            <v>0.3125</v>
          </cell>
          <cell r="J4412">
            <v>0.54166666666666663</v>
          </cell>
          <cell r="K4412">
            <v>5.5</v>
          </cell>
          <cell r="L4412">
            <v>215.05</v>
          </cell>
          <cell r="O4412" t="str">
            <v>Y</v>
          </cell>
          <cell r="P4412" t="str">
            <v>N</v>
          </cell>
          <cell r="Q4412" t="str">
            <v>Vacancy</v>
          </cell>
          <cell r="S4412">
            <v>0.15</v>
          </cell>
        </row>
        <row r="4413">
          <cell r="D4413">
            <v>1208006791</v>
          </cell>
          <cell r="E4413" t="str">
            <v>EUNICE ADEBANJO</v>
          </cell>
          <cell r="F4413" t="str">
            <v>D (Ch)</v>
          </cell>
          <cell r="G4413">
            <v>17877</v>
          </cell>
          <cell r="H4413" t="str">
            <v>Choice</v>
          </cell>
          <cell r="I4413">
            <v>0.82291666666666663</v>
          </cell>
          <cell r="J4413">
            <v>0.33333333333333331</v>
          </cell>
          <cell r="K4413">
            <v>11.58333333</v>
          </cell>
          <cell r="L4413">
            <v>366.97</v>
          </cell>
          <cell r="O4413" t="str">
            <v>Y</v>
          </cell>
          <cell r="P4413" t="str">
            <v>N</v>
          </cell>
          <cell r="Q4413" t="str">
            <v>Vacancy</v>
          </cell>
          <cell r="S4413">
            <v>0.31</v>
          </cell>
        </row>
        <row r="4414">
          <cell r="D4414">
            <v>1208003952</v>
          </cell>
          <cell r="E4414" t="str">
            <v>EVELYN PANESA</v>
          </cell>
          <cell r="F4414" t="str">
            <v>D (Ch)</v>
          </cell>
          <cell r="G4414">
            <v>17798</v>
          </cell>
          <cell r="H4414" t="str">
            <v>Choice</v>
          </cell>
          <cell r="I4414">
            <v>0.3125</v>
          </cell>
          <cell r="J4414">
            <v>0.60416666666666663</v>
          </cell>
          <cell r="K4414">
            <v>6.6666666670000003</v>
          </cell>
          <cell r="L4414">
            <v>162.47</v>
          </cell>
          <cell r="O4414" t="str">
            <v>Y</v>
          </cell>
          <cell r="P4414" t="str">
            <v>N</v>
          </cell>
          <cell r="Q4414" t="str">
            <v>Extra Capacity</v>
          </cell>
          <cell r="S4414">
            <v>0.18</v>
          </cell>
        </row>
        <row r="4415">
          <cell r="D4415">
            <v>1208003957</v>
          </cell>
          <cell r="E4415" t="str">
            <v>EVELYN PANESA</v>
          </cell>
          <cell r="F4415" t="str">
            <v>D (Ch)</v>
          </cell>
          <cell r="G4415">
            <v>17798</v>
          </cell>
          <cell r="H4415" t="str">
            <v>Choice</v>
          </cell>
          <cell r="I4415">
            <v>0.60416666666666663</v>
          </cell>
          <cell r="J4415">
            <v>0.85416666666666663</v>
          </cell>
          <cell r="K4415">
            <v>5.6666666670000003</v>
          </cell>
          <cell r="L4415">
            <v>138.1</v>
          </cell>
          <cell r="O4415" t="str">
            <v>Y</v>
          </cell>
          <cell r="P4415" t="str">
            <v>N</v>
          </cell>
          <cell r="Q4415" t="str">
            <v>Extra Capacity</v>
          </cell>
          <cell r="S4415">
            <v>0.15</v>
          </cell>
        </row>
        <row r="4416">
          <cell r="D4416">
            <v>1208006754</v>
          </cell>
          <cell r="E4416" t="str">
            <v>FATIMA UMARU</v>
          </cell>
          <cell r="F4416" t="str">
            <v>D (MD)</v>
          </cell>
          <cell r="G4416">
            <v>355310</v>
          </cell>
          <cell r="H4416" t="str">
            <v>Mayday</v>
          </cell>
          <cell r="I4416">
            <v>0.88541666666666663</v>
          </cell>
          <cell r="J4416">
            <v>0.3125</v>
          </cell>
          <cell r="K4416">
            <v>9.25</v>
          </cell>
          <cell r="L4416">
            <v>388.29</v>
          </cell>
          <cell r="O4416" t="str">
            <v>Y</v>
          </cell>
          <cell r="P4416" t="str">
            <v>N</v>
          </cell>
          <cell r="Q4416" t="str">
            <v>Short Term Sick</v>
          </cell>
          <cell r="S4416">
            <v>0.25</v>
          </cell>
        </row>
        <row r="4417">
          <cell r="D4417">
            <v>1208003963</v>
          </cell>
          <cell r="E4417" t="str">
            <v>GLENDA RONA</v>
          </cell>
          <cell r="F4417" t="str">
            <v>D (Ch)</v>
          </cell>
          <cell r="G4417">
            <v>17798</v>
          </cell>
          <cell r="H4417" t="str">
            <v>Choice</v>
          </cell>
          <cell r="I4417">
            <v>0.83333333333333337</v>
          </cell>
          <cell r="J4417">
            <v>0.33333333333333331</v>
          </cell>
          <cell r="K4417">
            <v>11.33333333</v>
          </cell>
          <cell r="L4417">
            <v>359.05</v>
          </cell>
          <cell r="O4417" t="str">
            <v>Y</v>
          </cell>
          <cell r="P4417" t="str">
            <v>N</v>
          </cell>
          <cell r="Q4417" t="str">
            <v>Extra Capacity</v>
          </cell>
          <cell r="S4417">
            <v>0.3</v>
          </cell>
        </row>
        <row r="4418">
          <cell r="D4418">
            <v>1208004353</v>
          </cell>
          <cell r="E4418" t="str">
            <v>JAMES MCCLEMENTS</v>
          </cell>
          <cell r="F4418" t="str">
            <v>D (MD)</v>
          </cell>
          <cell r="G4418">
            <v>356860</v>
          </cell>
          <cell r="H4418" t="str">
            <v>Mayday</v>
          </cell>
          <cell r="I4418">
            <v>0.5625</v>
          </cell>
          <cell r="J4418">
            <v>0.85416666666666663</v>
          </cell>
          <cell r="K4418">
            <v>6.6666666670000003</v>
          </cell>
          <cell r="L4418">
            <v>215.27</v>
          </cell>
          <cell r="O4418" t="str">
            <v>Y</v>
          </cell>
          <cell r="P4418" t="str">
            <v>N</v>
          </cell>
          <cell r="Q4418" t="str">
            <v>Extra Capacity</v>
          </cell>
          <cell r="S4418">
            <v>0.18</v>
          </cell>
        </row>
        <row r="4419">
          <cell r="D4419">
            <v>1208003185</v>
          </cell>
          <cell r="E4419" t="str">
            <v>JASMINE ESGUERRA</v>
          </cell>
          <cell r="F4419" t="str">
            <v>D (Ch)</v>
          </cell>
          <cell r="G4419">
            <v>17788</v>
          </cell>
          <cell r="H4419" t="str">
            <v>Choice</v>
          </cell>
          <cell r="I4419">
            <v>0.82291666666666663</v>
          </cell>
          <cell r="J4419">
            <v>0.34375</v>
          </cell>
          <cell r="K4419">
            <v>11.5</v>
          </cell>
          <cell r="L4419">
            <v>364.33</v>
          </cell>
          <cell r="O4419" t="str">
            <v>Y</v>
          </cell>
          <cell r="P4419" t="str">
            <v>N</v>
          </cell>
          <cell r="Q4419" t="str">
            <v>Extra Capacity</v>
          </cell>
          <cell r="S4419">
            <v>0.31</v>
          </cell>
        </row>
        <row r="4420">
          <cell r="D4420">
            <v>1208003961</v>
          </cell>
          <cell r="E4420" t="str">
            <v>JOELIS PASCUA</v>
          </cell>
          <cell r="F4420" t="str">
            <v>D (Ch)</v>
          </cell>
          <cell r="G4420">
            <v>17798</v>
          </cell>
          <cell r="H4420" t="str">
            <v>Choice</v>
          </cell>
          <cell r="I4420">
            <v>0.83333333333333337</v>
          </cell>
          <cell r="J4420">
            <v>0.33333333333333331</v>
          </cell>
          <cell r="K4420">
            <v>11.33333333</v>
          </cell>
          <cell r="L4420">
            <v>359.05</v>
          </cell>
          <cell r="O4420" t="str">
            <v>Y</v>
          </cell>
          <cell r="P4420" t="str">
            <v>N</v>
          </cell>
          <cell r="Q4420" t="str">
            <v>Extra Capacity</v>
          </cell>
          <cell r="S4420">
            <v>0.3</v>
          </cell>
        </row>
        <row r="4421">
          <cell r="D4421">
            <v>1208007524</v>
          </cell>
          <cell r="E4421" t="str">
            <v>JOSEPHINE MOLLOY</v>
          </cell>
          <cell r="F4421" t="str">
            <v>D (Amb)</v>
          </cell>
          <cell r="G4421">
            <v>772152</v>
          </cell>
          <cell r="H4421" t="str">
            <v>Ambition</v>
          </cell>
          <cell r="I4421">
            <v>0.8125</v>
          </cell>
          <cell r="J4421">
            <v>0.33333333333333331</v>
          </cell>
          <cell r="K4421">
            <v>11.83333333</v>
          </cell>
          <cell r="L4421">
            <v>601.49</v>
          </cell>
          <cell r="O4421" t="str">
            <v>Y</v>
          </cell>
          <cell r="P4421" t="str">
            <v>N</v>
          </cell>
          <cell r="Q4421" t="str">
            <v>Extra Capacity</v>
          </cell>
          <cell r="S4421">
            <v>0.32</v>
          </cell>
        </row>
        <row r="4422">
          <cell r="D4422">
            <v>1208000098</v>
          </cell>
          <cell r="E4422" t="str">
            <v>LEONA CONTRERAS</v>
          </cell>
          <cell r="F4422" t="str">
            <v>D (MD)</v>
          </cell>
          <cell r="G4422">
            <v>357069</v>
          </cell>
          <cell r="H4422" t="str">
            <v>Mayday</v>
          </cell>
          <cell r="I4422">
            <v>0.3125</v>
          </cell>
          <cell r="J4422">
            <v>0.54166666666666663</v>
          </cell>
          <cell r="K4422">
            <v>5.5</v>
          </cell>
          <cell r="L4422">
            <v>177.59</v>
          </cell>
          <cell r="O4422" t="str">
            <v>Y</v>
          </cell>
          <cell r="P4422" t="str">
            <v>N</v>
          </cell>
          <cell r="Q4422" t="str">
            <v>Vacancy</v>
          </cell>
          <cell r="S4422">
            <v>0.15</v>
          </cell>
        </row>
        <row r="4423">
          <cell r="D4423">
            <v>1208005163</v>
          </cell>
          <cell r="E4423" t="str">
            <v>LETECIA LIWANE</v>
          </cell>
          <cell r="F4423" t="str">
            <v>D (Ch)</v>
          </cell>
          <cell r="G4423">
            <v>17792</v>
          </cell>
          <cell r="H4423" t="str">
            <v>Choice</v>
          </cell>
          <cell r="I4423">
            <v>0.29166666666666669</v>
          </cell>
          <cell r="J4423">
            <v>0.625</v>
          </cell>
          <cell r="K4423">
            <v>7.6666666670000003</v>
          </cell>
          <cell r="L4423">
            <v>186.84</v>
          </cell>
          <cell r="M4423">
            <v>198.45</v>
          </cell>
          <cell r="O4423" t="str">
            <v>Y</v>
          </cell>
          <cell r="P4423" t="str">
            <v>N</v>
          </cell>
          <cell r="Q4423" t="str">
            <v>Specials</v>
          </cell>
          <cell r="S4423">
            <v>0.2</v>
          </cell>
        </row>
        <row r="4424">
          <cell r="D4424">
            <v>1208005168</v>
          </cell>
          <cell r="E4424" t="str">
            <v>LETECIA LIWANE</v>
          </cell>
          <cell r="F4424" t="str">
            <v>D (Ch)</v>
          </cell>
          <cell r="G4424">
            <v>17792</v>
          </cell>
          <cell r="H4424" t="str">
            <v>Choice</v>
          </cell>
          <cell r="I4424">
            <v>0.625</v>
          </cell>
          <cell r="J4424">
            <v>0.88541666666666663</v>
          </cell>
          <cell r="K4424">
            <v>5.9166666670000003</v>
          </cell>
          <cell r="L4424">
            <v>144.19</v>
          </cell>
          <cell r="M4424">
            <v>198.45</v>
          </cell>
          <cell r="O4424" t="str">
            <v>Y</v>
          </cell>
          <cell r="P4424" t="str">
            <v>N</v>
          </cell>
          <cell r="Q4424" t="str">
            <v>Specials</v>
          </cell>
          <cell r="S4424">
            <v>0.16</v>
          </cell>
        </row>
        <row r="4425">
          <cell r="D4425">
            <v>1208007593</v>
          </cell>
          <cell r="E4425" t="str">
            <v>MARIA LIM</v>
          </cell>
          <cell r="F4425" t="str">
            <v>D (Amb)</v>
          </cell>
          <cell r="G4425">
            <v>772174</v>
          </cell>
          <cell r="H4425" t="str">
            <v>Ambition</v>
          </cell>
          <cell r="I4425">
            <v>0.52083333333333337</v>
          </cell>
          <cell r="J4425">
            <v>0.85416666666666663</v>
          </cell>
          <cell r="K4425">
            <v>7.5</v>
          </cell>
          <cell r="L4425">
            <v>293.25</v>
          </cell>
          <cell r="O4425" t="str">
            <v>Y</v>
          </cell>
          <cell r="P4425" t="str">
            <v>N</v>
          </cell>
          <cell r="Q4425" t="str">
            <v>Extra Capacity</v>
          </cell>
          <cell r="S4425">
            <v>0.2</v>
          </cell>
        </row>
        <row r="4426">
          <cell r="D4426">
            <v>1208004093</v>
          </cell>
          <cell r="E4426" t="str">
            <v>MERCY AFELE</v>
          </cell>
          <cell r="F4426" t="str">
            <v>D (Amb)</v>
          </cell>
          <cell r="G4426">
            <v>772092</v>
          </cell>
          <cell r="H4426" t="str">
            <v>Ambition</v>
          </cell>
          <cell r="I4426">
            <v>0.3125</v>
          </cell>
          <cell r="J4426">
            <v>0.85416666666666663</v>
          </cell>
          <cell r="K4426">
            <v>12.33333333</v>
          </cell>
          <cell r="L4426">
            <v>482.23</v>
          </cell>
          <cell r="O4426" t="str">
            <v>Y</v>
          </cell>
          <cell r="P4426" t="str">
            <v>N</v>
          </cell>
          <cell r="Q4426" t="str">
            <v>Vacancy</v>
          </cell>
          <cell r="S4426">
            <v>0.33</v>
          </cell>
        </row>
        <row r="4427">
          <cell r="D4427">
            <v>1208002470</v>
          </cell>
          <cell r="E4427" t="str">
            <v>MICHAEL OKE</v>
          </cell>
          <cell r="F4427" t="str">
            <v>A (Ch)</v>
          </cell>
          <cell r="G4427">
            <v>17780</v>
          </cell>
          <cell r="H4427" t="str">
            <v>Choice</v>
          </cell>
          <cell r="I4427">
            <v>0.3125</v>
          </cell>
          <cell r="J4427">
            <v>0.85416666666666663</v>
          </cell>
          <cell r="K4427">
            <v>12.33333333</v>
          </cell>
          <cell r="L4427">
            <v>136.78</v>
          </cell>
          <cell r="O4427" t="str">
            <v>Y</v>
          </cell>
          <cell r="P4427" t="str">
            <v>N</v>
          </cell>
          <cell r="Q4427" t="str">
            <v>Extra Capacity</v>
          </cell>
          <cell r="S4427">
            <v>0.33</v>
          </cell>
        </row>
        <row r="4428">
          <cell r="D4428">
            <v>1208006790</v>
          </cell>
          <cell r="E4428" t="str">
            <v>NILO DANUGO</v>
          </cell>
          <cell r="F4428" t="str">
            <v>D (Ch)</v>
          </cell>
          <cell r="H4428" t="str">
            <v>Choice</v>
          </cell>
          <cell r="I4428">
            <v>0.82291666666666663</v>
          </cell>
          <cell r="J4428">
            <v>0.33333333333333331</v>
          </cell>
          <cell r="K4428">
            <v>11.58333333</v>
          </cell>
          <cell r="L4428">
            <v>366.97</v>
          </cell>
          <cell r="O4428" t="str">
            <v>Y</v>
          </cell>
          <cell r="P4428" t="str">
            <v>N</v>
          </cell>
          <cell r="Q4428" t="str">
            <v>Vacancy</v>
          </cell>
          <cell r="S4428">
            <v>0.31</v>
          </cell>
        </row>
        <row r="4429">
          <cell r="D4429">
            <v>1208003353</v>
          </cell>
          <cell r="E4429" t="str">
            <v>NKOSI BHEBHE</v>
          </cell>
          <cell r="F4429" t="str">
            <v>D (Amb)</v>
          </cell>
          <cell r="G4429">
            <v>774220</v>
          </cell>
          <cell r="H4429" t="str">
            <v>Ambition</v>
          </cell>
          <cell r="I4429">
            <v>0.63541666666666663</v>
          </cell>
          <cell r="J4429">
            <v>0.85416666666666663</v>
          </cell>
          <cell r="K4429">
            <v>5.25</v>
          </cell>
          <cell r="L4429">
            <v>205.28</v>
          </cell>
          <cell r="O4429" t="str">
            <v>Y</v>
          </cell>
          <cell r="P4429" t="str">
            <v>N</v>
          </cell>
          <cell r="Q4429" t="str">
            <v>Maternity Leave</v>
          </cell>
          <cell r="S4429">
            <v>0.14000000000000001</v>
          </cell>
        </row>
        <row r="4430">
          <cell r="D4430">
            <v>1208003943</v>
          </cell>
          <cell r="E4430" t="str">
            <v>RITCHIE RUBIA</v>
          </cell>
          <cell r="F4430" t="str">
            <v>D (Ch)</v>
          </cell>
          <cell r="H4430" t="str">
            <v>Choice</v>
          </cell>
          <cell r="I4430">
            <v>0.83333333333333337</v>
          </cell>
          <cell r="J4430">
            <v>0.33333333333333331</v>
          </cell>
          <cell r="K4430">
            <v>11.33333333</v>
          </cell>
          <cell r="L4430">
            <v>359.05</v>
          </cell>
          <cell r="O4430" t="str">
            <v>Y</v>
          </cell>
          <cell r="P4430" t="str">
            <v>N</v>
          </cell>
          <cell r="Q4430" t="str">
            <v>Extra Capacity</v>
          </cell>
          <cell r="S4430">
            <v>0.3</v>
          </cell>
        </row>
        <row r="4431">
          <cell r="D4431">
            <v>1208004372</v>
          </cell>
          <cell r="E4431" t="str">
            <v>SAMSON BARACENA</v>
          </cell>
          <cell r="F4431" t="str">
            <v>D (MD)</v>
          </cell>
          <cell r="G4431">
            <v>355249</v>
          </cell>
          <cell r="H4431" t="str">
            <v>Mayday</v>
          </cell>
          <cell r="I4431">
            <v>0.875</v>
          </cell>
          <cell r="J4431">
            <v>0.32291666666666669</v>
          </cell>
          <cell r="K4431">
            <v>10</v>
          </cell>
          <cell r="L4431">
            <v>419.77</v>
          </cell>
          <cell r="O4431" t="str">
            <v>Y</v>
          </cell>
          <cell r="P4431" t="str">
            <v>N</v>
          </cell>
          <cell r="Q4431" t="str">
            <v>Specials</v>
          </cell>
          <cell r="S4431">
            <v>0.27</v>
          </cell>
        </row>
        <row r="4432">
          <cell r="D4432">
            <v>1208003352</v>
          </cell>
          <cell r="E4432" t="str">
            <v>SIPHIOISIWE NYONI</v>
          </cell>
          <cell r="F4432" t="str">
            <v>D (Amb)</v>
          </cell>
          <cell r="G4432">
            <v>772107</v>
          </cell>
          <cell r="H4432" t="str">
            <v>Ambition</v>
          </cell>
          <cell r="I4432">
            <v>0.32291666666666669</v>
          </cell>
          <cell r="J4432">
            <v>0.54166666666666663</v>
          </cell>
          <cell r="K4432">
            <v>5.25</v>
          </cell>
          <cell r="L4432">
            <v>205.28</v>
          </cell>
          <cell r="O4432" t="str">
            <v>Y</v>
          </cell>
          <cell r="P4432" t="str">
            <v>N</v>
          </cell>
          <cell r="Q4432" t="str">
            <v>Maternity Leave</v>
          </cell>
          <cell r="S4432">
            <v>0.14000000000000001</v>
          </cell>
        </row>
        <row r="4433">
          <cell r="D4433">
            <v>1208004094</v>
          </cell>
          <cell r="E4433" t="str">
            <v>SUNITHA SINGH</v>
          </cell>
          <cell r="F4433" t="str">
            <v>D (Amb)</v>
          </cell>
          <cell r="G4433">
            <v>772083</v>
          </cell>
          <cell r="H4433" t="str">
            <v>Ambition</v>
          </cell>
          <cell r="I4433">
            <v>0.3125</v>
          </cell>
          <cell r="J4433">
            <v>0.85416666666666663</v>
          </cell>
          <cell r="K4433">
            <v>12.33333333</v>
          </cell>
          <cell r="L4433">
            <v>482.23</v>
          </cell>
          <cell r="O4433" t="str">
            <v>Y</v>
          </cell>
          <cell r="P4433" t="str">
            <v>N</v>
          </cell>
          <cell r="Q4433" t="str">
            <v>Vacancy</v>
          </cell>
          <cell r="S4433">
            <v>0.33</v>
          </cell>
        </row>
        <row r="4434">
          <cell r="D4434">
            <v>1108005679</v>
          </cell>
          <cell r="E4434" t="str">
            <v>TARA MASSIE</v>
          </cell>
          <cell r="F4434" t="str">
            <v>D (MD)</v>
          </cell>
          <cell r="G4434">
            <v>357150</v>
          </cell>
          <cell r="H4434" t="str">
            <v>Mayday</v>
          </cell>
          <cell r="I4434">
            <v>0.5625</v>
          </cell>
          <cell r="J4434">
            <v>0.85416666666666663</v>
          </cell>
          <cell r="K4434">
            <v>6.6666666670000003</v>
          </cell>
          <cell r="L4434">
            <v>215.27</v>
          </cell>
          <cell r="O4434" t="str">
            <v>Y</v>
          </cell>
          <cell r="P4434" t="str">
            <v>N</v>
          </cell>
          <cell r="Q4434" t="str">
            <v>Vacancy</v>
          </cell>
          <cell r="S4434">
            <v>0.18</v>
          </cell>
        </row>
        <row r="4435">
          <cell r="D4435">
            <v>1208004095</v>
          </cell>
          <cell r="E4435" t="str">
            <v>VICTORIA ANIKINA</v>
          </cell>
          <cell r="F4435" t="str">
            <v>D (Amb)</v>
          </cell>
          <cell r="G4435">
            <v>806854</v>
          </cell>
          <cell r="H4435" t="str">
            <v>Ambition</v>
          </cell>
          <cell r="I4435">
            <v>0.3125</v>
          </cell>
          <cell r="J4435">
            <v>0.60416666666666663</v>
          </cell>
          <cell r="K4435">
            <v>6.6666666670000003</v>
          </cell>
          <cell r="L4435">
            <v>260.67</v>
          </cell>
          <cell r="M4435">
            <v>328.48</v>
          </cell>
          <cell r="O4435" t="str">
            <v>Y</v>
          </cell>
          <cell r="P4435" t="str">
            <v>N</v>
          </cell>
          <cell r="Q4435" t="str">
            <v>Vacancy</v>
          </cell>
          <cell r="S4435">
            <v>0.18</v>
          </cell>
        </row>
        <row r="4436">
          <cell r="D4436">
            <v>1208003966</v>
          </cell>
          <cell r="E4436" t="str">
            <v>ALLI SUBRAMANIAM</v>
          </cell>
          <cell r="F4436" t="str">
            <v>D (MD)</v>
          </cell>
          <cell r="G4436">
            <v>357834</v>
          </cell>
          <cell r="H4436" t="str">
            <v>Mayday</v>
          </cell>
          <cell r="I4436">
            <v>0.3125</v>
          </cell>
          <cell r="J4436">
            <v>0.60416666666666663</v>
          </cell>
          <cell r="K4436">
            <v>6.6666666670000003</v>
          </cell>
          <cell r="L4436">
            <v>215.27</v>
          </cell>
          <cell r="O4436" t="str">
            <v>Y</v>
          </cell>
          <cell r="P4436" t="str">
            <v>N</v>
          </cell>
          <cell r="Q4436" t="str">
            <v>Extra Capacity</v>
          </cell>
          <cell r="S4436">
            <v>0.18</v>
          </cell>
        </row>
        <row r="4437">
          <cell r="D4437">
            <v>1208003971</v>
          </cell>
          <cell r="E4437" t="str">
            <v>ALLI SUBRAMANIAM</v>
          </cell>
          <cell r="F4437" t="str">
            <v>D (MD)</v>
          </cell>
          <cell r="G4437">
            <v>357834</v>
          </cell>
          <cell r="H4437" t="str">
            <v>Mayday</v>
          </cell>
          <cell r="I4437">
            <v>0.60416666666666663</v>
          </cell>
          <cell r="J4437">
            <v>0.85416666666666663</v>
          </cell>
          <cell r="K4437">
            <v>5.6666666670000003</v>
          </cell>
          <cell r="L4437">
            <v>182.98</v>
          </cell>
          <cell r="O4437" t="str">
            <v>Y</v>
          </cell>
          <cell r="P4437" t="str">
            <v>N</v>
          </cell>
          <cell r="Q4437" t="str">
            <v>Extra Capacity</v>
          </cell>
          <cell r="S4437">
            <v>0.15</v>
          </cell>
        </row>
        <row r="4438">
          <cell r="D4438">
            <v>1208005014</v>
          </cell>
          <cell r="E4438" t="str">
            <v>ATINUKE OKE-OLATUNDE</v>
          </cell>
          <cell r="F4438" t="str">
            <v>D (MD)</v>
          </cell>
          <cell r="G4438">
            <v>360415</v>
          </cell>
          <cell r="H4438" t="str">
            <v>Mayday</v>
          </cell>
          <cell r="I4438">
            <v>0.84375</v>
          </cell>
          <cell r="J4438">
            <v>0.3125</v>
          </cell>
          <cell r="K4438">
            <v>10.25</v>
          </cell>
          <cell r="L4438">
            <v>430.26</v>
          </cell>
          <cell r="O4438" t="str">
            <v>Y</v>
          </cell>
          <cell r="P4438" t="str">
            <v>N</v>
          </cell>
          <cell r="Q4438" t="str">
            <v>Vacancy</v>
          </cell>
          <cell r="S4438">
            <v>0.27</v>
          </cell>
        </row>
        <row r="4439">
          <cell r="D4439">
            <v>1208003977</v>
          </cell>
          <cell r="E4439" t="str">
            <v>BEAUTY NGIDI</v>
          </cell>
          <cell r="F4439" t="str">
            <v>D (MD)</v>
          </cell>
          <cell r="G4439">
            <v>356730</v>
          </cell>
          <cell r="H4439" t="str">
            <v>Mayday</v>
          </cell>
          <cell r="I4439">
            <v>0.83333333333333337</v>
          </cell>
          <cell r="J4439">
            <v>0.33333333333333331</v>
          </cell>
          <cell r="K4439">
            <v>11.33333333</v>
          </cell>
          <cell r="L4439">
            <v>475.74</v>
          </cell>
          <cell r="O4439" t="str">
            <v>Y</v>
          </cell>
          <cell r="P4439" t="str">
            <v>N</v>
          </cell>
          <cell r="Q4439" t="str">
            <v>Extra Capacity</v>
          </cell>
          <cell r="S4439">
            <v>0.3</v>
          </cell>
        </row>
        <row r="4440">
          <cell r="D4440">
            <v>1208002504</v>
          </cell>
          <cell r="E4440" t="str">
            <v>BERNADETTE SHINYA-NDUNUWANI</v>
          </cell>
          <cell r="F4440" t="str">
            <v>D (MD)</v>
          </cell>
          <cell r="G4440">
            <v>357848</v>
          </cell>
          <cell r="H4440" t="str">
            <v>Mayday</v>
          </cell>
          <cell r="I4440">
            <v>0.3125</v>
          </cell>
          <cell r="J4440">
            <v>0.85416666666666663</v>
          </cell>
          <cell r="K4440">
            <v>12.33333333</v>
          </cell>
          <cell r="L4440">
            <v>398.24</v>
          </cell>
          <cell r="O4440" t="str">
            <v>Y</v>
          </cell>
          <cell r="P4440" t="str">
            <v>N</v>
          </cell>
          <cell r="Q4440" t="str">
            <v>Extra Capacity</v>
          </cell>
          <cell r="S4440">
            <v>0.33</v>
          </cell>
        </row>
        <row r="4441">
          <cell r="D4441">
            <v>1208003674</v>
          </cell>
          <cell r="E4441" t="str">
            <v>BONNIE TWALA</v>
          </cell>
          <cell r="F4441" t="str">
            <v>D (Amb)</v>
          </cell>
          <cell r="G4441">
            <v>772163</v>
          </cell>
          <cell r="H4441" t="str">
            <v>Ambition</v>
          </cell>
          <cell r="I4441">
            <v>0.82291666666666663</v>
          </cell>
          <cell r="J4441">
            <v>0.34375</v>
          </cell>
          <cell r="K4441">
            <v>11.5</v>
          </cell>
          <cell r="L4441">
            <v>584.54999999999995</v>
          </cell>
          <cell r="O4441" t="str">
            <v>Y</v>
          </cell>
          <cell r="P4441" t="str">
            <v>N</v>
          </cell>
          <cell r="Q4441" t="str">
            <v>Extra Capacity</v>
          </cell>
          <cell r="S4441">
            <v>0.31</v>
          </cell>
        </row>
        <row r="4442">
          <cell r="D4442">
            <v>1208003965</v>
          </cell>
          <cell r="E4442" t="str">
            <v>BRENDA GWEKWERERE</v>
          </cell>
          <cell r="F4442" t="str">
            <v>D (Ch)</v>
          </cell>
          <cell r="G4442">
            <v>17798</v>
          </cell>
          <cell r="H4442" t="str">
            <v>Choice</v>
          </cell>
          <cell r="I4442">
            <v>0.3125</v>
          </cell>
          <cell r="J4442">
            <v>0.60416666666666663</v>
          </cell>
          <cell r="K4442">
            <v>6.6666666670000003</v>
          </cell>
          <cell r="L4442">
            <v>162.47</v>
          </cell>
          <cell r="O4442" t="str">
            <v>Y</v>
          </cell>
          <cell r="P4442" t="str">
            <v>N</v>
          </cell>
          <cell r="Q4442" t="str">
            <v>Extra Capacity</v>
          </cell>
          <cell r="S4442">
            <v>0.18</v>
          </cell>
        </row>
        <row r="4443">
          <cell r="D4443">
            <v>1208003970</v>
          </cell>
          <cell r="E4443" t="str">
            <v>BRENDA GWEKWERERE</v>
          </cell>
          <cell r="F4443" t="str">
            <v>D (Ch)</v>
          </cell>
          <cell r="G4443">
            <v>17798</v>
          </cell>
          <cell r="H4443" t="str">
            <v>Choice</v>
          </cell>
          <cell r="I4443">
            <v>0.60416666666666663</v>
          </cell>
          <cell r="J4443">
            <v>0.85416666666666663</v>
          </cell>
          <cell r="K4443">
            <v>5.6666666670000003</v>
          </cell>
          <cell r="L4443">
            <v>138.1</v>
          </cell>
          <cell r="O4443" t="str">
            <v>Y</v>
          </cell>
          <cell r="P4443" t="str">
            <v>N</v>
          </cell>
          <cell r="Q4443" t="str">
            <v>Extra Capacity</v>
          </cell>
          <cell r="S4443">
            <v>0.15</v>
          </cell>
        </row>
        <row r="4444">
          <cell r="D4444">
            <v>1208006161</v>
          </cell>
          <cell r="E4444" t="str">
            <v>CECILIA TIPPA</v>
          </cell>
          <cell r="F4444" t="str">
            <v>D (MD)</v>
          </cell>
          <cell r="G4444">
            <v>358988</v>
          </cell>
          <cell r="H4444" t="str">
            <v>Mayday</v>
          </cell>
          <cell r="I4444">
            <v>0.83333333333333337</v>
          </cell>
          <cell r="J4444">
            <v>0.33333333333333331</v>
          </cell>
          <cell r="K4444">
            <v>11.33333333</v>
          </cell>
          <cell r="L4444">
            <v>475.74</v>
          </cell>
          <cell r="O4444" t="str">
            <v>Y</v>
          </cell>
          <cell r="P4444" t="str">
            <v>N</v>
          </cell>
          <cell r="Q4444" t="str">
            <v>Vacancy</v>
          </cell>
          <cell r="S4444">
            <v>0.3</v>
          </cell>
        </row>
        <row r="4445">
          <cell r="D4445">
            <v>1108005022</v>
          </cell>
          <cell r="E4445" t="str">
            <v>CHRIS STULAR</v>
          </cell>
          <cell r="F4445" t="str">
            <v>D General (Orio</v>
          </cell>
          <cell r="G4445" t="str">
            <v>Invsd Smt checked</v>
          </cell>
          <cell r="H4445" t="str">
            <v>Orion</v>
          </cell>
          <cell r="I4445">
            <v>0.33333333333333331</v>
          </cell>
          <cell r="J4445">
            <v>0.75</v>
          </cell>
          <cell r="K4445">
            <v>9.5</v>
          </cell>
          <cell r="L4445">
            <v>172.14</v>
          </cell>
          <cell r="O4445" t="str">
            <v>Y</v>
          </cell>
          <cell r="P4445" t="str">
            <v>N</v>
          </cell>
          <cell r="Q4445" t="str">
            <v>Backfill</v>
          </cell>
          <cell r="S4445">
            <v>0.25</v>
          </cell>
        </row>
        <row r="4446">
          <cell r="D4446">
            <v>1208006843</v>
          </cell>
          <cell r="E4446" t="str">
            <v>DAWN WATSON</v>
          </cell>
          <cell r="F4446" t="str">
            <v>D (Amb)</v>
          </cell>
          <cell r="G4446">
            <v>772080</v>
          </cell>
          <cell r="H4446" t="str">
            <v>Ambition</v>
          </cell>
          <cell r="I4446">
            <v>0.625</v>
          </cell>
          <cell r="J4446">
            <v>0.85416666666666663</v>
          </cell>
          <cell r="K4446">
            <v>5.5</v>
          </cell>
          <cell r="L4446">
            <v>215.05</v>
          </cell>
          <cell r="O4446" t="str">
            <v>Y</v>
          </cell>
          <cell r="P4446" t="str">
            <v>N</v>
          </cell>
          <cell r="Q4446" t="str">
            <v>Short Term Sick</v>
          </cell>
          <cell r="S4446">
            <v>0.15</v>
          </cell>
        </row>
        <row r="4447">
          <cell r="D4447">
            <v>1208003944</v>
          </cell>
          <cell r="E4447" t="str">
            <v>EUNICE ADEBANJO</v>
          </cell>
          <cell r="F4447" t="str">
            <v>D (Ch)</v>
          </cell>
          <cell r="H4447" t="str">
            <v>Choice</v>
          </cell>
          <cell r="I4447">
            <v>0.83333333333333337</v>
          </cell>
          <cell r="J4447">
            <v>0.33333333333333331</v>
          </cell>
          <cell r="K4447">
            <v>11.33333333</v>
          </cell>
          <cell r="L4447">
            <v>359.05</v>
          </cell>
          <cell r="O4447" t="str">
            <v>Y</v>
          </cell>
          <cell r="P4447" t="str">
            <v>N</v>
          </cell>
          <cell r="Q4447" t="str">
            <v>Extra Capacity</v>
          </cell>
          <cell r="S4447">
            <v>0.3</v>
          </cell>
        </row>
        <row r="4448">
          <cell r="D4448">
            <v>1108005693</v>
          </cell>
          <cell r="E4448" t="str">
            <v>FIONA DURKIN-GREER</v>
          </cell>
          <cell r="F4448" t="str">
            <v>D (MD)</v>
          </cell>
          <cell r="G4448">
            <v>356842</v>
          </cell>
          <cell r="H4448" t="str">
            <v>Mayday</v>
          </cell>
          <cell r="I4448">
            <v>0.5625</v>
          </cell>
          <cell r="J4448">
            <v>0.85416666666666663</v>
          </cell>
          <cell r="K4448">
            <v>6.6666666670000003</v>
          </cell>
          <cell r="L4448">
            <v>215.27</v>
          </cell>
          <cell r="O4448" t="str">
            <v>Y</v>
          </cell>
          <cell r="P4448" t="str">
            <v>N</v>
          </cell>
          <cell r="Q4448" t="str">
            <v>Vacancy</v>
          </cell>
          <cell r="S4448">
            <v>0.18</v>
          </cell>
        </row>
        <row r="4449">
          <cell r="D4449">
            <v>1208006755</v>
          </cell>
          <cell r="E4449" t="str">
            <v>GEORGE MALETE</v>
          </cell>
          <cell r="F4449" t="str">
            <v>A (Ch)</v>
          </cell>
          <cell r="G4449">
            <v>18082</v>
          </cell>
          <cell r="H4449" t="str">
            <v>Choice</v>
          </cell>
          <cell r="I4449">
            <v>0.3125</v>
          </cell>
          <cell r="J4449">
            <v>0.5625</v>
          </cell>
          <cell r="K4449">
            <v>5.6666666670000003</v>
          </cell>
          <cell r="L4449">
            <v>62.84</v>
          </cell>
          <cell r="O4449" t="str">
            <v>Y</v>
          </cell>
          <cell r="P4449" t="str">
            <v>N</v>
          </cell>
          <cell r="Q4449" t="str">
            <v>Annual Leave</v>
          </cell>
          <cell r="S4449">
            <v>0.15</v>
          </cell>
        </row>
        <row r="4450">
          <cell r="D4450">
            <v>1208004743</v>
          </cell>
          <cell r="E4450" t="str">
            <v>JAKE BROOKES</v>
          </cell>
          <cell r="F4450" t="str">
            <v>D General (Orio</v>
          </cell>
          <cell r="G4450" t="str">
            <v>Invsd Smt checked</v>
          </cell>
          <cell r="H4450" t="str">
            <v>Orion</v>
          </cell>
          <cell r="I4450">
            <v>0.33333333333333331</v>
          </cell>
          <cell r="J4450">
            <v>0.75</v>
          </cell>
          <cell r="K4450">
            <v>9.6666666669999994</v>
          </cell>
          <cell r="L4450">
            <v>175.16</v>
          </cell>
          <cell r="O4450" t="str">
            <v>Y</v>
          </cell>
          <cell r="P4450" t="str">
            <v>N</v>
          </cell>
          <cell r="Q4450" t="str">
            <v>Long Term Sick</v>
          </cell>
          <cell r="S4450">
            <v>0.26</v>
          </cell>
        </row>
        <row r="4451">
          <cell r="D4451">
            <v>1208004352</v>
          </cell>
          <cell r="E4451" t="str">
            <v>JAMES MCCLEMENTS</v>
          </cell>
          <cell r="F4451" t="str">
            <v>D (MD)</v>
          </cell>
          <cell r="G4451">
            <v>356860</v>
          </cell>
          <cell r="H4451" t="str">
            <v>Mayday</v>
          </cell>
          <cell r="I4451">
            <v>0.3125</v>
          </cell>
          <cell r="J4451">
            <v>0.54166666666666663</v>
          </cell>
          <cell r="K4451">
            <v>5.5</v>
          </cell>
          <cell r="L4451">
            <v>177.59</v>
          </cell>
          <cell r="O4451" t="str">
            <v>Y</v>
          </cell>
          <cell r="P4451" t="str">
            <v>N</v>
          </cell>
          <cell r="Q4451" t="str">
            <v>Extra Capacity</v>
          </cell>
          <cell r="S4451">
            <v>0.15</v>
          </cell>
        </row>
        <row r="4452">
          <cell r="D4452">
            <v>1208004354</v>
          </cell>
          <cell r="E4452" t="str">
            <v>JAMES MCCLEMENTS</v>
          </cell>
          <cell r="F4452" t="str">
            <v>D (MD)</v>
          </cell>
          <cell r="G4452">
            <v>356860</v>
          </cell>
          <cell r="H4452" t="str">
            <v>Mayday</v>
          </cell>
          <cell r="I4452">
            <v>0.5625</v>
          </cell>
          <cell r="J4452">
            <v>0.85416666666666663</v>
          </cell>
          <cell r="K4452">
            <v>6.6666666670000003</v>
          </cell>
          <cell r="L4452">
            <v>215.27</v>
          </cell>
          <cell r="O4452" t="str">
            <v>Y</v>
          </cell>
          <cell r="P4452" t="str">
            <v>N</v>
          </cell>
          <cell r="Q4452" t="str">
            <v>Extra Capacity</v>
          </cell>
          <cell r="S4452">
            <v>0.18</v>
          </cell>
        </row>
        <row r="4453">
          <cell r="D4453">
            <v>1108005992</v>
          </cell>
          <cell r="E4453" t="str">
            <v>JEAN NGONA</v>
          </cell>
          <cell r="F4453" t="str">
            <v>D (MD)</v>
          </cell>
          <cell r="G4453">
            <v>358992</v>
          </cell>
          <cell r="H4453" t="str">
            <v>Mayday</v>
          </cell>
          <cell r="I4453">
            <v>0.3125</v>
          </cell>
          <cell r="J4453">
            <v>0.5625</v>
          </cell>
          <cell r="K4453">
            <v>5.6666666670000003</v>
          </cell>
          <cell r="L4453">
            <v>182.98</v>
          </cell>
          <cell r="O4453" t="str">
            <v>Y</v>
          </cell>
          <cell r="P4453" t="str">
            <v>N</v>
          </cell>
          <cell r="Q4453" t="str">
            <v>Annual Leave</v>
          </cell>
          <cell r="S4453">
            <v>0.15</v>
          </cell>
        </row>
        <row r="4454">
          <cell r="D4454">
            <v>1108005995</v>
          </cell>
          <cell r="E4454" t="str">
            <v>JEAN NGONA</v>
          </cell>
          <cell r="F4454" t="str">
            <v>D (MD)</v>
          </cell>
          <cell r="G4454">
            <v>358992</v>
          </cell>
          <cell r="H4454" t="str">
            <v>Mayday</v>
          </cell>
          <cell r="I4454">
            <v>0.5625</v>
          </cell>
          <cell r="J4454">
            <v>0.85416666666666663</v>
          </cell>
          <cell r="K4454">
            <v>6.6666666670000003</v>
          </cell>
          <cell r="L4454">
            <v>215.27</v>
          </cell>
          <cell r="O4454" t="str">
            <v>Y</v>
          </cell>
          <cell r="P4454" t="str">
            <v>N</v>
          </cell>
          <cell r="Q4454" t="str">
            <v>Annual Leave</v>
          </cell>
          <cell r="S4454">
            <v>0.18</v>
          </cell>
        </row>
        <row r="4455">
          <cell r="D4455">
            <v>1208007446</v>
          </cell>
          <cell r="E4455" t="str">
            <v>JOSEPHINE MOLLOY</v>
          </cell>
          <cell r="F4455" t="str">
            <v>D (Amb)</v>
          </cell>
          <cell r="G4455">
            <v>772165</v>
          </cell>
          <cell r="H4455" t="str">
            <v>Ambition</v>
          </cell>
          <cell r="I4455">
            <v>0.8125</v>
          </cell>
          <cell r="J4455">
            <v>0.33333333333333331</v>
          </cell>
          <cell r="K4455">
            <v>11.83333333</v>
          </cell>
          <cell r="L4455">
            <v>601.49</v>
          </cell>
          <cell r="O4455" t="str">
            <v>Y</v>
          </cell>
          <cell r="P4455" t="str">
            <v>N</v>
          </cell>
          <cell r="Q4455" t="str">
            <v>Extra Capacity</v>
          </cell>
          <cell r="S4455">
            <v>0.32</v>
          </cell>
        </row>
        <row r="4456">
          <cell r="D4456">
            <v>1208007588</v>
          </cell>
          <cell r="E4456" t="str">
            <v>KATH WILDREDGE</v>
          </cell>
          <cell r="F4456" t="str">
            <v>D (MD)</v>
          </cell>
          <cell r="H4456" t="str">
            <v>Mayday</v>
          </cell>
          <cell r="I4456">
            <v>0.83333333333333337</v>
          </cell>
          <cell r="J4456">
            <v>0.33333333333333331</v>
          </cell>
          <cell r="K4456">
            <v>11</v>
          </cell>
          <cell r="L4456">
            <v>461.75</v>
          </cell>
          <cell r="O4456" t="str">
            <v>Y</v>
          </cell>
          <cell r="P4456" t="str">
            <v>N</v>
          </cell>
          <cell r="Q4456" t="str">
            <v>Extra Capacity</v>
          </cell>
          <cell r="S4456">
            <v>0.28999999999999998</v>
          </cell>
        </row>
        <row r="4457">
          <cell r="D4457">
            <v>1208007592</v>
          </cell>
          <cell r="E4457" t="str">
            <v>LAETITIA MTSHATSHA</v>
          </cell>
          <cell r="F4457" t="str">
            <v>D (Amb)</v>
          </cell>
          <cell r="G4457">
            <v>805002</v>
          </cell>
          <cell r="H4457" t="str">
            <v>Ambition</v>
          </cell>
          <cell r="I4457">
            <v>0.83333333333333337</v>
          </cell>
          <cell r="J4457">
            <v>0.33333333333333331</v>
          </cell>
          <cell r="K4457">
            <v>11</v>
          </cell>
          <cell r="L4457">
            <v>559.13</v>
          </cell>
          <cell r="M4457">
            <v>644.16</v>
          </cell>
          <cell r="O4457" t="str">
            <v>Y</v>
          </cell>
          <cell r="P4457" t="str">
            <v>N</v>
          </cell>
          <cell r="Q4457" t="str">
            <v>Extra Capacity</v>
          </cell>
          <cell r="S4457">
            <v>0.28999999999999998</v>
          </cell>
        </row>
        <row r="4458">
          <cell r="D4458">
            <v>1208007137</v>
          </cell>
          <cell r="E4458" t="str">
            <v xml:space="preserve">LAVETA  NUCUM </v>
          </cell>
          <cell r="F4458" t="str">
            <v>D (Amb)</v>
          </cell>
          <cell r="G4458">
            <v>772144</v>
          </cell>
          <cell r="H4458" t="str">
            <v>Ambition</v>
          </cell>
          <cell r="I4458">
            <v>0.625</v>
          </cell>
          <cell r="J4458">
            <v>0.85416666666666663</v>
          </cell>
          <cell r="K4458">
            <v>5.5</v>
          </cell>
          <cell r="L4458">
            <v>215.05</v>
          </cell>
          <cell r="O4458" t="str">
            <v>Y</v>
          </cell>
          <cell r="P4458" t="str">
            <v>N</v>
          </cell>
          <cell r="Q4458" t="str">
            <v>Short Term Sick</v>
          </cell>
          <cell r="S4458">
            <v>0.15</v>
          </cell>
        </row>
        <row r="4459">
          <cell r="D4459">
            <v>1208007203</v>
          </cell>
          <cell r="E4459" t="str">
            <v>MARGARET MUDEKUNYE</v>
          </cell>
          <cell r="F4459" t="str">
            <v>D (Ch)</v>
          </cell>
          <cell r="G4459">
            <v>17775</v>
          </cell>
          <cell r="H4459" t="str">
            <v>Choice</v>
          </cell>
          <cell r="I4459">
            <v>0.82291666666666663</v>
          </cell>
          <cell r="J4459">
            <v>0.34375</v>
          </cell>
          <cell r="K4459">
            <v>11.5</v>
          </cell>
          <cell r="L4459">
            <v>364.33</v>
          </cell>
          <cell r="O4459" t="str">
            <v>Y</v>
          </cell>
          <cell r="P4459" t="str">
            <v>N</v>
          </cell>
          <cell r="Q4459" t="str">
            <v>Vacancy</v>
          </cell>
          <cell r="S4459">
            <v>0.31</v>
          </cell>
        </row>
        <row r="4460">
          <cell r="D4460">
            <v>1208007174</v>
          </cell>
          <cell r="E4460" t="str">
            <v>MERCY AFELE</v>
          </cell>
          <cell r="F4460" t="str">
            <v>D (Amb)</v>
          </cell>
          <cell r="G4460">
            <v>772091</v>
          </cell>
          <cell r="H4460" t="str">
            <v>Ambition</v>
          </cell>
          <cell r="I4460">
            <v>0.3125</v>
          </cell>
          <cell r="J4460">
            <v>0.85416666666666663</v>
          </cell>
          <cell r="K4460">
            <v>12.33333333</v>
          </cell>
          <cell r="L4460">
            <v>482.23</v>
          </cell>
          <cell r="O4460" t="str">
            <v>Y</v>
          </cell>
          <cell r="P4460" t="str">
            <v>N</v>
          </cell>
          <cell r="Q4460" t="str">
            <v>Vacancy</v>
          </cell>
          <cell r="S4460">
            <v>0.33</v>
          </cell>
        </row>
        <row r="4461">
          <cell r="D4461">
            <v>1208006756</v>
          </cell>
          <cell r="E4461" t="str">
            <v>MERCY SIBANDA</v>
          </cell>
          <cell r="F4461" t="str">
            <v>A (Ch)</v>
          </cell>
          <cell r="G4461">
            <v>17768</v>
          </cell>
          <cell r="H4461" t="str">
            <v>Choice</v>
          </cell>
          <cell r="I4461">
            <v>0.5625</v>
          </cell>
          <cell r="J4461">
            <v>0.85416666666666663</v>
          </cell>
          <cell r="K4461">
            <v>6.6666666670000003</v>
          </cell>
          <cell r="L4461">
            <v>73.930000000000007</v>
          </cell>
          <cell r="O4461" t="str">
            <v>Y</v>
          </cell>
          <cell r="P4461" t="str">
            <v>N</v>
          </cell>
          <cell r="Q4461" t="str">
            <v>Annual Leave</v>
          </cell>
          <cell r="S4461">
            <v>0.18</v>
          </cell>
        </row>
        <row r="4462">
          <cell r="D4462">
            <v>1208002471</v>
          </cell>
          <cell r="E4462" t="str">
            <v>MICHAEL OKE</v>
          </cell>
          <cell r="F4462" t="str">
            <v>A (Ch)</v>
          </cell>
          <cell r="G4462">
            <v>17780</v>
          </cell>
          <cell r="H4462" t="str">
            <v>Choice</v>
          </cell>
          <cell r="I4462">
            <v>0.3125</v>
          </cell>
          <cell r="J4462">
            <v>0.85416666666666663</v>
          </cell>
          <cell r="K4462">
            <v>12.33333333</v>
          </cell>
          <cell r="L4462">
            <v>136.78</v>
          </cell>
          <cell r="O4462" t="str">
            <v>Y</v>
          </cell>
          <cell r="P4462" t="str">
            <v>N</v>
          </cell>
          <cell r="Q4462" t="str">
            <v>Extra Capacity</v>
          </cell>
          <cell r="S4462">
            <v>0.33</v>
          </cell>
        </row>
        <row r="4463">
          <cell r="D4463">
            <v>1208005013</v>
          </cell>
          <cell r="E4463" t="str">
            <v>NILO DANUGO</v>
          </cell>
          <cell r="F4463" t="str">
            <v>D (Ch)</v>
          </cell>
          <cell r="G4463">
            <v>17766</v>
          </cell>
          <cell r="H4463" t="str">
            <v>Choice</v>
          </cell>
          <cell r="I4463">
            <v>0.83333333333333337</v>
          </cell>
          <cell r="J4463">
            <v>0.32291666666666669</v>
          </cell>
          <cell r="K4463">
            <v>11.41666667</v>
          </cell>
          <cell r="L4463">
            <v>361.69</v>
          </cell>
          <cell r="O4463" t="str">
            <v>Y</v>
          </cell>
          <cell r="P4463" t="str">
            <v>N</v>
          </cell>
          <cell r="Q4463" t="str">
            <v>Vacancy</v>
          </cell>
          <cell r="S4463">
            <v>0.3</v>
          </cell>
        </row>
        <row r="4464">
          <cell r="D4464">
            <v>1208006898</v>
          </cell>
          <cell r="E4464" t="str">
            <v>NKOSI BHEBHE</v>
          </cell>
          <cell r="F4464" t="str">
            <v>D (Amb)</v>
          </cell>
          <cell r="G4464">
            <v>774214</v>
          </cell>
          <cell r="H4464" t="str">
            <v>Ambition</v>
          </cell>
          <cell r="I4464">
            <v>0.625</v>
          </cell>
          <cell r="J4464">
            <v>0.85416666666666663</v>
          </cell>
          <cell r="K4464">
            <v>5.5</v>
          </cell>
          <cell r="L4464">
            <v>215.05</v>
          </cell>
          <cell r="O4464" t="str">
            <v>Y</v>
          </cell>
          <cell r="P4464" t="str">
            <v>N</v>
          </cell>
          <cell r="Q4464" t="str">
            <v>Vacancy</v>
          </cell>
          <cell r="S4464">
            <v>0.15</v>
          </cell>
        </row>
        <row r="4465">
          <cell r="D4465">
            <v>1208006320</v>
          </cell>
          <cell r="E4465" t="str">
            <v>RIAZ AHMED</v>
          </cell>
          <cell r="F4465" t="str">
            <v>D/5 Mental (Med</v>
          </cell>
          <cell r="G4465" t="str">
            <v>604-163937</v>
          </cell>
          <cell r="H4465" t="str">
            <v>Medacs</v>
          </cell>
          <cell r="I4465">
            <v>0.29166666666666669</v>
          </cell>
          <cell r="J4465">
            <v>0.625</v>
          </cell>
          <cell r="K4465">
            <v>7.6666666670000003</v>
          </cell>
          <cell r="L4465">
            <v>141.30000000000001</v>
          </cell>
          <cell r="O4465" t="str">
            <v>Y</v>
          </cell>
          <cell r="P4465" t="str">
            <v>N</v>
          </cell>
          <cell r="Q4465" t="str">
            <v>Specials</v>
          </cell>
          <cell r="S4465">
            <v>0.2</v>
          </cell>
        </row>
        <row r="4466">
          <cell r="D4466">
            <v>1208006321</v>
          </cell>
          <cell r="E4466" t="str">
            <v>RIAZ AHMED</v>
          </cell>
          <cell r="F4466" t="str">
            <v>D/5 Mental (Med</v>
          </cell>
          <cell r="G4466" t="str">
            <v>604-163937</v>
          </cell>
          <cell r="H4466" t="str">
            <v>Medacs</v>
          </cell>
          <cell r="I4466">
            <v>0.625</v>
          </cell>
          <cell r="J4466">
            <v>0.88541666666666663</v>
          </cell>
          <cell r="K4466">
            <v>5.9166666670000003</v>
          </cell>
          <cell r="L4466">
            <v>109.04</v>
          </cell>
          <cell r="O4466" t="str">
            <v>Y</v>
          </cell>
          <cell r="P4466" t="str">
            <v>N</v>
          </cell>
          <cell r="Q4466" t="str">
            <v>Specials</v>
          </cell>
          <cell r="S4466">
            <v>0.16</v>
          </cell>
        </row>
        <row r="4467">
          <cell r="D4467">
            <v>1208007480</v>
          </cell>
          <cell r="E4467" t="str">
            <v>ROJIMON VARUGHE</v>
          </cell>
          <cell r="F4467" t="str">
            <v>D (Amb)</v>
          </cell>
          <cell r="G4467">
            <v>774245</v>
          </cell>
          <cell r="H4467" t="str">
            <v>Ambition</v>
          </cell>
          <cell r="I4467">
            <v>0.8125</v>
          </cell>
          <cell r="J4467">
            <v>0.33333333333333331</v>
          </cell>
          <cell r="K4467">
            <v>11.83333333</v>
          </cell>
          <cell r="L4467">
            <v>601.49</v>
          </cell>
          <cell r="O4467" t="str">
            <v>Y</v>
          </cell>
          <cell r="P4467" t="str">
            <v>N</v>
          </cell>
          <cell r="Q4467" t="str">
            <v>Short Term Sick</v>
          </cell>
          <cell r="S4467">
            <v>0.32</v>
          </cell>
        </row>
        <row r="4468">
          <cell r="D4468">
            <v>1208003974</v>
          </cell>
          <cell r="E4468" t="str">
            <v>RUSSELL CATIBOG</v>
          </cell>
          <cell r="F4468" t="str">
            <v>D (Ch)</v>
          </cell>
          <cell r="G4468">
            <v>17798</v>
          </cell>
          <cell r="H4468" t="str">
            <v>Choice</v>
          </cell>
          <cell r="I4468">
            <v>0.83333333333333337</v>
          </cell>
          <cell r="J4468">
            <v>0.33333333333333331</v>
          </cell>
          <cell r="K4468">
            <v>11.33333333</v>
          </cell>
          <cell r="L4468">
            <v>359.05</v>
          </cell>
          <cell r="O4468" t="str">
            <v>Y</v>
          </cell>
          <cell r="P4468" t="str">
            <v>N</v>
          </cell>
          <cell r="Q4468" t="str">
            <v>Extra Capacity</v>
          </cell>
          <cell r="S4468">
            <v>0.3</v>
          </cell>
        </row>
        <row r="4469">
          <cell r="D4469">
            <v>1208006160</v>
          </cell>
          <cell r="E4469" t="str">
            <v>SAMSON BARACENA</v>
          </cell>
          <cell r="F4469" t="str">
            <v>D (MD)</v>
          </cell>
          <cell r="G4469">
            <v>355248</v>
          </cell>
          <cell r="H4469" t="str">
            <v>Mayday</v>
          </cell>
          <cell r="I4469">
            <v>0.83333333333333337</v>
          </cell>
          <cell r="J4469">
            <v>0.33333333333333331</v>
          </cell>
          <cell r="K4469">
            <v>11.33333333</v>
          </cell>
          <cell r="L4469">
            <v>475.74</v>
          </cell>
          <cell r="O4469" t="str">
            <v>Y</v>
          </cell>
          <cell r="P4469" t="str">
            <v>N</v>
          </cell>
          <cell r="Q4469" t="str">
            <v>Vacancy</v>
          </cell>
          <cell r="S4469">
            <v>0.3</v>
          </cell>
        </row>
        <row r="4470">
          <cell r="D4470">
            <v>1208007325</v>
          </cell>
          <cell r="E4470" t="str">
            <v>SARAH MAKOTORE</v>
          </cell>
          <cell r="F4470" t="str">
            <v>D (Ch)</v>
          </cell>
          <cell r="G4470">
            <v>17792</v>
          </cell>
          <cell r="H4470" t="str">
            <v>Choice</v>
          </cell>
          <cell r="I4470">
            <v>0.875</v>
          </cell>
          <cell r="J4470">
            <v>0.3125</v>
          </cell>
          <cell r="K4470">
            <v>10.16666667</v>
          </cell>
          <cell r="L4470">
            <v>322.08999999999997</v>
          </cell>
          <cell r="M4470">
            <v>326.52</v>
          </cell>
          <cell r="O4470" t="str">
            <v>Y</v>
          </cell>
          <cell r="P4470" t="str">
            <v>N</v>
          </cell>
          <cell r="Q4470" t="str">
            <v>Specials</v>
          </cell>
          <cell r="S4470">
            <v>0.27</v>
          </cell>
        </row>
        <row r="4471">
          <cell r="D4471">
            <v>1108005691</v>
          </cell>
          <cell r="E4471" t="str">
            <v>TARA MASSIE</v>
          </cell>
          <cell r="F4471" t="str">
            <v>D (MD)</v>
          </cell>
          <cell r="G4471">
            <v>357150</v>
          </cell>
          <cell r="H4471" t="str">
            <v>Mayday</v>
          </cell>
          <cell r="I4471">
            <v>0.3125</v>
          </cell>
          <cell r="J4471">
            <v>0.5625</v>
          </cell>
          <cell r="K4471">
            <v>5.6666666670000003</v>
          </cell>
          <cell r="L4471">
            <v>182.98</v>
          </cell>
          <cell r="O4471" t="str">
            <v>Y</v>
          </cell>
          <cell r="P4471" t="str">
            <v>N</v>
          </cell>
          <cell r="Q4471" t="str">
            <v>Vacancy</v>
          </cell>
          <cell r="S4471">
            <v>0.15</v>
          </cell>
        </row>
        <row r="4472">
          <cell r="D4472">
            <v>1108005694</v>
          </cell>
          <cell r="E4472" t="str">
            <v>TARA MASSIE</v>
          </cell>
          <cell r="F4472" t="str">
            <v>D (MD)</v>
          </cell>
          <cell r="G4472">
            <v>357150</v>
          </cell>
          <cell r="H4472" t="str">
            <v>Mayday</v>
          </cell>
          <cell r="I4472">
            <v>0.5625</v>
          </cell>
          <cell r="J4472">
            <v>0.85416666666666663</v>
          </cell>
          <cell r="K4472">
            <v>6.6666666670000003</v>
          </cell>
          <cell r="L4472">
            <v>215.27</v>
          </cell>
          <cell r="O4472" t="str">
            <v>Y</v>
          </cell>
          <cell r="P4472" t="str">
            <v>N</v>
          </cell>
          <cell r="Q4472" t="str">
            <v>Vacancy</v>
          </cell>
          <cell r="S4472">
            <v>0.18</v>
          </cell>
        </row>
        <row r="4473">
          <cell r="D4473">
            <v>1208005658</v>
          </cell>
          <cell r="E4473" t="str">
            <v>TERESA RADEJKO</v>
          </cell>
          <cell r="F4473" t="str">
            <v>D (Amb)</v>
          </cell>
          <cell r="G4473">
            <v>772077</v>
          </cell>
          <cell r="H4473" t="str">
            <v>Ambition</v>
          </cell>
          <cell r="I4473">
            <v>0.60416666666666663</v>
          </cell>
          <cell r="J4473">
            <v>0.8125</v>
          </cell>
          <cell r="K4473">
            <v>5</v>
          </cell>
          <cell r="L4473">
            <v>195.5</v>
          </cell>
          <cell r="O4473" t="str">
            <v>Y</v>
          </cell>
          <cell r="P4473" t="str">
            <v>N</v>
          </cell>
          <cell r="Q4473" t="str">
            <v>Short Term Sick</v>
          </cell>
          <cell r="S4473">
            <v>0.13</v>
          </cell>
        </row>
        <row r="4474">
          <cell r="D4474">
            <v>1208007316</v>
          </cell>
          <cell r="E4474" t="str">
            <v>TERRY MANWAIRE</v>
          </cell>
          <cell r="F4474" t="str">
            <v>D (Ch)</v>
          </cell>
          <cell r="H4474" t="str">
            <v>Choice</v>
          </cell>
          <cell r="I4474">
            <v>0.82291666666666663</v>
          </cell>
          <cell r="J4474">
            <v>0.34375</v>
          </cell>
          <cell r="K4474">
            <v>11.5</v>
          </cell>
          <cell r="L4474">
            <v>364.33</v>
          </cell>
          <cell r="O4474" t="str">
            <v>Y</v>
          </cell>
          <cell r="P4474" t="str">
            <v>N</v>
          </cell>
          <cell r="Q4474" t="str">
            <v>Short Term Sick</v>
          </cell>
          <cell r="S4474">
            <v>0.31</v>
          </cell>
        </row>
        <row r="4475">
          <cell r="D4475">
            <v>1208007572</v>
          </cell>
          <cell r="E4475" t="str">
            <v>TONDERA MAKAZA</v>
          </cell>
          <cell r="F4475" t="str">
            <v>A (Ch)</v>
          </cell>
          <cell r="G4475">
            <v>17768</v>
          </cell>
          <cell r="H4475" t="str">
            <v>Choice</v>
          </cell>
          <cell r="I4475">
            <v>0.83333333333333337</v>
          </cell>
          <cell r="J4475">
            <v>0.33333333333333331</v>
          </cell>
          <cell r="K4475">
            <v>11.33333333</v>
          </cell>
          <cell r="L4475">
            <v>167.58</v>
          </cell>
          <cell r="O4475" t="str">
            <v>Y</v>
          </cell>
          <cell r="P4475" t="str">
            <v>N</v>
          </cell>
          <cell r="Q4475" t="str">
            <v>Vacancy</v>
          </cell>
          <cell r="S4475">
            <v>0.3</v>
          </cell>
        </row>
        <row r="4476">
          <cell r="D4476">
            <v>1208007522</v>
          </cell>
          <cell r="E4476" t="str">
            <v>TRUST CHIWUNDURA</v>
          </cell>
          <cell r="F4476" t="str">
            <v>A (Ch)</v>
          </cell>
          <cell r="G4476">
            <v>17777</v>
          </cell>
          <cell r="H4476" t="str">
            <v>Choice</v>
          </cell>
          <cell r="I4476">
            <v>0.83333333333333337</v>
          </cell>
          <cell r="J4476">
            <v>0.33333333333333331</v>
          </cell>
          <cell r="K4476">
            <v>11.33333333</v>
          </cell>
          <cell r="L4476">
            <v>167.58</v>
          </cell>
          <cell r="O4476" t="str">
            <v>Y</v>
          </cell>
          <cell r="P4476" t="str">
            <v>N</v>
          </cell>
          <cell r="Q4476" t="str">
            <v>Specials</v>
          </cell>
          <cell r="S4476">
            <v>0.3</v>
          </cell>
        </row>
        <row r="4477">
          <cell r="D4477">
            <v>1208004101</v>
          </cell>
          <cell r="E4477" t="str">
            <v>VICTORIA ANIKINA</v>
          </cell>
          <cell r="F4477" t="str">
            <v>D (Amb)</v>
          </cell>
          <cell r="G4477">
            <v>806854</v>
          </cell>
          <cell r="H4477" t="str">
            <v>Ambition</v>
          </cell>
          <cell r="I4477">
            <v>0.3125</v>
          </cell>
          <cell r="J4477">
            <v>0.60416666666666663</v>
          </cell>
          <cell r="K4477">
            <v>6.6666666670000003</v>
          </cell>
          <cell r="L4477">
            <v>260.67</v>
          </cell>
          <cell r="M4477">
            <v>328.48</v>
          </cell>
          <cell r="O4477" t="str">
            <v>Y</v>
          </cell>
          <cell r="P4477" t="str">
            <v>N</v>
          </cell>
          <cell r="Q4477" t="str">
            <v>Vacancy</v>
          </cell>
          <cell r="S4477">
            <v>0.18</v>
          </cell>
        </row>
        <row r="4478">
          <cell r="D4478">
            <v>1208004100</v>
          </cell>
          <cell r="E4478" t="str">
            <v>VICTORIA MAESTRANI</v>
          </cell>
          <cell r="F4478" t="str">
            <v>D (MD)</v>
          </cell>
          <cell r="G4478">
            <v>356765</v>
          </cell>
          <cell r="H4478" t="str">
            <v>Mayday</v>
          </cell>
          <cell r="I4478">
            <v>0.3125</v>
          </cell>
          <cell r="J4478">
            <v>0.85416666666666663</v>
          </cell>
          <cell r="K4478">
            <v>12.33333333</v>
          </cell>
          <cell r="L4478">
            <v>398.24</v>
          </cell>
          <cell r="O4478" t="str">
            <v>Y</v>
          </cell>
          <cell r="P4478" t="str">
            <v>N</v>
          </cell>
          <cell r="Q4478" t="str">
            <v>Vacancy</v>
          </cell>
          <cell r="S4478">
            <v>0.33</v>
          </cell>
        </row>
        <row r="4479">
          <cell r="D4479">
            <v>1208007646</v>
          </cell>
          <cell r="E4479" t="str">
            <v>VICTORIA VALETE</v>
          </cell>
          <cell r="F4479" t="str">
            <v>D (MD)</v>
          </cell>
          <cell r="G4479">
            <v>355879</v>
          </cell>
          <cell r="H4479" t="str">
            <v>Mayday</v>
          </cell>
          <cell r="I4479">
            <v>0.83333333333333337</v>
          </cell>
          <cell r="J4479">
            <v>0.33333333333333331</v>
          </cell>
          <cell r="K4479">
            <v>11</v>
          </cell>
          <cell r="L4479">
            <v>461.75</v>
          </cell>
          <cell r="O4479" t="str">
            <v>Y</v>
          </cell>
          <cell r="P4479" t="str">
            <v>N</v>
          </cell>
          <cell r="Q4479" t="str">
            <v>Extra Capacity</v>
          </cell>
          <cell r="S4479">
            <v>0.28999999999999998</v>
          </cell>
        </row>
        <row r="4480">
          <cell r="D4480">
            <v>1208008158</v>
          </cell>
          <cell r="E4480" t="str">
            <v>ALAN ROWLATT-HARROD</v>
          </cell>
          <cell r="F4480" t="str">
            <v>D (Amb)</v>
          </cell>
          <cell r="H4480" t="str">
            <v>Ambition</v>
          </cell>
          <cell r="I4480">
            <v>0.88541666666666663</v>
          </cell>
          <cell r="J4480">
            <v>0.3125</v>
          </cell>
          <cell r="K4480">
            <v>9.25</v>
          </cell>
          <cell r="L4480">
            <v>470.18</v>
          </cell>
          <cell r="O4480" t="str">
            <v>Y</v>
          </cell>
          <cell r="P4480" t="str">
            <v>N</v>
          </cell>
          <cell r="Q4480" t="str">
            <v>Short Term Sick</v>
          </cell>
          <cell r="S4480">
            <v>0.25</v>
          </cell>
        </row>
        <row r="4481">
          <cell r="D4481">
            <v>1208003978</v>
          </cell>
          <cell r="E4481" t="str">
            <v>ALLI SUBRAMANIAM</v>
          </cell>
          <cell r="F4481" t="str">
            <v>D (MD)</v>
          </cell>
          <cell r="G4481">
            <v>357832</v>
          </cell>
          <cell r="H4481" t="str">
            <v>Mayday</v>
          </cell>
          <cell r="I4481">
            <v>0.3125</v>
          </cell>
          <cell r="J4481">
            <v>0.60416666666666663</v>
          </cell>
          <cell r="K4481">
            <v>6.6666666670000003</v>
          </cell>
          <cell r="L4481">
            <v>215.27</v>
          </cell>
          <cell r="O4481" t="str">
            <v>Y</v>
          </cell>
          <cell r="P4481" t="str">
            <v>N</v>
          </cell>
          <cell r="Q4481" t="str">
            <v>Extra Capacity</v>
          </cell>
          <cell r="S4481">
            <v>0.18</v>
          </cell>
        </row>
        <row r="4482">
          <cell r="D4482">
            <v>1208003985</v>
          </cell>
          <cell r="E4482" t="str">
            <v>ALLI SUBRAMANIAM</v>
          </cell>
          <cell r="F4482" t="str">
            <v>D (MD)</v>
          </cell>
          <cell r="G4482">
            <v>357832</v>
          </cell>
          <cell r="H4482" t="str">
            <v>Mayday</v>
          </cell>
          <cell r="I4482">
            <v>0.60416666666666663</v>
          </cell>
          <cell r="J4482">
            <v>0.85416666666666663</v>
          </cell>
          <cell r="K4482">
            <v>5.6666666670000003</v>
          </cell>
          <cell r="L4482">
            <v>182.98</v>
          </cell>
          <cell r="O4482" t="str">
            <v>Y</v>
          </cell>
          <cell r="P4482" t="str">
            <v>N</v>
          </cell>
          <cell r="Q4482" t="str">
            <v>Extra Capacity</v>
          </cell>
          <cell r="S4482">
            <v>0.15</v>
          </cell>
        </row>
        <row r="4483">
          <cell r="D4483">
            <v>1208007581</v>
          </cell>
          <cell r="E4483" t="str">
            <v>ANTOIENTT STAASSEN</v>
          </cell>
          <cell r="F4483" t="str">
            <v>D (Amb)</v>
          </cell>
          <cell r="G4483">
            <v>772160</v>
          </cell>
          <cell r="H4483" t="str">
            <v>Ambition</v>
          </cell>
          <cell r="I4483">
            <v>0.82291666666666663</v>
          </cell>
          <cell r="J4483">
            <v>0.34375</v>
          </cell>
          <cell r="K4483">
            <v>11.83333333</v>
          </cell>
          <cell r="L4483">
            <v>601.49</v>
          </cell>
          <cell r="O4483" t="str">
            <v>Y</v>
          </cell>
          <cell r="P4483" t="str">
            <v>N</v>
          </cell>
          <cell r="Q4483" t="str">
            <v>Vacancy</v>
          </cell>
          <cell r="S4483">
            <v>0.32</v>
          </cell>
        </row>
        <row r="4484">
          <cell r="D4484">
            <v>1208002505</v>
          </cell>
          <cell r="E4484" t="str">
            <v>BERNADETTE SHINYA-NDUNUWANI</v>
          </cell>
          <cell r="F4484" t="str">
            <v>D (MD)</v>
          </cell>
          <cell r="G4484">
            <v>357848</v>
          </cell>
          <cell r="H4484" t="str">
            <v>Mayday</v>
          </cell>
          <cell r="I4484">
            <v>0.3125</v>
          </cell>
          <cell r="J4484">
            <v>0.64583333333333337</v>
          </cell>
          <cell r="K4484">
            <v>7.6666666670000003</v>
          </cell>
          <cell r="L4484">
            <v>247.56</v>
          </cell>
          <cell r="O4484" t="str">
            <v>Y</v>
          </cell>
          <cell r="P4484" t="str">
            <v>N</v>
          </cell>
          <cell r="Q4484" t="str">
            <v>Extra Capacity</v>
          </cell>
          <cell r="S4484">
            <v>0.2</v>
          </cell>
        </row>
        <row r="4485">
          <cell r="D4485">
            <v>1208006358</v>
          </cell>
          <cell r="E4485" t="str">
            <v>BERTHA CHITABO</v>
          </cell>
          <cell r="F4485" t="str">
            <v>D (Ch)</v>
          </cell>
          <cell r="G4485">
            <v>17784</v>
          </cell>
          <cell r="H4485" t="str">
            <v>Choice</v>
          </cell>
          <cell r="I4485">
            <v>0.83333333333333337</v>
          </cell>
          <cell r="J4485">
            <v>0.33333333333333331</v>
          </cell>
          <cell r="K4485">
            <v>11.33333333</v>
          </cell>
          <cell r="L4485">
            <v>359.05</v>
          </cell>
          <cell r="O4485" t="str">
            <v>Y</v>
          </cell>
          <cell r="P4485" t="str">
            <v>N</v>
          </cell>
          <cell r="Q4485" t="str">
            <v>Vacancy</v>
          </cell>
          <cell r="S4485">
            <v>0.3</v>
          </cell>
        </row>
        <row r="4486">
          <cell r="D4486">
            <v>1208007322</v>
          </cell>
          <cell r="E4486" t="str">
            <v>CHRSTINA PALENIKOVA</v>
          </cell>
          <cell r="F4486" t="str">
            <v>A /2 General (B</v>
          </cell>
          <cell r="G4486" t="str">
            <v>604-164323</v>
          </cell>
          <cell r="H4486" t="str">
            <v>Blue Arrow</v>
          </cell>
          <cell r="I4486">
            <v>0.58333333333333337</v>
          </cell>
          <cell r="J4486">
            <v>0.83333333333333337</v>
          </cell>
          <cell r="K4486">
            <v>5.6666666670000003</v>
          </cell>
          <cell r="L4486">
            <v>55.25</v>
          </cell>
          <cell r="O4486" t="str">
            <v>Y</v>
          </cell>
          <cell r="P4486" t="str">
            <v>N</v>
          </cell>
          <cell r="Q4486" t="str">
            <v>Short Term Sick</v>
          </cell>
          <cell r="S4486">
            <v>0.15</v>
          </cell>
        </row>
        <row r="4487">
          <cell r="D4487">
            <v>1208003981</v>
          </cell>
          <cell r="E4487" t="str">
            <v>DENNIS HEBRON</v>
          </cell>
          <cell r="F4487" t="str">
            <v>D (Ch)</v>
          </cell>
          <cell r="H4487" t="str">
            <v>Choice</v>
          </cell>
          <cell r="I4487">
            <v>0.3125</v>
          </cell>
          <cell r="J4487">
            <v>0.60416666666666663</v>
          </cell>
          <cell r="K4487">
            <v>6.6666666670000003</v>
          </cell>
          <cell r="L4487">
            <v>162.47</v>
          </cell>
          <cell r="O4487" t="str">
            <v>Y</v>
          </cell>
          <cell r="P4487" t="str">
            <v>N</v>
          </cell>
          <cell r="Q4487" t="str">
            <v>Extra Capacity</v>
          </cell>
          <cell r="S4487">
            <v>0.18</v>
          </cell>
        </row>
        <row r="4488">
          <cell r="D4488">
            <v>1208003983</v>
          </cell>
          <cell r="E4488" t="str">
            <v>DENNIS HEBRON</v>
          </cell>
          <cell r="F4488" t="str">
            <v>D (Ch)</v>
          </cell>
          <cell r="H4488" t="str">
            <v>Choice</v>
          </cell>
          <cell r="I4488">
            <v>0.60416666666666663</v>
          </cell>
          <cell r="J4488">
            <v>0.85416666666666663</v>
          </cell>
          <cell r="K4488">
            <v>5.6666666670000003</v>
          </cell>
          <cell r="L4488">
            <v>138.1</v>
          </cell>
          <cell r="O4488" t="str">
            <v>Y</v>
          </cell>
          <cell r="P4488" t="str">
            <v>N</v>
          </cell>
          <cell r="Q4488" t="str">
            <v>Extra Capacity</v>
          </cell>
          <cell r="S4488">
            <v>0.15</v>
          </cell>
        </row>
        <row r="4489">
          <cell r="D4489">
            <v>1208007148</v>
          </cell>
          <cell r="E4489" t="str">
            <v>DOROTHY MUTEMWA</v>
          </cell>
          <cell r="F4489" t="str">
            <v>A (Ch)</v>
          </cell>
          <cell r="G4489">
            <v>17784</v>
          </cell>
          <cell r="H4489" t="str">
            <v>Choice</v>
          </cell>
          <cell r="I4489">
            <v>0.54166666666666663</v>
          </cell>
          <cell r="J4489">
            <v>0.83333333333333337</v>
          </cell>
          <cell r="K4489">
            <v>6.6666666670000003</v>
          </cell>
          <cell r="L4489">
            <v>73.930000000000007</v>
          </cell>
          <cell r="O4489" t="str">
            <v>Y</v>
          </cell>
          <cell r="P4489" t="str">
            <v>N</v>
          </cell>
          <cell r="Q4489" t="str">
            <v>Extra Capacity</v>
          </cell>
          <cell r="S4489">
            <v>0.18</v>
          </cell>
        </row>
        <row r="4490">
          <cell r="D4490">
            <v>1208000430</v>
          </cell>
          <cell r="E4490" t="str">
            <v>EMMA FLIT-ELY</v>
          </cell>
          <cell r="F4490" t="str">
            <v>D (Ch)</v>
          </cell>
          <cell r="H4490" t="str">
            <v>Choice</v>
          </cell>
          <cell r="I4490">
            <v>0.3125</v>
          </cell>
          <cell r="J4490">
            <v>0.54166666666666663</v>
          </cell>
          <cell r="K4490">
            <v>5.5</v>
          </cell>
          <cell r="L4490">
            <v>134.03</v>
          </cell>
          <cell r="O4490" t="str">
            <v>Y</v>
          </cell>
          <cell r="P4490" t="str">
            <v>N</v>
          </cell>
          <cell r="Q4490" t="str">
            <v>Vacancy</v>
          </cell>
          <cell r="S4490">
            <v>0.15</v>
          </cell>
        </row>
        <row r="4491">
          <cell r="D4491">
            <v>1208003988</v>
          </cell>
          <cell r="E4491" t="str">
            <v>EUNICE ADEBANJO</v>
          </cell>
          <cell r="F4491" t="str">
            <v>D (Ch)</v>
          </cell>
          <cell r="G4491">
            <v>17867</v>
          </cell>
          <cell r="H4491" t="str">
            <v>Choice</v>
          </cell>
          <cell r="I4491">
            <v>0.83333333333333337</v>
          </cell>
          <cell r="J4491">
            <v>0.33333333333333331</v>
          </cell>
          <cell r="K4491">
            <v>11.33333333</v>
          </cell>
          <cell r="L4491">
            <v>359.05</v>
          </cell>
          <cell r="O4491" t="str">
            <v>Y</v>
          </cell>
          <cell r="P4491" t="str">
            <v>N</v>
          </cell>
          <cell r="Q4491" t="str">
            <v>Extra Capacity</v>
          </cell>
          <cell r="S4491">
            <v>0.3</v>
          </cell>
        </row>
        <row r="4492">
          <cell r="D4492">
            <v>1208003980</v>
          </cell>
          <cell r="E4492" t="str">
            <v>EVELYN PANESA</v>
          </cell>
          <cell r="F4492" t="str">
            <v>D (Ch)</v>
          </cell>
          <cell r="H4492" t="str">
            <v>Choice</v>
          </cell>
          <cell r="I4492">
            <v>0.3125</v>
          </cell>
          <cell r="J4492">
            <v>0.60416666666666663</v>
          </cell>
          <cell r="K4492">
            <v>6.6666666670000003</v>
          </cell>
          <cell r="L4492">
            <v>162.47</v>
          </cell>
          <cell r="O4492" t="str">
            <v>Y</v>
          </cell>
          <cell r="P4492" t="str">
            <v>N</v>
          </cell>
          <cell r="Q4492" t="str">
            <v>Extra Capacity</v>
          </cell>
          <cell r="S4492">
            <v>0.18</v>
          </cell>
        </row>
        <row r="4493">
          <cell r="D4493">
            <v>1208003982</v>
          </cell>
          <cell r="E4493" t="str">
            <v>EVELYN PANESA</v>
          </cell>
          <cell r="F4493" t="str">
            <v>D (Ch)</v>
          </cell>
          <cell r="H4493" t="str">
            <v>Choice</v>
          </cell>
          <cell r="I4493">
            <v>0.60416666666666663</v>
          </cell>
          <cell r="J4493">
            <v>0.85416666666666663</v>
          </cell>
          <cell r="K4493">
            <v>5.6666666670000003</v>
          </cell>
          <cell r="L4493">
            <v>138.1</v>
          </cell>
          <cell r="O4493" t="str">
            <v>Y</v>
          </cell>
          <cell r="P4493" t="str">
            <v>N</v>
          </cell>
          <cell r="Q4493" t="str">
            <v>Extra Capacity</v>
          </cell>
          <cell r="S4493">
            <v>0.15</v>
          </cell>
        </row>
        <row r="4494">
          <cell r="D4494">
            <v>1208007601</v>
          </cell>
          <cell r="E4494" t="str">
            <v>FATIMA UMARU</v>
          </cell>
          <cell r="F4494" t="str">
            <v>D (MD)</v>
          </cell>
          <cell r="G4494">
            <v>355311</v>
          </cell>
          <cell r="H4494" t="str">
            <v>Mayday</v>
          </cell>
          <cell r="I4494">
            <v>0.83333333333333337</v>
          </cell>
          <cell r="J4494">
            <v>0.33333333333333331</v>
          </cell>
          <cell r="K4494">
            <v>11.33333333</v>
          </cell>
          <cell r="L4494">
            <v>475.74</v>
          </cell>
          <cell r="O4494" t="str">
            <v>Y</v>
          </cell>
          <cell r="P4494" t="str">
            <v>N</v>
          </cell>
          <cell r="Q4494" t="str">
            <v>Extra Capacity</v>
          </cell>
          <cell r="S4494">
            <v>0.3</v>
          </cell>
        </row>
        <row r="4495">
          <cell r="D4495">
            <v>1208006348</v>
          </cell>
          <cell r="E4495" t="str">
            <v>GEORGE MALETE</v>
          </cell>
          <cell r="F4495" t="str">
            <v>A (Ch)</v>
          </cell>
          <cell r="G4495">
            <v>18019</v>
          </cell>
          <cell r="H4495" t="str">
            <v>Choice</v>
          </cell>
          <cell r="I4495">
            <v>0.3125</v>
          </cell>
          <cell r="J4495">
            <v>0.5625</v>
          </cell>
          <cell r="K4495">
            <v>5.6666666670000003</v>
          </cell>
          <cell r="L4495">
            <v>62.84</v>
          </cell>
          <cell r="O4495" t="str">
            <v>Y</v>
          </cell>
          <cell r="P4495" t="str">
            <v>N</v>
          </cell>
          <cell r="Q4495" t="str">
            <v>Vacancy</v>
          </cell>
          <cell r="S4495">
            <v>0.15</v>
          </cell>
        </row>
        <row r="4496">
          <cell r="D4496">
            <v>1208006355</v>
          </cell>
          <cell r="E4496" t="str">
            <v>GEORGE MALETE</v>
          </cell>
          <cell r="F4496" t="str">
            <v>A (Ch)</v>
          </cell>
          <cell r="G4496">
            <v>18019</v>
          </cell>
          <cell r="H4496" t="str">
            <v>Choice</v>
          </cell>
          <cell r="I4496">
            <v>0.5625</v>
          </cell>
          <cell r="J4496">
            <v>0.85416666666666663</v>
          </cell>
          <cell r="K4496">
            <v>6.6666666670000003</v>
          </cell>
          <cell r="L4496">
            <v>73.930000000000007</v>
          </cell>
          <cell r="O4496" t="str">
            <v>Y</v>
          </cell>
          <cell r="P4496" t="str">
            <v>N</v>
          </cell>
          <cell r="Q4496" t="str">
            <v>Backfill</v>
          </cell>
          <cell r="S4496">
            <v>0.18</v>
          </cell>
        </row>
        <row r="4497">
          <cell r="D4497">
            <v>1208007138</v>
          </cell>
          <cell r="E4497" t="str">
            <v>IOAN GALATANU</v>
          </cell>
          <cell r="F4497" t="str">
            <v>D (Amb)</v>
          </cell>
          <cell r="G4497">
            <v>772172</v>
          </cell>
          <cell r="H4497" t="str">
            <v>Ambition</v>
          </cell>
          <cell r="I4497">
            <v>0.3125</v>
          </cell>
          <cell r="J4497">
            <v>0.54166666666666663</v>
          </cell>
          <cell r="K4497">
            <v>5.5</v>
          </cell>
          <cell r="L4497">
            <v>215.05</v>
          </cell>
          <cell r="O4497" t="str">
            <v>Y</v>
          </cell>
          <cell r="P4497" t="str">
            <v>N</v>
          </cell>
          <cell r="Q4497" t="str">
            <v>Extra Capacity</v>
          </cell>
          <cell r="S4497">
            <v>0.15</v>
          </cell>
        </row>
        <row r="4498">
          <cell r="D4498">
            <v>1208007164</v>
          </cell>
          <cell r="E4498" t="str">
            <v>JACQUELINE BOWEN</v>
          </cell>
          <cell r="F4498" t="str">
            <v>D (Amb)</v>
          </cell>
          <cell r="G4498">
            <v>788215</v>
          </cell>
          <cell r="H4498" t="str">
            <v>Ambition</v>
          </cell>
          <cell r="I4498">
            <v>0.83333333333333337</v>
          </cell>
          <cell r="J4498">
            <v>0.33333333333333331</v>
          </cell>
          <cell r="K4498">
            <v>11.33333333</v>
          </cell>
          <cell r="L4498">
            <v>576.07000000000005</v>
          </cell>
          <cell r="M4498">
            <v>683.73</v>
          </cell>
          <cell r="O4498" t="str">
            <v>Y</v>
          </cell>
          <cell r="P4498" t="str">
            <v>N</v>
          </cell>
          <cell r="Q4498" t="str">
            <v>Extra Capacity</v>
          </cell>
          <cell r="S4498">
            <v>0.3</v>
          </cell>
        </row>
        <row r="4499">
          <cell r="D4499">
            <v>1208004744</v>
          </cell>
          <cell r="E4499" t="str">
            <v>JAKE BROOKES</v>
          </cell>
          <cell r="F4499" t="str">
            <v>D General (Orio</v>
          </cell>
          <cell r="G4499" t="str">
            <v>Invsd Smt checked</v>
          </cell>
          <cell r="H4499" t="str">
            <v>Orion</v>
          </cell>
          <cell r="I4499">
            <v>0.33333333333333331</v>
          </cell>
          <cell r="J4499">
            <v>0.75</v>
          </cell>
          <cell r="K4499">
            <v>9.6666666669999994</v>
          </cell>
          <cell r="L4499">
            <v>175.16</v>
          </cell>
          <cell r="O4499" t="str">
            <v>Y</v>
          </cell>
          <cell r="P4499" t="str">
            <v>N</v>
          </cell>
          <cell r="Q4499" t="str">
            <v>Long Term Sick</v>
          </cell>
          <cell r="S4499">
            <v>0.26</v>
          </cell>
        </row>
        <row r="4500">
          <cell r="D4500">
            <v>1208007334</v>
          </cell>
          <cell r="E4500" t="str">
            <v>JAY RUIZ</v>
          </cell>
          <cell r="F4500" t="str">
            <v>D (Amb)</v>
          </cell>
          <cell r="G4500">
            <v>772138</v>
          </cell>
          <cell r="H4500" t="str">
            <v>Ambition</v>
          </cell>
          <cell r="I4500">
            <v>0.625</v>
          </cell>
          <cell r="J4500">
            <v>0.85416666666666663</v>
          </cell>
          <cell r="K4500">
            <v>5.5</v>
          </cell>
          <cell r="L4500">
            <v>215.05</v>
          </cell>
          <cell r="O4500" t="str">
            <v>Y</v>
          </cell>
          <cell r="P4500" t="str">
            <v>N</v>
          </cell>
          <cell r="Q4500" t="str">
            <v>Short Term Sick</v>
          </cell>
          <cell r="S4500">
            <v>0.15</v>
          </cell>
        </row>
        <row r="4501">
          <cell r="D4501">
            <v>1108006000</v>
          </cell>
          <cell r="E4501" t="str">
            <v>JEAN NGONA</v>
          </cell>
          <cell r="F4501" t="str">
            <v>D (MD)</v>
          </cell>
          <cell r="G4501">
            <v>358992</v>
          </cell>
          <cell r="H4501" t="str">
            <v>Mayday</v>
          </cell>
          <cell r="I4501">
            <v>0.3125</v>
          </cell>
          <cell r="J4501">
            <v>0.5625</v>
          </cell>
          <cell r="K4501">
            <v>5.6666666670000003</v>
          </cell>
          <cell r="L4501">
            <v>182.98</v>
          </cell>
          <cell r="O4501" t="str">
            <v>Y</v>
          </cell>
          <cell r="P4501" t="str">
            <v>N</v>
          </cell>
          <cell r="Q4501" t="str">
            <v>Annual Leave</v>
          </cell>
          <cell r="S4501">
            <v>0.15</v>
          </cell>
        </row>
        <row r="4502">
          <cell r="D4502">
            <v>1208007465</v>
          </cell>
          <cell r="E4502" t="str">
            <v>JESSICA BELLAMY</v>
          </cell>
          <cell r="F4502" t="str">
            <v>D (MD)</v>
          </cell>
          <cell r="G4502">
            <v>357635</v>
          </cell>
          <cell r="H4502" t="str">
            <v>Mayday</v>
          </cell>
          <cell r="I4502">
            <v>0.8125</v>
          </cell>
          <cell r="J4502">
            <v>0.33333333333333331</v>
          </cell>
          <cell r="K4502">
            <v>11.16666667</v>
          </cell>
          <cell r="L4502">
            <v>468.74</v>
          </cell>
          <cell r="O4502" t="str">
            <v>Y</v>
          </cell>
          <cell r="P4502" t="str">
            <v>N</v>
          </cell>
          <cell r="Q4502" t="str">
            <v>Extra Capacity</v>
          </cell>
          <cell r="S4502">
            <v>0.3</v>
          </cell>
        </row>
        <row r="4503">
          <cell r="D4503">
            <v>1208003945</v>
          </cell>
          <cell r="E4503" t="str">
            <v>JOANNE DUCKER</v>
          </cell>
          <cell r="F4503" t="str">
            <v>D / 5 General (</v>
          </cell>
          <cell r="G4503" t="str">
            <v>604-163686</v>
          </cell>
          <cell r="H4503" t="str">
            <v>Blue Arrow</v>
          </cell>
          <cell r="I4503">
            <v>0.83333333333333337</v>
          </cell>
          <cell r="J4503">
            <v>0.33333333333333331</v>
          </cell>
          <cell r="K4503">
            <v>11.33333333</v>
          </cell>
          <cell r="L4503">
            <v>248.7</v>
          </cell>
          <cell r="O4503" t="str">
            <v>Y</v>
          </cell>
          <cell r="P4503" t="str">
            <v>N</v>
          </cell>
          <cell r="Q4503" t="str">
            <v>Extra Capacity</v>
          </cell>
          <cell r="S4503">
            <v>0.3</v>
          </cell>
        </row>
        <row r="4504">
          <cell r="D4504">
            <v>1208007649</v>
          </cell>
          <cell r="E4504" t="str">
            <v>KATH WILDREDGE</v>
          </cell>
          <cell r="F4504" t="str">
            <v>D (MD)</v>
          </cell>
          <cell r="G4504">
            <v>356336</v>
          </cell>
          <cell r="H4504" t="str">
            <v>Mayday</v>
          </cell>
          <cell r="I4504">
            <v>0.83333333333333337</v>
          </cell>
          <cell r="J4504">
            <v>0.33333333333333331</v>
          </cell>
          <cell r="K4504">
            <v>11</v>
          </cell>
          <cell r="L4504">
            <v>461.75</v>
          </cell>
          <cell r="O4504" t="str">
            <v>Y</v>
          </cell>
          <cell r="P4504" t="str">
            <v>N</v>
          </cell>
          <cell r="Q4504" t="str">
            <v>Extra Capacity</v>
          </cell>
          <cell r="S4504">
            <v>0.28999999999999998</v>
          </cell>
        </row>
        <row r="4505">
          <cell r="D4505">
            <v>1208007317</v>
          </cell>
          <cell r="E4505" t="str">
            <v xml:space="preserve">LAVETA  NUCUM </v>
          </cell>
          <cell r="F4505" t="str">
            <v>D (Amb)</v>
          </cell>
          <cell r="G4505">
            <v>772146</v>
          </cell>
          <cell r="H4505" t="str">
            <v>Ambition</v>
          </cell>
          <cell r="I4505">
            <v>0.32291666666666669</v>
          </cell>
          <cell r="J4505">
            <v>0.54166666666666663</v>
          </cell>
          <cell r="K4505">
            <v>5.25</v>
          </cell>
          <cell r="L4505">
            <v>205.28</v>
          </cell>
          <cell r="O4505" t="str">
            <v>Y</v>
          </cell>
          <cell r="P4505" t="str">
            <v>N</v>
          </cell>
          <cell r="Q4505" t="str">
            <v>Extra Capacity</v>
          </cell>
          <cell r="S4505">
            <v>0.14000000000000001</v>
          </cell>
        </row>
        <row r="4506">
          <cell r="D4506">
            <v>1208007320</v>
          </cell>
          <cell r="E4506" t="str">
            <v xml:space="preserve">LAVETA  NUCUM </v>
          </cell>
          <cell r="F4506" t="str">
            <v>D (Amb)</v>
          </cell>
          <cell r="G4506">
            <v>772145</v>
          </cell>
          <cell r="H4506" t="str">
            <v>Ambition</v>
          </cell>
          <cell r="I4506">
            <v>0.58333333333333337</v>
          </cell>
          <cell r="J4506">
            <v>0.83333333333333337</v>
          </cell>
          <cell r="K4506">
            <v>5.6666666670000003</v>
          </cell>
          <cell r="L4506">
            <v>221.57</v>
          </cell>
          <cell r="O4506" t="str">
            <v>Y</v>
          </cell>
          <cell r="P4506" t="str">
            <v>N</v>
          </cell>
          <cell r="Q4506" t="str">
            <v>Short Term Sick</v>
          </cell>
          <cell r="S4506">
            <v>0.15</v>
          </cell>
        </row>
        <row r="4507">
          <cell r="D4507">
            <v>1208007545</v>
          </cell>
          <cell r="E4507" t="str">
            <v>MERCY AFELE</v>
          </cell>
          <cell r="F4507" t="str">
            <v>D (Amb)</v>
          </cell>
          <cell r="G4507">
            <v>772093</v>
          </cell>
          <cell r="H4507" t="str">
            <v>Ambition</v>
          </cell>
          <cell r="I4507">
            <v>0.3125</v>
          </cell>
          <cell r="J4507">
            <v>0.85416666666666663</v>
          </cell>
          <cell r="K4507">
            <v>12.33333333</v>
          </cell>
          <cell r="L4507">
            <v>482.23</v>
          </cell>
          <cell r="O4507" t="str">
            <v>Y</v>
          </cell>
          <cell r="P4507" t="str">
            <v>N</v>
          </cell>
          <cell r="Q4507" t="str">
            <v>Vacancy</v>
          </cell>
          <cell r="S4507">
            <v>0.33</v>
          </cell>
        </row>
        <row r="4508">
          <cell r="D4508">
            <v>1208003097</v>
          </cell>
          <cell r="E4508" t="str">
            <v>MERCY SIBANDA</v>
          </cell>
          <cell r="F4508" t="str">
            <v>A (Ch)</v>
          </cell>
          <cell r="G4508">
            <v>17780</v>
          </cell>
          <cell r="H4508" t="str">
            <v>Choice</v>
          </cell>
          <cell r="I4508">
            <v>0.64583333333333337</v>
          </cell>
          <cell r="J4508">
            <v>0.89583333333333337</v>
          </cell>
          <cell r="K4508">
            <v>5.6666666670000003</v>
          </cell>
          <cell r="L4508">
            <v>62.84</v>
          </cell>
          <cell r="O4508" t="str">
            <v>Y</v>
          </cell>
          <cell r="P4508" t="str">
            <v>N</v>
          </cell>
          <cell r="Q4508" t="str">
            <v>Extra Capacity</v>
          </cell>
          <cell r="S4508">
            <v>0.15</v>
          </cell>
        </row>
        <row r="4509">
          <cell r="D4509">
            <v>1208006423</v>
          </cell>
          <cell r="E4509" t="str">
            <v>METTA SUNDAY</v>
          </cell>
          <cell r="F4509" t="str">
            <v>D (Amb)</v>
          </cell>
          <cell r="G4509">
            <v>772179</v>
          </cell>
          <cell r="H4509" t="str">
            <v>Ambition</v>
          </cell>
          <cell r="I4509">
            <v>0.875</v>
          </cell>
          <cell r="J4509">
            <v>0.32291666666666669</v>
          </cell>
          <cell r="K4509">
            <v>10</v>
          </cell>
          <cell r="L4509">
            <v>508.3</v>
          </cell>
          <cell r="O4509" t="str">
            <v>Y</v>
          </cell>
          <cell r="P4509" t="str">
            <v>N</v>
          </cell>
          <cell r="Q4509" t="str">
            <v>Specials</v>
          </cell>
          <cell r="S4509">
            <v>0.27</v>
          </cell>
        </row>
        <row r="4510">
          <cell r="D4510">
            <v>1208002472</v>
          </cell>
          <cell r="E4510" t="str">
            <v>MICHAEL OKE</v>
          </cell>
          <cell r="F4510" t="str">
            <v>A (Ch)</v>
          </cell>
          <cell r="G4510">
            <v>17780</v>
          </cell>
          <cell r="H4510" t="str">
            <v>Choice</v>
          </cell>
          <cell r="I4510">
            <v>0.3125</v>
          </cell>
          <cell r="J4510">
            <v>0.85416666666666663</v>
          </cell>
          <cell r="K4510">
            <v>12.33333333</v>
          </cell>
          <cell r="L4510">
            <v>136.78</v>
          </cell>
          <cell r="O4510" t="str">
            <v>Y</v>
          </cell>
          <cell r="P4510" t="str">
            <v>N</v>
          </cell>
          <cell r="Q4510" t="str">
            <v>Extra Capacity</v>
          </cell>
          <cell r="S4510">
            <v>0.33</v>
          </cell>
        </row>
        <row r="4511">
          <cell r="D4511">
            <v>1108006002</v>
          </cell>
          <cell r="E4511" t="str">
            <v>MIRIAM MUCHDNJE</v>
          </cell>
          <cell r="F4511" t="str">
            <v>D (Amb)</v>
          </cell>
          <cell r="G4511">
            <v>776924</v>
          </cell>
          <cell r="H4511" t="str">
            <v>Ambition</v>
          </cell>
          <cell r="I4511">
            <v>0.5625</v>
          </cell>
          <cell r="J4511">
            <v>0.85416666666666663</v>
          </cell>
          <cell r="K4511">
            <v>6.6666666670000003</v>
          </cell>
          <cell r="L4511">
            <v>260.67</v>
          </cell>
          <cell r="O4511" t="str">
            <v>Y</v>
          </cell>
          <cell r="P4511" t="str">
            <v>N</v>
          </cell>
          <cell r="Q4511" t="str">
            <v>Annual Leave</v>
          </cell>
          <cell r="S4511">
            <v>0.18</v>
          </cell>
        </row>
        <row r="4512">
          <cell r="D4512">
            <v>1208007211</v>
          </cell>
          <cell r="E4512" t="str">
            <v>MZUKISI SPEELMAN</v>
          </cell>
          <cell r="F4512" t="str">
            <v>A (Ch)</v>
          </cell>
          <cell r="G4512">
            <v>17768</v>
          </cell>
          <cell r="H4512" t="str">
            <v>Choice</v>
          </cell>
          <cell r="I4512">
            <v>0.3125</v>
          </cell>
          <cell r="J4512">
            <v>0.5625</v>
          </cell>
          <cell r="K4512">
            <v>5.6666666670000003</v>
          </cell>
          <cell r="L4512">
            <v>62.84</v>
          </cell>
          <cell r="O4512" t="str">
            <v>Y</v>
          </cell>
          <cell r="P4512" t="str">
            <v>N</v>
          </cell>
          <cell r="Q4512" t="str">
            <v>Under Established</v>
          </cell>
          <cell r="S4512">
            <v>0.15</v>
          </cell>
        </row>
        <row r="4513">
          <cell r="D4513">
            <v>1208006901</v>
          </cell>
          <cell r="E4513" t="str">
            <v>NTHABISENG MAEPE</v>
          </cell>
          <cell r="F4513" t="str">
            <v>D (Amb)</v>
          </cell>
          <cell r="G4513">
            <v>772101</v>
          </cell>
          <cell r="H4513" t="str">
            <v>Ambition</v>
          </cell>
          <cell r="I4513">
            <v>0.32291666666666669</v>
          </cell>
          <cell r="J4513">
            <v>0.84375</v>
          </cell>
          <cell r="K4513">
            <v>11.5</v>
          </cell>
          <cell r="L4513">
            <v>449.65</v>
          </cell>
          <cell r="O4513" t="str">
            <v>Y</v>
          </cell>
          <cell r="P4513" t="str">
            <v>N</v>
          </cell>
          <cell r="Q4513" t="str">
            <v>Short Term Sick</v>
          </cell>
          <cell r="S4513">
            <v>0.31</v>
          </cell>
        </row>
        <row r="4514">
          <cell r="D4514">
            <v>1208004846</v>
          </cell>
          <cell r="E4514" t="str">
            <v>OMAR SENGHORE</v>
          </cell>
          <cell r="F4514" t="str">
            <v>D (MD)</v>
          </cell>
          <cell r="H4514" t="str">
            <v>Mayday</v>
          </cell>
          <cell r="I4514">
            <v>0.82291666666666663</v>
          </cell>
          <cell r="J4514">
            <v>0.34375</v>
          </cell>
          <cell r="K4514">
            <v>11.5</v>
          </cell>
          <cell r="L4514">
            <v>482.74</v>
          </cell>
          <cell r="O4514" t="str">
            <v>Y</v>
          </cell>
          <cell r="P4514" t="str">
            <v>N</v>
          </cell>
          <cell r="Q4514" t="str">
            <v>Extra Capacity</v>
          </cell>
          <cell r="S4514">
            <v>0.31</v>
          </cell>
        </row>
        <row r="4515">
          <cell r="D4515">
            <v>1208006840</v>
          </cell>
          <cell r="E4515" t="str">
            <v>RIAZ AHMED</v>
          </cell>
          <cell r="F4515" t="str">
            <v>D/5 Mental (Med</v>
          </cell>
          <cell r="G4515" t="str">
            <v>604-163937</v>
          </cell>
          <cell r="H4515" t="str">
            <v>Medacs</v>
          </cell>
          <cell r="I4515">
            <v>0.625</v>
          </cell>
          <cell r="J4515">
            <v>0.875</v>
          </cell>
          <cell r="K4515">
            <v>5.75</v>
          </cell>
          <cell r="L4515">
            <v>105.97</v>
          </cell>
          <cell r="O4515" t="str">
            <v>Y</v>
          </cell>
          <cell r="P4515" t="str">
            <v>N</v>
          </cell>
          <cell r="Q4515" t="str">
            <v>Specials</v>
          </cell>
          <cell r="S4515">
            <v>0.15</v>
          </cell>
        </row>
        <row r="4516">
          <cell r="D4516">
            <v>1208007624</v>
          </cell>
          <cell r="E4516" t="str">
            <v>RIAZ AHMED</v>
          </cell>
          <cell r="F4516" t="str">
            <v>D/5 Mental (Med</v>
          </cell>
          <cell r="G4516" t="str">
            <v>604-163937</v>
          </cell>
          <cell r="H4516" t="str">
            <v>Medacs</v>
          </cell>
          <cell r="I4516">
            <v>0.29166666666666669</v>
          </cell>
          <cell r="J4516">
            <v>0.60416666666666663</v>
          </cell>
          <cell r="K4516">
            <v>7.1666666670000003</v>
          </cell>
          <cell r="L4516">
            <v>132.08000000000001</v>
          </cell>
          <cell r="O4516" t="str">
            <v>Y</v>
          </cell>
          <cell r="P4516" t="str">
            <v>N</v>
          </cell>
          <cell r="Q4516" t="str">
            <v>Specials</v>
          </cell>
          <cell r="S4516">
            <v>0.19</v>
          </cell>
        </row>
        <row r="4517">
          <cell r="D4517">
            <v>1208003986</v>
          </cell>
          <cell r="E4517" t="str">
            <v>RODA RAMERIZ</v>
          </cell>
          <cell r="F4517" t="str">
            <v>D (Ch)</v>
          </cell>
          <cell r="H4517" t="str">
            <v>Choice</v>
          </cell>
          <cell r="I4517">
            <v>0.83333333333333337</v>
          </cell>
          <cell r="J4517">
            <v>0.33333333333333331</v>
          </cell>
          <cell r="K4517">
            <v>11.33333333</v>
          </cell>
          <cell r="L4517">
            <v>359.05</v>
          </cell>
          <cell r="O4517" t="str">
            <v>Y</v>
          </cell>
          <cell r="P4517" t="str">
            <v>N</v>
          </cell>
          <cell r="Q4517" t="str">
            <v>Extra Capacity</v>
          </cell>
          <cell r="S4517">
            <v>0.3</v>
          </cell>
        </row>
        <row r="4518">
          <cell r="D4518">
            <v>1208007147</v>
          </cell>
          <cell r="E4518" t="str">
            <v>ROSLYNE SCOTT</v>
          </cell>
          <cell r="F4518" t="str">
            <v>D (Amb)</v>
          </cell>
          <cell r="G4518">
            <v>772176</v>
          </cell>
          <cell r="H4518" t="str">
            <v>Ambition</v>
          </cell>
          <cell r="I4518">
            <v>0.54166666666666663</v>
          </cell>
          <cell r="J4518">
            <v>0.83333333333333337</v>
          </cell>
          <cell r="K4518">
            <v>6.6666666670000003</v>
          </cell>
          <cell r="L4518">
            <v>260.67</v>
          </cell>
          <cell r="O4518" t="str">
            <v>Y</v>
          </cell>
          <cell r="P4518" t="str">
            <v>N</v>
          </cell>
          <cell r="Q4518" t="str">
            <v>Extra Capacity</v>
          </cell>
          <cell r="S4518">
            <v>0.18</v>
          </cell>
        </row>
        <row r="4519">
          <cell r="D4519">
            <v>1208003987</v>
          </cell>
          <cell r="E4519" t="str">
            <v>RUSSELL CATIBOG</v>
          </cell>
          <cell r="F4519" t="str">
            <v>D (Ch)</v>
          </cell>
          <cell r="G4519">
            <v>17783</v>
          </cell>
          <cell r="H4519" t="str">
            <v>Choice</v>
          </cell>
          <cell r="I4519">
            <v>0.83333333333333337</v>
          </cell>
          <cell r="J4519">
            <v>0.33333333333333331</v>
          </cell>
          <cell r="K4519">
            <v>11.33333333</v>
          </cell>
          <cell r="L4519">
            <v>359.05</v>
          </cell>
          <cell r="O4519" t="str">
            <v>Y</v>
          </cell>
          <cell r="P4519" t="str">
            <v>N</v>
          </cell>
          <cell r="Q4519" t="str">
            <v>Extra Capacity</v>
          </cell>
          <cell r="S4519">
            <v>0.3</v>
          </cell>
        </row>
        <row r="4520">
          <cell r="D4520">
            <v>1208006357</v>
          </cell>
          <cell r="E4520" t="str">
            <v>SAM KELEM</v>
          </cell>
          <cell r="F4520" t="str">
            <v>D (Ch)</v>
          </cell>
          <cell r="G4520">
            <v>17784</v>
          </cell>
          <cell r="H4520" t="str">
            <v>Choice</v>
          </cell>
          <cell r="I4520">
            <v>0.83333333333333337</v>
          </cell>
          <cell r="J4520">
            <v>0.33333333333333331</v>
          </cell>
          <cell r="K4520">
            <v>11.33333333</v>
          </cell>
          <cell r="L4520">
            <v>359.05</v>
          </cell>
          <cell r="O4520" t="str">
            <v>Y</v>
          </cell>
          <cell r="P4520" t="str">
            <v>N</v>
          </cell>
          <cell r="Q4520" t="str">
            <v>Emergency Leave</v>
          </cell>
          <cell r="S4520">
            <v>0.3</v>
          </cell>
        </row>
        <row r="4521">
          <cell r="D4521">
            <v>1208003979</v>
          </cell>
          <cell r="E4521" t="str">
            <v>SELINAH BAKASA</v>
          </cell>
          <cell r="F4521" t="str">
            <v>D (Ch)</v>
          </cell>
          <cell r="H4521" t="str">
            <v>Choice</v>
          </cell>
          <cell r="I4521">
            <v>0.3125</v>
          </cell>
          <cell r="J4521">
            <v>0.60416666666666663</v>
          </cell>
          <cell r="K4521">
            <v>6.6666666670000003</v>
          </cell>
          <cell r="L4521">
            <v>162.47</v>
          </cell>
          <cell r="O4521" t="str">
            <v>Y</v>
          </cell>
          <cell r="P4521" t="str">
            <v>N</v>
          </cell>
          <cell r="Q4521" t="str">
            <v>Extra Capacity</v>
          </cell>
          <cell r="S4521">
            <v>0.18</v>
          </cell>
        </row>
        <row r="4522">
          <cell r="D4522">
            <v>1208003984</v>
          </cell>
          <cell r="E4522" t="str">
            <v>SELINAH BAKASA</v>
          </cell>
          <cell r="F4522" t="str">
            <v>D (Ch)</v>
          </cell>
          <cell r="H4522" t="str">
            <v>Choice</v>
          </cell>
          <cell r="I4522">
            <v>0.60416666666666663</v>
          </cell>
          <cell r="J4522">
            <v>0.85416666666666663</v>
          </cell>
          <cell r="K4522">
            <v>5.6666666670000003</v>
          </cell>
          <cell r="L4522">
            <v>138.1</v>
          </cell>
          <cell r="O4522" t="str">
            <v>Y</v>
          </cell>
          <cell r="P4522" t="str">
            <v>N</v>
          </cell>
          <cell r="Q4522" t="str">
            <v>Extra Capacity</v>
          </cell>
          <cell r="S4522">
            <v>0.15</v>
          </cell>
        </row>
        <row r="4523">
          <cell r="D4523">
            <v>1208004108</v>
          </cell>
          <cell r="E4523" t="str">
            <v>SINDISO MOYO</v>
          </cell>
          <cell r="F4523" t="str">
            <v>D (Amb)</v>
          </cell>
          <cell r="G4523">
            <v>774195</v>
          </cell>
          <cell r="H4523" t="str">
            <v>Ambition</v>
          </cell>
          <cell r="I4523">
            <v>0.3125</v>
          </cell>
          <cell r="J4523">
            <v>0.85416666666666663</v>
          </cell>
          <cell r="K4523">
            <v>12.33333333</v>
          </cell>
          <cell r="L4523">
            <v>482.23</v>
          </cell>
          <cell r="O4523" t="str">
            <v>Y</v>
          </cell>
          <cell r="P4523" t="str">
            <v>N</v>
          </cell>
          <cell r="Q4523" t="str">
            <v>Vacancy</v>
          </cell>
          <cell r="S4523">
            <v>0.33</v>
          </cell>
        </row>
        <row r="4524">
          <cell r="D4524">
            <v>1208004107</v>
          </cell>
          <cell r="E4524" t="str">
            <v>SUNITHA SINGH</v>
          </cell>
          <cell r="F4524" t="str">
            <v>D (Amb)</v>
          </cell>
          <cell r="G4524">
            <v>772090</v>
          </cell>
          <cell r="H4524" t="str">
            <v>Ambition</v>
          </cell>
          <cell r="I4524">
            <v>0.3125</v>
          </cell>
          <cell r="J4524">
            <v>0.85416666666666663</v>
          </cell>
          <cell r="K4524">
            <v>12.33333333</v>
          </cell>
          <cell r="L4524">
            <v>482.23</v>
          </cell>
          <cell r="O4524" t="str">
            <v>Y</v>
          </cell>
          <cell r="P4524" t="str">
            <v>N</v>
          </cell>
          <cell r="Q4524" t="str">
            <v>Vacancy</v>
          </cell>
          <cell r="S4524">
            <v>0.33</v>
          </cell>
        </row>
        <row r="4525">
          <cell r="D4525">
            <v>1208007638</v>
          </cell>
          <cell r="E4525" t="str">
            <v>SUSAN MCENTIRE</v>
          </cell>
          <cell r="F4525" t="str">
            <v>D (Amb)</v>
          </cell>
          <cell r="G4525">
            <v>774228</v>
          </cell>
          <cell r="H4525" t="str">
            <v>Ambition</v>
          </cell>
          <cell r="I4525">
            <v>0.84375</v>
          </cell>
          <cell r="J4525">
            <v>0.33333333333333331</v>
          </cell>
          <cell r="K4525">
            <v>10.75</v>
          </cell>
          <cell r="L4525">
            <v>546.41999999999996</v>
          </cell>
          <cell r="O4525" t="str">
            <v>Y</v>
          </cell>
          <cell r="P4525" t="str">
            <v>N</v>
          </cell>
          <cell r="Q4525" t="str">
            <v>Emergency Leave</v>
          </cell>
          <cell r="S4525">
            <v>0.28999999999999998</v>
          </cell>
        </row>
        <row r="4526">
          <cell r="D4526">
            <v>1208006345</v>
          </cell>
          <cell r="E4526" t="str">
            <v>TARA MASSIE</v>
          </cell>
          <cell r="F4526" t="str">
            <v>D (MD)</v>
          </cell>
          <cell r="G4526">
            <v>357150</v>
          </cell>
          <cell r="H4526" t="str">
            <v>Mayday</v>
          </cell>
          <cell r="I4526">
            <v>0.3125</v>
          </cell>
          <cell r="J4526">
            <v>0.54166666666666663</v>
          </cell>
          <cell r="K4526">
            <v>5.5</v>
          </cell>
          <cell r="L4526">
            <v>177.59</v>
          </cell>
          <cell r="O4526" t="str">
            <v>Y</v>
          </cell>
          <cell r="P4526" t="str">
            <v>N</v>
          </cell>
          <cell r="Q4526" t="str">
            <v>Long Term Sick</v>
          </cell>
          <cell r="S4526">
            <v>0.15</v>
          </cell>
        </row>
        <row r="4527">
          <cell r="D4527">
            <v>1208003098</v>
          </cell>
          <cell r="E4527" t="str">
            <v>TRUST CHIWUNDURA</v>
          </cell>
          <cell r="F4527" t="str">
            <v>A (Ch)</v>
          </cell>
          <cell r="H4527" t="str">
            <v>Choice</v>
          </cell>
          <cell r="I4527">
            <v>0.88541666666666663</v>
          </cell>
          <cell r="J4527">
            <v>0.33333333333333331</v>
          </cell>
          <cell r="K4527">
            <v>10.41666667</v>
          </cell>
          <cell r="L4527">
            <v>154.03</v>
          </cell>
          <cell r="O4527" t="str">
            <v>Y</v>
          </cell>
          <cell r="P4527" t="str">
            <v>N</v>
          </cell>
          <cell r="Q4527" t="str">
            <v>Extra Capacity</v>
          </cell>
          <cell r="S4527">
            <v>0.28000000000000003</v>
          </cell>
        </row>
        <row r="4528">
          <cell r="D4528">
            <v>1208004109</v>
          </cell>
          <cell r="E4528" t="str">
            <v>VICTORIA ANIKINA</v>
          </cell>
          <cell r="F4528" t="str">
            <v>D (Amb)</v>
          </cell>
          <cell r="G4528">
            <v>806854</v>
          </cell>
          <cell r="H4528" t="str">
            <v>Ambition</v>
          </cell>
          <cell r="I4528">
            <v>0.3125</v>
          </cell>
          <cell r="J4528">
            <v>0.60416666666666663</v>
          </cell>
          <cell r="K4528">
            <v>6.6666666670000003</v>
          </cell>
          <cell r="L4528">
            <v>260.67</v>
          </cell>
          <cell r="M4528">
            <v>328.48</v>
          </cell>
          <cell r="O4528" t="str">
            <v>Y</v>
          </cell>
          <cell r="P4528" t="str">
            <v>N</v>
          </cell>
          <cell r="Q4528" t="str">
            <v>Vacancy</v>
          </cell>
          <cell r="S4528">
            <v>0.18</v>
          </cell>
        </row>
        <row r="4529">
          <cell r="D4529">
            <v>1208007451</v>
          </cell>
          <cell r="E4529" t="str">
            <v>ALAN CURTIS</v>
          </cell>
          <cell r="F4529" t="str">
            <v>D (MD)</v>
          </cell>
          <cell r="G4529">
            <v>356892</v>
          </cell>
          <cell r="H4529" t="str">
            <v>Mayday</v>
          </cell>
          <cell r="I4529">
            <v>0.32291666666666669</v>
          </cell>
          <cell r="J4529">
            <v>0.84375</v>
          </cell>
          <cell r="K4529">
            <v>11.83333333</v>
          </cell>
          <cell r="L4529">
            <v>382.1</v>
          </cell>
          <cell r="O4529" t="str">
            <v>Y</v>
          </cell>
          <cell r="P4529" t="str">
            <v>N</v>
          </cell>
          <cell r="Q4529" t="str">
            <v>Extra Capacity</v>
          </cell>
          <cell r="S4529">
            <v>0.32</v>
          </cell>
        </row>
        <row r="4530">
          <cell r="D4530">
            <v>1108005585</v>
          </cell>
          <cell r="E4530" t="str">
            <v>ALLI SUBRAMANIAM</v>
          </cell>
          <cell r="F4530" t="str">
            <v>D (MD)</v>
          </cell>
          <cell r="G4530">
            <v>357835</v>
          </cell>
          <cell r="H4530" t="str">
            <v>Mayday</v>
          </cell>
          <cell r="I4530">
            <v>0.625</v>
          </cell>
          <cell r="J4530">
            <v>0.875</v>
          </cell>
          <cell r="K4530">
            <v>5.75</v>
          </cell>
          <cell r="L4530">
            <v>185.67</v>
          </cell>
          <cell r="O4530" t="str">
            <v>Y</v>
          </cell>
          <cell r="P4530" t="str">
            <v>N</v>
          </cell>
          <cell r="Q4530" t="str">
            <v>Vacancy</v>
          </cell>
          <cell r="S4530">
            <v>0.15</v>
          </cell>
        </row>
        <row r="4531">
          <cell r="D4531">
            <v>1208007659</v>
          </cell>
          <cell r="E4531" t="str">
            <v>ALLI SUBRAMANIAM</v>
          </cell>
          <cell r="F4531" t="str">
            <v>D (MD)</v>
          </cell>
          <cell r="G4531">
            <v>357837</v>
          </cell>
          <cell r="H4531" t="str">
            <v>Mayday</v>
          </cell>
          <cell r="I4531">
            <v>0.3125</v>
          </cell>
          <cell r="J4531">
            <v>0.60416666666666663</v>
          </cell>
          <cell r="K4531">
            <v>6.6666666670000003</v>
          </cell>
          <cell r="L4531">
            <v>215.27</v>
          </cell>
          <cell r="O4531" t="str">
            <v>Y</v>
          </cell>
          <cell r="P4531" t="str">
            <v>N</v>
          </cell>
          <cell r="Q4531" t="str">
            <v>Extra Capacity</v>
          </cell>
          <cell r="S4531">
            <v>0.18</v>
          </cell>
        </row>
        <row r="4532">
          <cell r="D4532">
            <v>1208006424</v>
          </cell>
          <cell r="E4532" t="str">
            <v>BERTHA CHITABO</v>
          </cell>
          <cell r="F4532" t="str">
            <v>D (Ch)</v>
          </cell>
          <cell r="G4532">
            <v>17796</v>
          </cell>
          <cell r="H4532" t="str">
            <v>Choice</v>
          </cell>
          <cell r="I4532">
            <v>0.875</v>
          </cell>
          <cell r="J4532">
            <v>0.32291666666666669</v>
          </cell>
          <cell r="K4532">
            <v>10</v>
          </cell>
          <cell r="L4532">
            <v>316.81</v>
          </cell>
          <cell r="O4532" t="str">
            <v>Y</v>
          </cell>
          <cell r="P4532" t="str">
            <v>N</v>
          </cell>
          <cell r="Q4532" t="str">
            <v>Specials</v>
          </cell>
          <cell r="S4532">
            <v>0.27</v>
          </cell>
        </row>
        <row r="4533">
          <cell r="D4533">
            <v>1208007337</v>
          </cell>
          <cell r="E4533" t="str">
            <v>BRENDA GWEKWERERE</v>
          </cell>
          <cell r="F4533" t="str">
            <v>D (Ch)</v>
          </cell>
          <cell r="G4533">
            <v>17800</v>
          </cell>
          <cell r="H4533" t="str">
            <v>Choice</v>
          </cell>
          <cell r="I4533">
            <v>0.3125</v>
          </cell>
          <cell r="J4533">
            <v>0.5625</v>
          </cell>
          <cell r="K4533">
            <v>5.6666666670000003</v>
          </cell>
          <cell r="L4533">
            <v>138.1</v>
          </cell>
          <cell r="O4533" t="str">
            <v>Y</v>
          </cell>
          <cell r="P4533" t="str">
            <v>N</v>
          </cell>
          <cell r="Q4533" t="str">
            <v>Short Term Sick</v>
          </cell>
          <cell r="S4533">
            <v>0.15</v>
          </cell>
        </row>
        <row r="4534">
          <cell r="D4534">
            <v>1208007459</v>
          </cell>
          <cell r="E4534" t="str">
            <v>BRENDA GWEKWERERE</v>
          </cell>
          <cell r="F4534" t="str">
            <v>D (Ch)</v>
          </cell>
          <cell r="H4534" t="str">
            <v>Choice</v>
          </cell>
          <cell r="I4534">
            <v>0.5625</v>
          </cell>
          <cell r="J4534">
            <v>0.85416666666666663</v>
          </cell>
          <cell r="K4534">
            <v>6.6666666670000003</v>
          </cell>
          <cell r="L4534">
            <v>162.47</v>
          </cell>
          <cell r="O4534" t="str">
            <v>Y</v>
          </cell>
          <cell r="P4534" t="str">
            <v>N</v>
          </cell>
          <cell r="Q4534" t="str">
            <v>Short Term Sick</v>
          </cell>
          <cell r="S4534">
            <v>0.18</v>
          </cell>
        </row>
        <row r="4535">
          <cell r="D4535">
            <v>1208007669</v>
          </cell>
          <cell r="E4535" t="str">
            <v>DENNIS HEBRON</v>
          </cell>
          <cell r="F4535" t="str">
            <v>D (Ch)</v>
          </cell>
          <cell r="G4535">
            <v>17781</v>
          </cell>
          <cell r="H4535" t="str">
            <v>Choice</v>
          </cell>
          <cell r="I4535">
            <v>0.83333333333333337</v>
          </cell>
          <cell r="J4535">
            <v>0.33333333333333331</v>
          </cell>
          <cell r="K4535">
            <v>11.33333333</v>
          </cell>
          <cell r="L4535">
            <v>359.05</v>
          </cell>
          <cell r="O4535" t="str">
            <v>Y</v>
          </cell>
          <cell r="P4535" t="str">
            <v>N</v>
          </cell>
          <cell r="Q4535" t="str">
            <v>Extra Capacity</v>
          </cell>
          <cell r="S4535">
            <v>0.3</v>
          </cell>
        </row>
        <row r="4536">
          <cell r="D4536">
            <v>1208007167</v>
          </cell>
          <cell r="E4536" t="str">
            <v>DONALD YANZA</v>
          </cell>
          <cell r="F4536" t="str">
            <v>D (Ch)</v>
          </cell>
          <cell r="G4536">
            <v>17776</v>
          </cell>
          <cell r="H4536" t="str">
            <v>Choice</v>
          </cell>
          <cell r="I4536">
            <v>0.83333333333333337</v>
          </cell>
          <cell r="J4536">
            <v>0.33333333333333331</v>
          </cell>
          <cell r="K4536">
            <v>11.33333333</v>
          </cell>
          <cell r="L4536">
            <v>359.05</v>
          </cell>
          <cell r="O4536" t="str">
            <v>Y</v>
          </cell>
          <cell r="P4536" t="str">
            <v>N</v>
          </cell>
          <cell r="Q4536" t="str">
            <v>Extra Capacity</v>
          </cell>
          <cell r="S4536">
            <v>0.3</v>
          </cell>
        </row>
        <row r="4537">
          <cell r="D4537">
            <v>1208007575</v>
          </cell>
          <cell r="E4537" t="str">
            <v>FURTHERMORE MUTSINZE</v>
          </cell>
          <cell r="F4537" t="str">
            <v>A (Ch)</v>
          </cell>
          <cell r="G4537">
            <v>17780</v>
          </cell>
          <cell r="H4537" t="str">
            <v>Choice</v>
          </cell>
          <cell r="I4537">
            <v>0.3125</v>
          </cell>
          <cell r="J4537">
            <v>0.64583333333333337</v>
          </cell>
          <cell r="K4537">
            <v>7.6666666670000003</v>
          </cell>
          <cell r="L4537">
            <v>85.02</v>
          </cell>
          <cell r="O4537" t="str">
            <v>Y</v>
          </cell>
          <cell r="P4537" t="str">
            <v>N</v>
          </cell>
          <cell r="Q4537" t="str">
            <v>Short Term Sick</v>
          </cell>
          <cell r="S4537">
            <v>0.2</v>
          </cell>
        </row>
        <row r="4538">
          <cell r="D4538">
            <v>1208006359</v>
          </cell>
          <cell r="E4538" t="str">
            <v>GEORGE MALETE</v>
          </cell>
          <cell r="F4538" t="str">
            <v>A (Ch)</v>
          </cell>
          <cell r="G4538">
            <v>18019</v>
          </cell>
          <cell r="H4538" t="str">
            <v>Choice</v>
          </cell>
          <cell r="I4538">
            <v>0.3125</v>
          </cell>
          <cell r="J4538">
            <v>0.5625</v>
          </cell>
          <cell r="K4538">
            <v>5.6666666670000003</v>
          </cell>
          <cell r="L4538">
            <v>62.84</v>
          </cell>
          <cell r="O4538" t="str">
            <v>Y</v>
          </cell>
          <cell r="P4538" t="str">
            <v>N</v>
          </cell>
          <cell r="Q4538" t="str">
            <v>Backfill</v>
          </cell>
          <cell r="S4538">
            <v>0.15</v>
          </cell>
        </row>
        <row r="4539">
          <cell r="D4539">
            <v>1208006363</v>
          </cell>
          <cell r="E4539" t="str">
            <v>GEORGE MALETE</v>
          </cell>
          <cell r="F4539" t="str">
            <v>A (Ch)</v>
          </cell>
          <cell r="G4539">
            <v>18019</v>
          </cell>
          <cell r="H4539" t="str">
            <v>Choice</v>
          </cell>
          <cell r="I4539">
            <v>0.5625</v>
          </cell>
          <cell r="J4539">
            <v>0.85416666666666663</v>
          </cell>
          <cell r="K4539">
            <v>6.6666666670000003</v>
          </cell>
          <cell r="L4539">
            <v>73.930000000000007</v>
          </cell>
          <cell r="O4539" t="str">
            <v>Y</v>
          </cell>
          <cell r="P4539" t="str">
            <v>N</v>
          </cell>
          <cell r="Q4539" t="str">
            <v>Backfill</v>
          </cell>
          <cell r="S4539">
            <v>0.18</v>
          </cell>
        </row>
        <row r="4540">
          <cell r="D4540">
            <v>1208006785</v>
          </cell>
          <cell r="E4540" t="str">
            <v>JOHANA VELASCO</v>
          </cell>
          <cell r="F4540" t="str">
            <v>D (Ch)</v>
          </cell>
          <cell r="G4540">
            <v>17766</v>
          </cell>
          <cell r="H4540" t="str">
            <v>Choice</v>
          </cell>
          <cell r="I4540">
            <v>0.3125</v>
          </cell>
          <cell r="J4540">
            <v>0.64583333333333337</v>
          </cell>
          <cell r="K4540">
            <v>7.6666666670000003</v>
          </cell>
          <cell r="L4540">
            <v>186.84</v>
          </cell>
          <cell r="O4540" t="str">
            <v>Y</v>
          </cell>
          <cell r="P4540" t="str">
            <v>N</v>
          </cell>
          <cell r="Q4540" t="str">
            <v>Short Term Sick</v>
          </cell>
          <cell r="S4540">
            <v>0.2</v>
          </cell>
        </row>
        <row r="4541">
          <cell r="D4541">
            <v>1208007597</v>
          </cell>
          <cell r="E4541" t="str">
            <v>KAREN STRUDWICK</v>
          </cell>
          <cell r="F4541" t="str">
            <v>D (Ch)</v>
          </cell>
          <cell r="H4541" t="str">
            <v>Choice</v>
          </cell>
          <cell r="I4541">
            <v>0.82291666666666663</v>
          </cell>
          <cell r="J4541">
            <v>0.34375</v>
          </cell>
          <cell r="K4541">
            <v>11.83333333</v>
          </cell>
          <cell r="L4541">
            <v>374.89</v>
          </cell>
          <cell r="O4541" t="str">
            <v>Y</v>
          </cell>
          <cell r="P4541" t="str">
            <v>N</v>
          </cell>
          <cell r="Q4541" t="str">
            <v>Vacancy</v>
          </cell>
          <cell r="S4541">
            <v>0.32</v>
          </cell>
        </row>
        <row r="4542">
          <cell r="D4542">
            <v>1208007134</v>
          </cell>
          <cell r="E4542" t="str">
            <v xml:space="preserve">LAVETA  NUCUM </v>
          </cell>
          <cell r="F4542" t="str">
            <v>D (Amb)</v>
          </cell>
          <cell r="G4542">
            <v>772180</v>
          </cell>
          <cell r="H4542" t="str">
            <v>Ambition</v>
          </cell>
          <cell r="I4542">
            <v>0.3125</v>
          </cell>
          <cell r="J4542">
            <v>0.54166666666666663</v>
          </cell>
          <cell r="K4542">
            <v>5.5</v>
          </cell>
          <cell r="L4542">
            <v>215.05</v>
          </cell>
          <cell r="O4542" t="str">
            <v>Y</v>
          </cell>
          <cell r="P4542" t="str">
            <v>N</v>
          </cell>
          <cell r="Q4542" t="str">
            <v>Extra Capacity</v>
          </cell>
          <cell r="S4542">
            <v>0.15</v>
          </cell>
        </row>
        <row r="4543">
          <cell r="D4543">
            <v>1208007146</v>
          </cell>
          <cell r="E4543" t="str">
            <v xml:space="preserve">LAVETA  NUCUM </v>
          </cell>
          <cell r="F4543" t="str">
            <v>D (Amb)</v>
          </cell>
          <cell r="G4543">
            <v>772180</v>
          </cell>
          <cell r="H4543" t="str">
            <v>Ambition</v>
          </cell>
          <cell r="I4543">
            <v>0.54166666666666663</v>
          </cell>
          <cell r="J4543">
            <v>0.83333333333333337</v>
          </cell>
          <cell r="K4543">
            <v>6.6666666670000003</v>
          </cell>
          <cell r="L4543">
            <v>260.67</v>
          </cell>
          <cell r="O4543" t="str">
            <v>Y</v>
          </cell>
          <cell r="P4543" t="str">
            <v>N</v>
          </cell>
          <cell r="Q4543" t="str">
            <v>Extra Capacity</v>
          </cell>
          <cell r="S4543">
            <v>0.18</v>
          </cell>
        </row>
        <row r="4544">
          <cell r="D4544">
            <v>1208007660</v>
          </cell>
          <cell r="E4544" t="str">
            <v>LOUISE CULLEN</v>
          </cell>
          <cell r="F4544" t="str">
            <v>D (Amb)</v>
          </cell>
          <cell r="G4544">
            <v>772133</v>
          </cell>
          <cell r="H4544" t="str">
            <v>Ambition</v>
          </cell>
          <cell r="I4544">
            <v>0.3125</v>
          </cell>
          <cell r="J4544">
            <v>0.60416666666666663</v>
          </cell>
          <cell r="K4544">
            <v>6.6666666670000003</v>
          </cell>
          <cell r="L4544">
            <v>260.67</v>
          </cell>
          <cell r="O4544" t="str">
            <v>Y</v>
          </cell>
          <cell r="P4544" t="str">
            <v>N</v>
          </cell>
          <cell r="Q4544" t="str">
            <v>Extra Capacity</v>
          </cell>
          <cell r="S4544">
            <v>0.18</v>
          </cell>
        </row>
        <row r="4545">
          <cell r="D4545">
            <v>1208007582</v>
          </cell>
          <cell r="E4545" t="str">
            <v>LYABODE ADEYEFA</v>
          </cell>
          <cell r="F4545" t="str">
            <v>D (Amb)</v>
          </cell>
          <cell r="G4545">
            <v>772159</v>
          </cell>
          <cell r="H4545" t="str">
            <v>Ambition</v>
          </cell>
          <cell r="I4545">
            <v>0.32291666666666669</v>
          </cell>
          <cell r="J4545">
            <v>0.84375</v>
          </cell>
          <cell r="K4545">
            <v>11.83333333</v>
          </cell>
          <cell r="L4545">
            <v>462.68</v>
          </cell>
          <cell r="O4545" t="str">
            <v>Y</v>
          </cell>
          <cell r="P4545" t="str">
            <v>N</v>
          </cell>
          <cell r="Q4545" t="str">
            <v>Vacancy</v>
          </cell>
          <cell r="S4545">
            <v>0.32</v>
          </cell>
        </row>
        <row r="4546">
          <cell r="D4546">
            <v>1208002473</v>
          </cell>
          <cell r="E4546" t="str">
            <v>MICHAEL OKE</v>
          </cell>
          <cell r="F4546" t="str">
            <v>A (Ch)</v>
          </cell>
          <cell r="G4546">
            <v>17780</v>
          </cell>
          <cell r="H4546" t="str">
            <v>Choice</v>
          </cell>
          <cell r="I4546">
            <v>0.3125</v>
          </cell>
          <cell r="J4546">
            <v>0.85416666666666663</v>
          </cell>
          <cell r="K4546">
            <v>12.33333333</v>
          </cell>
          <cell r="L4546">
            <v>136.78</v>
          </cell>
          <cell r="O4546" t="str">
            <v>Y</v>
          </cell>
          <cell r="P4546" t="str">
            <v>N</v>
          </cell>
          <cell r="Q4546" t="str">
            <v>Extra Capacity</v>
          </cell>
          <cell r="S4546">
            <v>0.33</v>
          </cell>
        </row>
        <row r="4547">
          <cell r="D4547">
            <v>1208007166</v>
          </cell>
          <cell r="E4547" t="str">
            <v>NILO DANUGO</v>
          </cell>
          <cell r="F4547" t="str">
            <v>D (Ch)</v>
          </cell>
          <cell r="G4547">
            <v>17853</v>
          </cell>
          <cell r="H4547" t="str">
            <v>Choice</v>
          </cell>
          <cell r="I4547">
            <v>0.83333333333333337</v>
          </cell>
          <cell r="J4547">
            <v>0.33333333333333331</v>
          </cell>
          <cell r="K4547">
            <v>11.33333333</v>
          </cell>
          <cell r="L4547">
            <v>359.05</v>
          </cell>
          <cell r="O4547" t="str">
            <v>Y</v>
          </cell>
          <cell r="P4547" t="str">
            <v>N</v>
          </cell>
          <cell r="Q4547" t="str">
            <v>Extra Capacity</v>
          </cell>
          <cell r="S4547">
            <v>0.3</v>
          </cell>
        </row>
        <row r="4548">
          <cell r="D4548">
            <v>1208004847</v>
          </cell>
          <cell r="E4548" t="str">
            <v>OMAR SENGHORE</v>
          </cell>
          <cell r="F4548" t="str">
            <v>D (MD)</v>
          </cell>
          <cell r="G4548">
            <v>363167</v>
          </cell>
          <cell r="H4548" t="str">
            <v>Mayday</v>
          </cell>
          <cell r="I4548">
            <v>0.82291666666666663</v>
          </cell>
          <cell r="J4548">
            <v>0.34375</v>
          </cell>
          <cell r="K4548">
            <v>11.5</v>
          </cell>
          <cell r="L4548">
            <v>482.74</v>
          </cell>
          <cell r="O4548" t="str">
            <v>Y</v>
          </cell>
          <cell r="P4548" t="str">
            <v>N</v>
          </cell>
          <cell r="Q4548" t="str">
            <v>Extra Capacity</v>
          </cell>
          <cell r="S4548">
            <v>0.31</v>
          </cell>
        </row>
        <row r="4549">
          <cell r="D4549">
            <v>1208006361</v>
          </cell>
          <cell r="E4549" t="str">
            <v>PEGGY CHIRIKURE</v>
          </cell>
          <cell r="F4549" t="str">
            <v>D (Ch)</v>
          </cell>
          <cell r="H4549" t="str">
            <v>Choice</v>
          </cell>
          <cell r="I4549">
            <v>0.5625</v>
          </cell>
          <cell r="J4549">
            <v>0.85416666666666663</v>
          </cell>
          <cell r="K4549">
            <v>6.6666666670000003</v>
          </cell>
          <cell r="L4549">
            <v>162.47</v>
          </cell>
          <cell r="O4549" t="str">
            <v>Y</v>
          </cell>
          <cell r="P4549" t="str">
            <v>N</v>
          </cell>
          <cell r="Q4549" t="str">
            <v>Long Term Sick</v>
          </cell>
          <cell r="S4549">
            <v>0.18</v>
          </cell>
        </row>
        <row r="4550">
          <cell r="D4550">
            <v>1208007149</v>
          </cell>
          <cell r="E4550" t="str">
            <v>PEGGY CHIRIKURE</v>
          </cell>
          <cell r="F4550" t="str">
            <v>D (Ch)</v>
          </cell>
          <cell r="G4550">
            <v>17768</v>
          </cell>
          <cell r="H4550" t="str">
            <v>Choice</v>
          </cell>
          <cell r="I4550">
            <v>0.54166666666666663</v>
          </cell>
          <cell r="J4550">
            <v>0.83333333333333337</v>
          </cell>
          <cell r="K4550">
            <v>6.6666666670000003</v>
          </cell>
          <cell r="L4550">
            <v>162.47</v>
          </cell>
          <cell r="O4550" t="str">
            <v>Y</v>
          </cell>
          <cell r="P4550" t="str">
            <v>N</v>
          </cell>
          <cell r="Q4550" t="str">
            <v>Extra Capacity</v>
          </cell>
          <cell r="S4550">
            <v>0.18</v>
          </cell>
        </row>
        <row r="4551">
          <cell r="D4551">
            <v>1208006845</v>
          </cell>
          <cell r="E4551" t="str">
            <v>RIAZ AHMED</v>
          </cell>
          <cell r="F4551" t="str">
            <v>D/5 Mental (Med</v>
          </cell>
          <cell r="G4551" t="str">
            <v>604-163936</v>
          </cell>
          <cell r="H4551" t="str">
            <v>Medacs</v>
          </cell>
          <cell r="I4551">
            <v>0.29166666666666669</v>
          </cell>
          <cell r="J4551">
            <v>0.625</v>
          </cell>
          <cell r="K4551">
            <v>7.6666666670000003</v>
          </cell>
          <cell r="L4551">
            <v>141.30000000000001</v>
          </cell>
          <cell r="O4551" t="str">
            <v>Y</v>
          </cell>
          <cell r="P4551" t="str">
            <v>N</v>
          </cell>
          <cell r="Q4551" t="str">
            <v>Specials</v>
          </cell>
          <cell r="S4551">
            <v>0.2</v>
          </cell>
        </row>
        <row r="4552">
          <cell r="D4552">
            <v>1208006848</v>
          </cell>
          <cell r="E4552" t="str">
            <v>RIAZ AHMED</v>
          </cell>
          <cell r="F4552" t="str">
            <v>D/5 Mental (Med</v>
          </cell>
          <cell r="G4552" t="str">
            <v>604-163936</v>
          </cell>
          <cell r="H4552" t="str">
            <v>Medacs</v>
          </cell>
          <cell r="I4552">
            <v>0.625</v>
          </cell>
          <cell r="J4552">
            <v>0.875</v>
          </cell>
          <cell r="K4552">
            <v>5.75</v>
          </cell>
          <cell r="L4552">
            <v>105.97</v>
          </cell>
          <cell r="O4552" t="str">
            <v>Y</v>
          </cell>
          <cell r="P4552" t="str">
            <v>N</v>
          </cell>
          <cell r="Q4552" t="str">
            <v>Specials</v>
          </cell>
          <cell r="S4552">
            <v>0.15</v>
          </cell>
        </row>
        <row r="4553">
          <cell r="D4553">
            <v>1208007602</v>
          </cell>
          <cell r="E4553" t="str">
            <v>RODA RAMERIZ</v>
          </cell>
          <cell r="F4553" t="str">
            <v>D (Ch)</v>
          </cell>
          <cell r="G4553">
            <v>17766</v>
          </cell>
          <cell r="H4553" t="str">
            <v>Choice</v>
          </cell>
          <cell r="I4553">
            <v>0.83333333333333337</v>
          </cell>
          <cell r="J4553">
            <v>0.33333333333333331</v>
          </cell>
          <cell r="K4553">
            <v>11.33333333</v>
          </cell>
          <cell r="L4553">
            <v>359.05</v>
          </cell>
          <cell r="O4553" t="str">
            <v>Y</v>
          </cell>
          <cell r="P4553" t="str">
            <v>N</v>
          </cell>
          <cell r="Q4553" t="str">
            <v>Extra Capacity</v>
          </cell>
          <cell r="S4553">
            <v>0.3</v>
          </cell>
        </row>
        <row r="4554">
          <cell r="D4554">
            <v>1208007139</v>
          </cell>
          <cell r="E4554" t="str">
            <v>ROSLYNE SCOTT</v>
          </cell>
          <cell r="F4554" t="str">
            <v>D (Amb)</v>
          </cell>
          <cell r="G4554">
            <v>772176</v>
          </cell>
          <cell r="H4554" t="str">
            <v>Ambition</v>
          </cell>
          <cell r="I4554">
            <v>0.3125</v>
          </cell>
          <cell r="J4554">
            <v>0.54166666666666663</v>
          </cell>
          <cell r="K4554">
            <v>5.5</v>
          </cell>
          <cell r="L4554">
            <v>215.05</v>
          </cell>
          <cell r="O4554" t="str">
            <v>Y</v>
          </cell>
          <cell r="P4554" t="str">
            <v>N</v>
          </cell>
          <cell r="Q4554" t="str">
            <v>Extra Capacity</v>
          </cell>
          <cell r="S4554">
            <v>0.15</v>
          </cell>
        </row>
        <row r="4555">
          <cell r="D4555">
            <v>1208007667</v>
          </cell>
          <cell r="E4555" t="str">
            <v>RUSSELL CATIBOG</v>
          </cell>
          <cell r="F4555" t="str">
            <v>D (Ch)</v>
          </cell>
          <cell r="G4555">
            <v>17783</v>
          </cell>
          <cell r="H4555" t="str">
            <v>Choice</v>
          </cell>
          <cell r="I4555">
            <v>0.83333333333333337</v>
          </cell>
          <cell r="J4555">
            <v>0.33333333333333331</v>
          </cell>
          <cell r="K4555">
            <v>11.33333333</v>
          </cell>
          <cell r="L4555">
            <v>359.05</v>
          </cell>
          <cell r="O4555" t="str">
            <v>Y</v>
          </cell>
          <cell r="P4555" t="str">
            <v>N</v>
          </cell>
          <cell r="Q4555" t="str">
            <v>Extra Capacity</v>
          </cell>
          <cell r="S4555">
            <v>0.3</v>
          </cell>
        </row>
        <row r="4556">
          <cell r="D4556">
            <v>1208007668</v>
          </cell>
          <cell r="E4556" t="str">
            <v>SAMSON BARACENA</v>
          </cell>
          <cell r="F4556" t="str">
            <v>D (Ch)</v>
          </cell>
          <cell r="G4556">
            <v>357818</v>
          </cell>
          <cell r="H4556" t="str">
            <v>Choice</v>
          </cell>
          <cell r="I4556">
            <v>0.83333333333333337</v>
          </cell>
          <cell r="J4556">
            <v>0.33333333333333331</v>
          </cell>
          <cell r="K4556">
            <v>11.33333333</v>
          </cell>
          <cell r="L4556">
            <v>359.05</v>
          </cell>
          <cell r="O4556" t="str">
            <v>Y</v>
          </cell>
          <cell r="P4556" t="str">
            <v>N</v>
          </cell>
          <cell r="Q4556" t="str">
            <v>Extra Capacity</v>
          </cell>
          <cell r="S4556">
            <v>0.3</v>
          </cell>
        </row>
        <row r="4557">
          <cell r="D4557">
            <v>1208006849</v>
          </cell>
          <cell r="E4557" t="str">
            <v>SARAH MAKOTORE</v>
          </cell>
          <cell r="F4557" t="str">
            <v>D (Ch)</v>
          </cell>
          <cell r="G4557">
            <v>17792</v>
          </cell>
          <cell r="H4557" t="str">
            <v>Choice</v>
          </cell>
          <cell r="I4557">
            <v>0.875</v>
          </cell>
          <cell r="J4557">
            <v>0.29166666666666669</v>
          </cell>
          <cell r="K4557">
            <v>9.6666666669999994</v>
          </cell>
          <cell r="L4557">
            <v>306.25</v>
          </cell>
          <cell r="M4557">
            <v>444.03</v>
          </cell>
          <cell r="O4557" t="str">
            <v>Y</v>
          </cell>
          <cell r="P4557" t="str">
            <v>N</v>
          </cell>
          <cell r="Q4557" t="str">
            <v>Specials</v>
          </cell>
          <cell r="S4557">
            <v>0.26</v>
          </cell>
        </row>
        <row r="4558">
          <cell r="D4558">
            <v>1208003099</v>
          </cell>
          <cell r="E4558" t="str">
            <v>SELINAH BAKASA</v>
          </cell>
          <cell r="F4558" t="str">
            <v>D (Ch)</v>
          </cell>
          <cell r="H4558" t="str">
            <v>Choice</v>
          </cell>
          <cell r="I4558">
            <v>0.3125</v>
          </cell>
          <cell r="J4558">
            <v>0.64583333333333337</v>
          </cell>
          <cell r="K4558">
            <v>7.6666666670000003</v>
          </cell>
          <cell r="L4558">
            <v>186.84</v>
          </cell>
          <cell r="O4558" t="str">
            <v>Y</v>
          </cell>
          <cell r="P4558" t="str">
            <v>N</v>
          </cell>
          <cell r="Q4558" t="str">
            <v>Extra Capacity</v>
          </cell>
          <cell r="S4558">
            <v>0.2</v>
          </cell>
        </row>
        <row r="4559">
          <cell r="D4559">
            <v>1208006364</v>
          </cell>
          <cell r="E4559" t="str">
            <v>SHEPHERD CHIWANZA</v>
          </cell>
          <cell r="F4559" t="str">
            <v>A (Ch)</v>
          </cell>
          <cell r="G4559">
            <v>17768</v>
          </cell>
          <cell r="H4559" t="str">
            <v>Choice</v>
          </cell>
          <cell r="I4559">
            <v>0.5625</v>
          </cell>
          <cell r="J4559">
            <v>0.85416666666666663</v>
          </cell>
          <cell r="K4559">
            <v>6.6666666670000003</v>
          </cell>
          <cell r="L4559">
            <v>73.930000000000007</v>
          </cell>
          <cell r="O4559" t="str">
            <v>Y</v>
          </cell>
          <cell r="P4559" t="str">
            <v>N</v>
          </cell>
          <cell r="Q4559" t="str">
            <v>Backfill</v>
          </cell>
          <cell r="S4559">
            <v>0.18</v>
          </cell>
        </row>
        <row r="4560">
          <cell r="D4560">
            <v>1208007142</v>
          </cell>
          <cell r="E4560" t="str">
            <v>SHEPHERD CHIWANZA</v>
          </cell>
          <cell r="F4560" t="str">
            <v>A (Ch)</v>
          </cell>
          <cell r="G4560">
            <v>17776</v>
          </cell>
          <cell r="H4560" t="str">
            <v>Choice</v>
          </cell>
          <cell r="I4560">
            <v>0.3125</v>
          </cell>
          <cell r="J4560">
            <v>0.54166666666666663</v>
          </cell>
          <cell r="K4560">
            <v>5.5</v>
          </cell>
          <cell r="L4560">
            <v>60.99</v>
          </cell>
          <cell r="O4560" t="str">
            <v>Y</v>
          </cell>
          <cell r="P4560" t="str">
            <v>N</v>
          </cell>
          <cell r="Q4560" t="str">
            <v>Extra Capacity</v>
          </cell>
          <cell r="S4560">
            <v>0.15</v>
          </cell>
        </row>
        <row r="4561">
          <cell r="D4561">
            <v>1208003356</v>
          </cell>
          <cell r="E4561" t="str">
            <v>SINDISO MOYO</v>
          </cell>
          <cell r="F4561" t="str">
            <v>D (Amb)</v>
          </cell>
          <cell r="H4561" t="str">
            <v>Ambition</v>
          </cell>
          <cell r="I4561">
            <v>0.32291666666666669</v>
          </cell>
          <cell r="J4561">
            <v>0.54166666666666663</v>
          </cell>
          <cell r="K4561">
            <v>5.25</v>
          </cell>
          <cell r="L4561">
            <v>205.28</v>
          </cell>
          <cell r="O4561" t="str">
            <v>Y</v>
          </cell>
          <cell r="P4561" t="str">
            <v>N</v>
          </cell>
          <cell r="Q4561" t="str">
            <v>Vacancy</v>
          </cell>
          <cell r="S4561">
            <v>0.14000000000000001</v>
          </cell>
        </row>
        <row r="4562">
          <cell r="D4562">
            <v>1108004298</v>
          </cell>
          <cell r="E4562" t="str">
            <v>TARA MASSIE</v>
          </cell>
          <cell r="F4562" t="str">
            <v>D (MD)</v>
          </cell>
          <cell r="G4562">
            <v>357147</v>
          </cell>
          <cell r="H4562" t="str">
            <v>Mayday</v>
          </cell>
          <cell r="I4562">
            <v>0.3125</v>
          </cell>
          <cell r="J4562">
            <v>0.5625</v>
          </cell>
          <cell r="K4562">
            <v>5.6666666670000003</v>
          </cell>
          <cell r="L4562">
            <v>182.98</v>
          </cell>
          <cell r="O4562" t="str">
            <v>Y</v>
          </cell>
          <cell r="P4562" t="str">
            <v>N</v>
          </cell>
          <cell r="Q4562" t="str">
            <v>Vacancy</v>
          </cell>
          <cell r="S4562">
            <v>0.15</v>
          </cell>
        </row>
        <row r="4563">
          <cell r="D4563">
            <v>1208007665</v>
          </cell>
          <cell r="E4563" t="str">
            <v>THEMBA CEBEKHULU</v>
          </cell>
          <cell r="F4563" t="str">
            <v>D (Ch)</v>
          </cell>
          <cell r="H4563" t="str">
            <v>Choice</v>
          </cell>
          <cell r="I4563">
            <v>0.60416666666666663</v>
          </cell>
          <cell r="J4563">
            <v>0.85416666666666663</v>
          </cell>
          <cell r="K4563">
            <v>5.6666666670000003</v>
          </cell>
          <cell r="L4563">
            <v>138.1</v>
          </cell>
          <cell r="O4563" t="str">
            <v>Y</v>
          </cell>
          <cell r="P4563" t="str">
            <v>N</v>
          </cell>
          <cell r="Q4563" t="str">
            <v>Extra Capacity</v>
          </cell>
          <cell r="S4563">
            <v>0.15</v>
          </cell>
        </row>
        <row r="4564">
          <cell r="D4564">
            <v>1208004114</v>
          </cell>
          <cell r="E4564" t="str">
            <v>TRUDY BRENNAN</v>
          </cell>
          <cell r="F4564" t="str">
            <v>D (Amb)</v>
          </cell>
          <cell r="G4564">
            <v>777109</v>
          </cell>
          <cell r="H4564" t="str">
            <v>Ambition</v>
          </cell>
          <cell r="I4564">
            <v>0.83333333333333337</v>
          </cell>
          <cell r="J4564">
            <v>0.33333333333333331</v>
          </cell>
          <cell r="K4564">
            <v>11.33333333</v>
          </cell>
          <cell r="L4564">
            <v>576.07000000000005</v>
          </cell>
          <cell r="O4564" t="str">
            <v>Y</v>
          </cell>
          <cell r="P4564" t="str">
            <v>N</v>
          </cell>
          <cell r="Q4564" t="str">
            <v>Vacancy</v>
          </cell>
          <cell r="S4564">
            <v>0.3</v>
          </cell>
        </row>
        <row r="4565">
          <cell r="D4565">
            <v>1208007670</v>
          </cell>
          <cell r="E4565" t="str">
            <v>ALAN ROWLATT-HARROD</v>
          </cell>
          <cell r="F4565" t="str">
            <v>D (Amb)</v>
          </cell>
          <cell r="G4565">
            <v>772111</v>
          </cell>
          <cell r="H4565" t="str">
            <v>Ambition</v>
          </cell>
          <cell r="I4565">
            <v>0.3125</v>
          </cell>
          <cell r="J4565">
            <v>0.60416666666666663</v>
          </cell>
          <cell r="K4565">
            <v>6.6666666670000003</v>
          </cell>
          <cell r="L4565">
            <v>260.67</v>
          </cell>
          <cell r="O4565" t="str">
            <v>Y</v>
          </cell>
          <cell r="P4565" t="str">
            <v>N</v>
          </cell>
          <cell r="Q4565" t="str">
            <v>Extra Capacity</v>
          </cell>
          <cell r="S4565">
            <v>0.18</v>
          </cell>
        </row>
        <row r="4566">
          <cell r="D4566">
            <v>1208007676</v>
          </cell>
          <cell r="E4566" t="str">
            <v>ALAN ROWLATT-HARROD</v>
          </cell>
          <cell r="F4566" t="str">
            <v>D (Amb)</v>
          </cell>
          <cell r="G4566">
            <v>772112</v>
          </cell>
          <cell r="H4566" t="str">
            <v>Ambition</v>
          </cell>
          <cell r="I4566">
            <v>0.60416666666666663</v>
          </cell>
          <cell r="J4566">
            <v>0.85416666666666663</v>
          </cell>
          <cell r="K4566">
            <v>5.6666666670000003</v>
          </cell>
          <cell r="L4566">
            <v>221.57</v>
          </cell>
          <cell r="O4566" t="str">
            <v>Y</v>
          </cell>
          <cell r="P4566" t="str">
            <v>N</v>
          </cell>
          <cell r="Q4566" t="str">
            <v>Extra Capacity</v>
          </cell>
          <cell r="S4566">
            <v>0.15</v>
          </cell>
        </row>
        <row r="4567">
          <cell r="D4567">
            <v>1208002506</v>
          </cell>
          <cell r="E4567" t="str">
            <v>ALLI SUBRAMANIAM</v>
          </cell>
          <cell r="F4567" t="str">
            <v>D (MD)</v>
          </cell>
          <cell r="H4567" t="str">
            <v>Mayday</v>
          </cell>
          <cell r="I4567">
            <v>0.3125</v>
          </cell>
          <cell r="J4567">
            <v>0.85416666666666663</v>
          </cell>
          <cell r="K4567">
            <v>12.33333333</v>
          </cell>
          <cell r="L4567">
            <v>398.24</v>
          </cell>
          <cell r="O4567" t="str">
            <v>Y</v>
          </cell>
          <cell r="P4567" t="str">
            <v>N</v>
          </cell>
          <cell r="Q4567" t="str">
            <v>Extra Capacity</v>
          </cell>
          <cell r="S4567">
            <v>0.33</v>
          </cell>
        </row>
        <row r="4568">
          <cell r="D4568">
            <v>1208007653</v>
          </cell>
          <cell r="E4568" t="str">
            <v>ANTHONY OGOEGBUNAN</v>
          </cell>
          <cell r="F4568" t="str">
            <v>D (MD)</v>
          </cell>
          <cell r="G4568">
            <v>356762</v>
          </cell>
          <cell r="H4568" t="str">
            <v>Mayday</v>
          </cell>
          <cell r="I4568">
            <v>0.83333333333333337</v>
          </cell>
          <cell r="J4568">
            <v>0.33333333333333331</v>
          </cell>
          <cell r="K4568">
            <v>11</v>
          </cell>
          <cell r="L4568">
            <v>461.75</v>
          </cell>
          <cell r="O4568" t="str">
            <v>Y</v>
          </cell>
          <cell r="P4568" t="str">
            <v>N</v>
          </cell>
          <cell r="Q4568" t="str">
            <v>Extra Capacity</v>
          </cell>
          <cell r="S4568">
            <v>0.28999999999999998</v>
          </cell>
        </row>
        <row r="4569">
          <cell r="D4569">
            <v>1208005019</v>
          </cell>
          <cell r="E4569" t="str">
            <v>ATINUKE OKE-OLATUNDE</v>
          </cell>
          <cell r="F4569" t="str">
            <v>D (MD)</v>
          </cell>
          <cell r="G4569">
            <v>360413</v>
          </cell>
          <cell r="H4569" t="str">
            <v>Mayday</v>
          </cell>
          <cell r="I4569">
            <v>0.84375</v>
          </cell>
          <cell r="J4569">
            <v>0.3125</v>
          </cell>
          <cell r="K4569">
            <v>10.25</v>
          </cell>
          <cell r="L4569">
            <v>430.26</v>
          </cell>
          <cell r="O4569" t="str">
            <v>Y</v>
          </cell>
          <cell r="P4569" t="str">
            <v>N</v>
          </cell>
          <cell r="Q4569" t="str">
            <v>Extra Capacity</v>
          </cell>
          <cell r="S4569">
            <v>0.27</v>
          </cell>
        </row>
        <row r="4570">
          <cell r="D4570">
            <v>1208004117</v>
          </cell>
          <cell r="E4570" t="str">
            <v>BRENDA GWEKWERERE</v>
          </cell>
          <cell r="F4570" t="str">
            <v>D (Ch)</v>
          </cell>
          <cell r="G4570">
            <v>17791</v>
          </cell>
          <cell r="H4570" t="str">
            <v>Choice</v>
          </cell>
          <cell r="I4570">
            <v>0.3125</v>
          </cell>
          <cell r="J4570">
            <v>0.85416666666666663</v>
          </cell>
          <cell r="K4570">
            <v>12.33333333</v>
          </cell>
          <cell r="L4570">
            <v>300.56</v>
          </cell>
          <cell r="M4570">
            <v>268.07</v>
          </cell>
          <cell r="O4570" t="str">
            <v>Y</v>
          </cell>
          <cell r="P4570" t="str">
            <v>N</v>
          </cell>
          <cell r="Q4570" t="str">
            <v>Vacancy</v>
          </cell>
          <cell r="S4570">
            <v>0.33</v>
          </cell>
        </row>
        <row r="4571">
          <cell r="D4571">
            <v>1208007161</v>
          </cell>
          <cell r="E4571" t="str">
            <v>CATH CHIDAVAYENZI</v>
          </cell>
          <cell r="F4571" t="str">
            <v>D (Ch)</v>
          </cell>
          <cell r="G4571">
            <v>17776</v>
          </cell>
          <cell r="H4571" t="str">
            <v>Choice</v>
          </cell>
          <cell r="I4571">
            <v>0.83333333333333337</v>
          </cell>
          <cell r="J4571">
            <v>0.33333333333333331</v>
          </cell>
          <cell r="K4571">
            <v>11.33333333</v>
          </cell>
          <cell r="L4571">
            <v>359.05</v>
          </cell>
          <cell r="O4571" t="str">
            <v>Y</v>
          </cell>
          <cell r="P4571" t="str">
            <v>N</v>
          </cell>
          <cell r="Q4571" t="str">
            <v>Extra Capacity</v>
          </cell>
          <cell r="S4571">
            <v>0.3</v>
          </cell>
        </row>
        <row r="4572">
          <cell r="D4572">
            <v>1108005023</v>
          </cell>
          <cell r="E4572" t="str">
            <v>CHRIS STULAR</v>
          </cell>
          <cell r="F4572" t="str">
            <v>D General (Orio</v>
          </cell>
          <cell r="G4572" t="str">
            <v>Invsd Smt checked</v>
          </cell>
          <cell r="H4572" t="str">
            <v>Orion</v>
          </cell>
          <cell r="I4572">
            <v>0.33333333333333331</v>
          </cell>
          <cell r="J4572">
            <v>0.75</v>
          </cell>
          <cell r="K4572">
            <v>9.5</v>
          </cell>
          <cell r="L4572">
            <v>172.14</v>
          </cell>
          <cell r="O4572" t="str">
            <v>Y</v>
          </cell>
          <cell r="P4572" t="str">
            <v>N</v>
          </cell>
          <cell r="Q4572" t="str">
            <v>Backfill</v>
          </cell>
          <cell r="S4572">
            <v>0.25</v>
          </cell>
        </row>
        <row r="4573">
          <cell r="D4573">
            <v>1208007162</v>
          </cell>
          <cell r="E4573" t="str">
            <v>CYNTHIA DELMO</v>
          </cell>
          <cell r="F4573" t="str">
            <v>D (Ch)</v>
          </cell>
          <cell r="G4573">
            <v>17798</v>
          </cell>
          <cell r="H4573" t="str">
            <v>Choice</v>
          </cell>
          <cell r="I4573">
            <v>0.83333333333333337</v>
          </cell>
          <cell r="J4573">
            <v>0.33333333333333331</v>
          </cell>
          <cell r="K4573">
            <v>11.33333333</v>
          </cell>
          <cell r="L4573">
            <v>359.05</v>
          </cell>
          <cell r="O4573" t="str">
            <v>Y</v>
          </cell>
          <cell r="P4573" t="str">
            <v>N</v>
          </cell>
          <cell r="Q4573" t="str">
            <v>Extra Capacity</v>
          </cell>
          <cell r="S4573">
            <v>0.3</v>
          </cell>
        </row>
        <row r="4574">
          <cell r="D4574">
            <v>1208007652</v>
          </cell>
          <cell r="E4574" t="str">
            <v>DEBBIE HARRIS</v>
          </cell>
          <cell r="F4574" t="str">
            <v>5 Gen (All)</v>
          </cell>
          <cell r="G4574">
            <v>355059</v>
          </cell>
          <cell r="H4574" t="str">
            <v>Mayday</v>
          </cell>
          <cell r="I4574">
            <v>0.3125</v>
          </cell>
          <cell r="J4574">
            <v>0.85416666666666663</v>
          </cell>
          <cell r="K4574">
            <v>12.33333333</v>
          </cell>
          <cell r="L4574">
            <v>221.75</v>
          </cell>
          <cell r="O4574" t="str">
            <v>Y</v>
          </cell>
          <cell r="P4574" t="str">
            <v>N</v>
          </cell>
          <cell r="Q4574" t="str">
            <v>Extra Capacity</v>
          </cell>
          <cell r="S4574">
            <v>0.33</v>
          </cell>
        </row>
        <row r="4575">
          <cell r="D4575">
            <v>1208007681</v>
          </cell>
          <cell r="E4575" t="str">
            <v>DONALD YANZA</v>
          </cell>
          <cell r="F4575" t="str">
            <v>D (Ch)</v>
          </cell>
          <cell r="G4575">
            <v>17766</v>
          </cell>
          <cell r="H4575" t="str">
            <v>Choice</v>
          </cell>
          <cell r="I4575">
            <v>0.83333333333333337</v>
          </cell>
          <cell r="J4575">
            <v>0.33333333333333331</v>
          </cell>
          <cell r="K4575">
            <v>11.33333333</v>
          </cell>
          <cell r="L4575">
            <v>359.05</v>
          </cell>
          <cell r="O4575" t="str">
            <v>Y</v>
          </cell>
          <cell r="P4575" t="str">
            <v>N</v>
          </cell>
          <cell r="Q4575" t="str">
            <v>Extra Capacity</v>
          </cell>
          <cell r="S4575">
            <v>0.3</v>
          </cell>
        </row>
        <row r="4576">
          <cell r="D4576">
            <v>1208007153</v>
          </cell>
          <cell r="E4576" t="str">
            <v>DOROTHY MUTEMWA</v>
          </cell>
          <cell r="F4576" t="str">
            <v>A (Ch)</v>
          </cell>
          <cell r="G4576">
            <v>17853</v>
          </cell>
          <cell r="H4576" t="str">
            <v>Choice</v>
          </cell>
          <cell r="I4576">
            <v>0.54166666666666663</v>
          </cell>
          <cell r="J4576">
            <v>0.83333333333333337</v>
          </cell>
          <cell r="K4576">
            <v>6.6666666670000003</v>
          </cell>
          <cell r="L4576">
            <v>73.930000000000007</v>
          </cell>
          <cell r="O4576" t="str">
            <v>Y</v>
          </cell>
          <cell r="P4576" t="str">
            <v>N</v>
          </cell>
          <cell r="Q4576" t="str">
            <v>Extra Capacity</v>
          </cell>
          <cell r="S4576">
            <v>0.18</v>
          </cell>
        </row>
        <row r="4577">
          <cell r="D4577">
            <v>1208006850</v>
          </cell>
          <cell r="E4577" t="str">
            <v>ELIZABETH MUZINDA</v>
          </cell>
          <cell r="F4577" t="str">
            <v>D (MD)</v>
          </cell>
          <cell r="G4577">
            <v>356998</v>
          </cell>
          <cell r="H4577" t="str">
            <v>Mayday</v>
          </cell>
          <cell r="I4577">
            <v>0.29166666666666669</v>
          </cell>
          <cell r="J4577">
            <v>0.625</v>
          </cell>
          <cell r="K4577">
            <v>7.6666666670000003</v>
          </cell>
          <cell r="L4577">
            <v>247.56</v>
          </cell>
          <cell r="O4577" t="str">
            <v>Y</v>
          </cell>
          <cell r="P4577" t="str">
            <v>N</v>
          </cell>
          <cell r="Q4577" t="str">
            <v>Specials</v>
          </cell>
          <cell r="S4577">
            <v>0.2</v>
          </cell>
        </row>
        <row r="4578">
          <cell r="D4578">
            <v>1208006851</v>
          </cell>
          <cell r="E4578" t="str">
            <v>ELIZABETH MUZINDA</v>
          </cell>
          <cell r="F4578" t="str">
            <v>D (MD)</v>
          </cell>
          <cell r="G4578">
            <v>356998</v>
          </cell>
          <cell r="H4578" t="str">
            <v>Mayday</v>
          </cell>
          <cell r="I4578">
            <v>0.625</v>
          </cell>
          <cell r="J4578">
            <v>0.875</v>
          </cell>
          <cell r="K4578">
            <v>5.75</v>
          </cell>
          <cell r="L4578">
            <v>185.67</v>
          </cell>
          <cell r="O4578" t="str">
            <v>Y</v>
          </cell>
          <cell r="P4578" t="str">
            <v>N</v>
          </cell>
          <cell r="Q4578" t="str">
            <v>Specials</v>
          </cell>
          <cell r="S4578">
            <v>0.15</v>
          </cell>
        </row>
        <row r="4579">
          <cell r="D4579">
            <v>1208007680</v>
          </cell>
          <cell r="E4579" t="str">
            <v>EUNICE ADEBANJO</v>
          </cell>
          <cell r="F4579" t="str">
            <v>D (Ch)</v>
          </cell>
          <cell r="G4579">
            <v>17876</v>
          </cell>
          <cell r="H4579" t="str">
            <v>Choice</v>
          </cell>
          <cell r="I4579">
            <v>0.83333333333333337</v>
          </cell>
          <cell r="J4579">
            <v>0.33333333333333331</v>
          </cell>
          <cell r="K4579">
            <v>11.33333333</v>
          </cell>
          <cell r="L4579">
            <v>359.05</v>
          </cell>
          <cell r="M4579">
            <v>324.95999999999998</v>
          </cell>
          <cell r="O4579" t="str">
            <v>Y</v>
          </cell>
          <cell r="P4579" t="str">
            <v>N</v>
          </cell>
          <cell r="Q4579" t="str">
            <v>Extra Capacity</v>
          </cell>
          <cell r="S4579">
            <v>0.3</v>
          </cell>
        </row>
        <row r="4580">
          <cell r="D4580">
            <v>1208007216</v>
          </cell>
          <cell r="E4580" t="str">
            <v>FURTHERMORE MUTSINZE</v>
          </cell>
          <cell r="F4580" t="str">
            <v>A (Ch)</v>
          </cell>
          <cell r="H4580" t="str">
            <v>Choice</v>
          </cell>
          <cell r="I4580">
            <v>0.3125</v>
          </cell>
          <cell r="J4580">
            <v>0.5625</v>
          </cell>
          <cell r="K4580">
            <v>5.6666666670000003</v>
          </cell>
          <cell r="L4580">
            <v>62.84</v>
          </cell>
          <cell r="O4580" t="str">
            <v>Y</v>
          </cell>
          <cell r="P4580" t="str">
            <v>N</v>
          </cell>
          <cell r="Q4580" t="str">
            <v>Short Term Sick</v>
          </cell>
          <cell r="S4580">
            <v>0.15</v>
          </cell>
        </row>
        <row r="4581">
          <cell r="D4581">
            <v>1108005696</v>
          </cell>
          <cell r="E4581" t="str">
            <v>GEORGE MALETE</v>
          </cell>
          <cell r="F4581" t="str">
            <v>A (Ch)</v>
          </cell>
          <cell r="G4581">
            <v>18019</v>
          </cell>
          <cell r="H4581" t="str">
            <v>Choice</v>
          </cell>
          <cell r="I4581">
            <v>0.3125</v>
          </cell>
          <cell r="J4581">
            <v>0.5625</v>
          </cell>
          <cell r="K4581">
            <v>5.6666666670000003</v>
          </cell>
          <cell r="L4581">
            <v>62.84</v>
          </cell>
          <cell r="O4581" t="str">
            <v>Y</v>
          </cell>
          <cell r="P4581" t="str">
            <v>N</v>
          </cell>
          <cell r="Q4581" t="str">
            <v>Vacancy</v>
          </cell>
          <cell r="S4581">
            <v>0.15</v>
          </cell>
        </row>
        <row r="4582">
          <cell r="D4582">
            <v>109001043</v>
          </cell>
          <cell r="E4582" t="str">
            <v>JAKE BROOKES</v>
          </cell>
          <cell r="F4582" t="str">
            <v>D General (Orio</v>
          </cell>
          <cell r="G4582" t="str">
            <v>Invsd Smt checked</v>
          </cell>
          <cell r="H4582" t="str">
            <v>Orion</v>
          </cell>
          <cell r="I4582">
            <v>0.33333333333333331</v>
          </cell>
          <cell r="J4582">
            <v>0.75</v>
          </cell>
          <cell r="K4582">
            <v>9.1666666669999994</v>
          </cell>
          <cell r="L4582">
            <v>166.1</v>
          </cell>
          <cell r="O4582" t="str">
            <v>Y</v>
          </cell>
          <cell r="P4582" t="str">
            <v>N</v>
          </cell>
          <cell r="Q4582" t="str">
            <v>Vacancy</v>
          </cell>
          <cell r="S4582">
            <v>0.24</v>
          </cell>
        </row>
        <row r="4583">
          <cell r="D4583">
            <v>1208007135</v>
          </cell>
          <cell r="E4583" t="str">
            <v>JAMES MCCLEMENTS</v>
          </cell>
          <cell r="F4583" t="str">
            <v>D (MD)</v>
          </cell>
          <cell r="G4583">
            <v>356860</v>
          </cell>
          <cell r="H4583" t="str">
            <v>Mayday</v>
          </cell>
          <cell r="I4583">
            <v>0.3125</v>
          </cell>
          <cell r="J4583">
            <v>0.54166666666666663</v>
          </cell>
          <cell r="K4583">
            <v>5.5</v>
          </cell>
          <cell r="L4583">
            <v>177.59</v>
          </cell>
          <cell r="O4583" t="str">
            <v>Y</v>
          </cell>
          <cell r="P4583" t="str">
            <v>N</v>
          </cell>
          <cell r="Q4583" t="str">
            <v>Extra Capacity</v>
          </cell>
          <cell r="S4583">
            <v>0.15</v>
          </cell>
        </row>
        <row r="4584">
          <cell r="D4584">
            <v>1208007152</v>
          </cell>
          <cell r="E4584" t="str">
            <v>JAMES MCCLEMENTS</v>
          </cell>
          <cell r="F4584" t="str">
            <v>D (MD)</v>
          </cell>
          <cell r="G4584">
            <v>356860</v>
          </cell>
          <cell r="H4584" t="str">
            <v>Mayday</v>
          </cell>
          <cell r="I4584">
            <v>0.54166666666666663</v>
          </cell>
          <cell r="J4584">
            <v>0.83333333333333337</v>
          </cell>
          <cell r="K4584">
            <v>6.6666666670000003</v>
          </cell>
          <cell r="L4584">
            <v>215.27</v>
          </cell>
          <cell r="O4584" t="str">
            <v>Y</v>
          </cell>
          <cell r="P4584" t="str">
            <v>N</v>
          </cell>
          <cell r="Q4584" t="str">
            <v>Extra Capacity</v>
          </cell>
          <cell r="S4584">
            <v>0.18</v>
          </cell>
        </row>
        <row r="4585">
          <cell r="D4585">
            <v>1208004118</v>
          </cell>
          <cell r="E4585" t="str">
            <v>JASMINE ESGUERRA</v>
          </cell>
          <cell r="F4585" t="str">
            <v>D (Ch)</v>
          </cell>
          <cell r="H4585" t="str">
            <v>Choice</v>
          </cell>
          <cell r="I4585">
            <v>0.3125</v>
          </cell>
          <cell r="J4585">
            <v>0.60416666666666663</v>
          </cell>
          <cell r="K4585">
            <v>6.6666666670000003</v>
          </cell>
          <cell r="L4585">
            <v>162.47</v>
          </cell>
          <cell r="O4585" t="str">
            <v>Y</v>
          </cell>
          <cell r="P4585" t="str">
            <v>N</v>
          </cell>
          <cell r="Q4585" t="str">
            <v>Vacancy</v>
          </cell>
          <cell r="S4585">
            <v>0.18</v>
          </cell>
        </row>
        <row r="4586">
          <cell r="D4586">
            <v>1208005023</v>
          </cell>
          <cell r="E4586" t="str">
            <v>JOANNE BUSS</v>
          </cell>
          <cell r="F4586" t="str">
            <v>D (MD)</v>
          </cell>
          <cell r="G4586">
            <v>356907</v>
          </cell>
          <cell r="H4586" t="str">
            <v>Mayday</v>
          </cell>
          <cell r="I4586">
            <v>0.625</v>
          </cell>
          <cell r="J4586">
            <v>0.84375</v>
          </cell>
          <cell r="K4586">
            <v>5.25</v>
          </cell>
          <cell r="L4586">
            <v>169.52</v>
          </cell>
          <cell r="O4586" t="str">
            <v>Y</v>
          </cell>
          <cell r="P4586" t="str">
            <v>N</v>
          </cell>
          <cell r="Q4586" t="str">
            <v>Vacancy</v>
          </cell>
          <cell r="S4586">
            <v>0.14000000000000001</v>
          </cell>
        </row>
        <row r="4587">
          <cell r="D4587">
            <v>1208004120</v>
          </cell>
          <cell r="E4587" t="str">
            <v>JOHANNA SELOKELA</v>
          </cell>
          <cell r="F4587" t="str">
            <v>D (Amb)</v>
          </cell>
          <cell r="G4587">
            <v>772087</v>
          </cell>
          <cell r="H4587" t="str">
            <v>Ambition</v>
          </cell>
          <cell r="I4587">
            <v>0.83333333333333337</v>
          </cell>
          <cell r="J4587">
            <v>0.33333333333333331</v>
          </cell>
          <cell r="K4587">
            <v>11.33333333</v>
          </cell>
          <cell r="L4587">
            <v>576.07000000000005</v>
          </cell>
          <cell r="O4587" t="str">
            <v>Y</v>
          </cell>
          <cell r="P4587" t="str">
            <v>N</v>
          </cell>
          <cell r="Q4587" t="str">
            <v>Vacancy</v>
          </cell>
          <cell r="S4587">
            <v>0.3</v>
          </cell>
        </row>
        <row r="4588">
          <cell r="D4588">
            <v>1208007678</v>
          </cell>
          <cell r="E4588" t="str">
            <v>JOSEPH BASS</v>
          </cell>
          <cell r="F4588" t="str">
            <v>D (MD)</v>
          </cell>
          <cell r="H4588" t="str">
            <v>Mayday</v>
          </cell>
          <cell r="I4588">
            <v>0.83333333333333337</v>
          </cell>
          <cell r="J4588">
            <v>0.33333333333333331</v>
          </cell>
          <cell r="K4588">
            <v>11.33333333</v>
          </cell>
          <cell r="L4588">
            <v>475.74</v>
          </cell>
          <cell r="O4588" t="str">
            <v>Y</v>
          </cell>
          <cell r="P4588" t="str">
            <v>N</v>
          </cell>
          <cell r="Q4588" t="str">
            <v>Extra Capacity</v>
          </cell>
          <cell r="S4588">
            <v>0.3</v>
          </cell>
        </row>
        <row r="4589">
          <cell r="D4589">
            <v>1208007467</v>
          </cell>
          <cell r="E4589" t="str">
            <v>LYABODE ADEYEFA</v>
          </cell>
          <cell r="F4589" t="str">
            <v>D (Amb)</v>
          </cell>
          <cell r="G4589">
            <v>772159</v>
          </cell>
          <cell r="H4589" t="str">
            <v>Ambition</v>
          </cell>
          <cell r="I4589">
            <v>0.3125</v>
          </cell>
          <cell r="J4589">
            <v>0.83333333333333337</v>
          </cell>
          <cell r="K4589">
            <v>11.83333333</v>
          </cell>
          <cell r="L4589">
            <v>462.68</v>
          </cell>
          <cell r="O4589" t="str">
            <v>Y</v>
          </cell>
          <cell r="P4589" t="str">
            <v>N</v>
          </cell>
          <cell r="Q4589" t="str">
            <v>Extra Capacity</v>
          </cell>
          <cell r="S4589">
            <v>0.32</v>
          </cell>
        </row>
        <row r="4590">
          <cell r="D4590">
            <v>1208007143</v>
          </cell>
          <cell r="E4590" t="str">
            <v>MERCY SIBANDA</v>
          </cell>
          <cell r="F4590" t="str">
            <v>A (Ch)</v>
          </cell>
          <cell r="G4590">
            <v>17768</v>
          </cell>
          <cell r="H4590" t="str">
            <v>Choice</v>
          </cell>
          <cell r="I4590">
            <v>0.3125</v>
          </cell>
          <cell r="J4590">
            <v>0.54166666666666663</v>
          </cell>
          <cell r="K4590">
            <v>5.5</v>
          </cell>
          <cell r="L4590">
            <v>60.99</v>
          </cell>
          <cell r="O4590" t="str">
            <v>Y</v>
          </cell>
          <cell r="P4590" t="str">
            <v>N</v>
          </cell>
          <cell r="Q4590" t="str">
            <v>Extra Capacity</v>
          </cell>
          <cell r="S4590">
            <v>0.15</v>
          </cell>
        </row>
        <row r="4591">
          <cell r="D4591">
            <v>1208002474</v>
          </cell>
          <cell r="E4591" t="str">
            <v>MICHAEL OKE</v>
          </cell>
          <cell r="F4591" t="str">
            <v>A (Ch)</v>
          </cell>
          <cell r="G4591">
            <v>17780</v>
          </cell>
          <cell r="H4591" t="str">
            <v>Choice</v>
          </cell>
          <cell r="I4591">
            <v>0.3125</v>
          </cell>
          <cell r="J4591">
            <v>0.85416666666666663</v>
          </cell>
          <cell r="K4591">
            <v>12.33333333</v>
          </cell>
          <cell r="L4591">
            <v>136.78</v>
          </cell>
          <cell r="O4591" t="str">
            <v>Y</v>
          </cell>
          <cell r="P4591" t="str">
            <v>N</v>
          </cell>
          <cell r="Q4591" t="str">
            <v>Extra Capacity</v>
          </cell>
          <cell r="S4591">
            <v>0.33</v>
          </cell>
        </row>
        <row r="4592">
          <cell r="D4592">
            <v>1108006022</v>
          </cell>
          <cell r="E4592" t="str">
            <v>MZUKISI SPEELMAN</v>
          </cell>
          <cell r="F4592" t="str">
            <v>A (Ch)</v>
          </cell>
          <cell r="G4592">
            <v>17768</v>
          </cell>
          <cell r="H4592" t="str">
            <v>Choice</v>
          </cell>
          <cell r="I4592">
            <v>0.3125</v>
          </cell>
          <cell r="J4592">
            <v>0.5625</v>
          </cell>
          <cell r="K4592">
            <v>5.6666666670000003</v>
          </cell>
          <cell r="L4592">
            <v>62.84</v>
          </cell>
          <cell r="O4592" t="str">
            <v>Y</v>
          </cell>
          <cell r="P4592" t="str">
            <v>N</v>
          </cell>
          <cell r="Q4592" t="str">
            <v>Under Established</v>
          </cell>
          <cell r="S4592">
            <v>0.15</v>
          </cell>
        </row>
        <row r="4593">
          <cell r="D4593">
            <v>1208003104</v>
          </cell>
          <cell r="E4593" t="str">
            <v>NILO DANUGO</v>
          </cell>
          <cell r="F4593" t="str">
            <v>D (Ch)</v>
          </cell>
          <cell r="G4593">
            <v>17857</v>
          </cell>
          <cell r="H4593" t="str">
            <v>Choice</v>
          </cell>
          <cell r="I4593">
            <v>0.88541666666666663</v>
          </cell>
          <cell r="J4593">
            <v>0.33333333333333331</v>
          </cell>
          <cell r="K4593">
            <v>10.41666667</v>
          </cell>
          <cell r="L4593">
            <v>330.01</v>
          </cell>
          <cell r="O4593" t="str">
            <v>Y</v>
          </cell>
          <cell r="P4593" t="str">
            <v>N</v>
          </cell>
          <cell r="Q4593" t="str">
            <v>Extra Capacity</v>
          </cell>
          <cell r="S4593">
            <v>0.28000000000000003</v>
          </cell>
        </row>
        <row r="4594">
          <cell r="D4594">
            <v>109000218</v>
          </cell>
          <cell r="E4594" t="str">
            <v>NTLAI MAGWETE</v>
          </cell>
          <cell r="F4594" t="str">
            <v>D (Ch)</v>
          </cell>
          <cell r="G4594">
            <v>18020</v>
          </cell>
          <cell r="H4594" t="str">
            <v>Choice</v>
          </cell>
          <cell r="I4594">
            <v>0.3125</v>
          </cell>
          <cell r="J4594">
            <v>0.625</v>
          </cell>
          <cell r="K4594">
            <v>7.1666666670000003</v>
          </cell>
          <cell r="L4594">
            <v>174.65</v>
          </cell>
          <cell r="O4594" t="str">
            <v>Y</v>
          </cell>
          <cell r="P4594" t="str">
            <v>N</v>
          </cell>
          <cell r="Q4594" t="str">
            <v>Vacancy</v>
          </cell>
          <cell r="S4594">
            <v>0.19</v>
          </cell>
        </row>
        <row r="4595">
          <cell r="D4595">
            <v>1208003362</v>
          </cell>
          <cell r="E4595" t="str">
            <v>NTLAI MAGWETE</v>
          </cell>
          <cell r="F4595" t="str">
            <v>D (Ch)</v>
          </cell>
          <cell r="G4595">
            <v>18010</v>
          </cell>
          <cell r="H4595" t="str">
            <v>Choice</v>
          </cell>
          <cell r="I4595">
            <v>0.64583333333333337</v>
          </cell>
          <cell r="J4595">
            <v>0.84375</v>
          </cell>
          <cell r="K4595">
            <v>4.75</v>
          </cell>
          <cell r="L4595">
            <v>115.76</v>
          </cell>
          <cell r="O4595" t="str">
            <v>Y</v>
          </cell>
          <cell r="P4595" t="str">
            <v>N</v>
          </cell>
          <cell r="Q4595" t="str">
            <v>Vacancy</v>
          </cell>
          <cell r="S4595">
            <v>0.13</v>
          </cell>
        </row>
        <row r="4596">
          <cell r="D4596">
            <v>1208004848</v>
          </cell>
          <cell r="E4596" t="str">
            <v>OMAR SENGHORE</v>
          </cell>
          <cell r="F4596" t="str">
            <v>D (MD)</v>
          </cell>
          <cell r="G4596">
            <v>363167</v>
          </cell>
          <cell r="H4596" t="str">
            <v>Mayday</v>
          </cell>
          <cell r="I4596">
            <v>0.82291666666666663</v>
          </cell>
          <cell r="J4596">
            <v>0.34375</v>
          </cell>
          <cell r="K4596">
            <v>11.5</v>
          </cell>
          <cell r="L4596">
            <v>482.74</v>
          </cell>
          <cell r="O4596" t="str">
            <v>Y</v>
          </cell>
          <cell r="P4596" t="str">
            <v>N</v>
          </cell>
          <cell r="Q4596" t="str">
            <v>Extra Capacity</v>
          </cell>
          <cell r="S4596">
            <v>0.31</v>
          </cell>
        </row>
        <row r="4597">
          <cell r="D4597">
            <v>1208004116</v>
          </cell>
          <cell r="E4597" t="str">
            <v>RUTA KAIRYTE</v>
          </cell>
          <cell r="F4597" t="str">
            <v>D (Amb)</v>
          </cell>
          <cell r="G4597">
            <v>774193</v>
          </cell>
          <cell r="H4597" t="str">
            <v>Ambition</v>
          </cell>
          <cell r="I4597">
            <v>0.3125</v>
          </cell>
          <cell r="J4597">
            <v>0.85416666666666663</v>
          </cell>
          <cell r="K4597">
            <v>12.33333333</v>
          </cell>
          <cell r="L4597">
            <v>482.23</v>
          </cell>
          <cell r="O4597" t="str">
            <v>Y</v>
          </cell>
          <cell r="P4597" t="str">
            <v>N</v>
          </cell>
          <cell r="Q4597" t="str">
            <v>Vacancy</v>
          </cell>
          <cell r="S4597">
            <v>0.33</v>
          </cell>
        </row>
        <row r="4598">
          <cell r="D4598">
            <v>1208007682</v>
          </cell>
          <cell r="E4598" t="str">
            <v>RUTH NDEGWA</v>
          </cell>
          <cell r="F4598" t="str">
            <v>D (MD)</v>
          </cell>
          <cell r="G4598">
            <v>355151</v>
          </cell>
          <cell r="H4598" t="str">
            <v>Mayday</v>
          </cell>
          <cell r="I4598">
            <v>0.83333333333333337</v>
          </cell>
          <cell r="J4598">
            <v>0.33333333333333331</v>
          </cell>
          <cell r="K4598">
            <v>11.33333333</v>
          </cell>
          <cell r="L4598">
            <v>475.74</v>
          </cell>
          <cell r="O4598" t="str">
            <v>Y</v>
          </cell>
          <cell r="P4598" t="str">
            <v>N</v>
          </cell>
          <cell r="Q4598" t="str">
            <v>Extra Capacity</v>
          </cell>
          <cell r="S4598">
            <v>0.3</v>
          </cell>
        </row>
        <row r="4599">
          <cell r="D4599">
            <v>1208006852</v>
          </cell>
          <cell r="E4599" t="str">
            <v>SARAH MAKOTORE</v>
          </cell>
          <cell r="F4599" t="str">
            <v>D (Ch)</v>
          </cell>
          <cell r="G4599">
            <v>17792</v>
          </cell>
          <cell r="H4599" t="str">
            <v>Choice</v>
          </cell>
          <cell r="I4599">
            <v>0.875</v>
          </cell>
          <cell r="J4599">
            <v>0.29166666666666669</v>
          </cell>
          <cell r="K4599">
            <v>9.6666666669999994</v>
          </cell>
          <cell r="L4599">
            <v>306.25</v>
          </cell>
          <cell r="M4599">
            <v>326.52</v>
          </cell>
          <cell r="O4599" t="str">
            <v>Y</v>
          </cell>
          <cell r="P4599" t="str">
            <v>N</v>
          </cell>
          <cell r="Q4599" t="str">
            <v>Specials</v>
          </cell>
          <cell r="S4599">
            <v>0.26</v>
          </cell>
        </row>
        <row r="4600">
          <cell r="D4600">
            <v>1208000433</v>
          </cell>
          <cell r="E4600" t="str">
            <v>SELINAH BAKASA</v>
          </cell>
          <cell r="F4600" t="str">
            <v>D (Ch)</v>
          </cell>
          <cell r="G4600">
            <v>17862</v>
          </cell>
          <cell r="H4600" t="str">
            <v>Choice</v>
          </cell>
          <cell r="I4600">
            <v>0.3125</v>
          </cell>
          <cell r="J4600">
            <v>0.54166666666666663</v>
          </cell>
          <cell r="K4600">
            <v>5.5</v>
          </cell>
          <cell r="L4600">
            <v>134.03</v>
          </cell>
          <cell r="O4600" t="str">
            <v>Y</v>
          </cell>
          <cell r="P4600" t="str">
            <v>N</v>
          </cell>
          <cell r="Q4600" t="str">
            <v>Vacancy</v>
          </cell>
          <cell r="S4600">
            <v>0.15</v>
          </cell>
        </row>
        <row r="4601">
          <cell r="D4601">
            <v>1208006307</v>
          </cell>
          <cell r="E4601" t="str">
            <v>SELINAH BAKASA</v>
          </cell>
          <cell r="F4601" t="str">
            <v>D (Ch)</v>
          </cell>
          <cell r="G4601">
            <v>17862</v>
          </cell>
          <cell r="H4601" t="str">
            <v>Choice</v>
          </cell>
          <cell r="I4601">
            <v>0.625</v>
          </cell>
          <cell r="J4601">
            <v>0.85416666666666663</v>
          </cell>
          <cell r="K4601">
            <v>5.5</v>
          </cell>
          <cell r="L4601">
            <v>134.03</v>
          </cell>
          <cell r="O4601" t="str">
            <v>Y</v>
          </cell>
          <cell r="P4601" t="str">
            <v>N</v>
          </cell>
          <cell r="Q4601" t="str">
            <v>Vacancy</v>
          </cell>
          <cell r="S4601">
            <v>0.15</v>
          </cell>
        </row>
        <row r="4602">
          <cell r="D4602">
            <v>109000165</v>
          </cell>
          <cell r="E4602" t="str">
            <v>SINCENGA GULU</v>
          </cell>
          <cell r="F4602" t="str">
            <v>D (MD)</v>
          </cell>
          <cell r="G4602">
            <v>357858</v>
          </cell>
          <cell r="H4602" t="str">
            <v>Mayday</v>
          </cell>
          <cell r="I4602">
            <v>0.82291666666666663</v>
          </cell>
          <cell r="J4602">
            <v>0.34375</v>
          </cell>
          <cell r="K4602">
            <v>11.5</v>
          </cell>
          <cell r="L4602">
            <v>482.74</v>
          </cell>
          <cell r="O4602" t="str">
            <v>Y</v>
          </cell>
          <cell r="P4602" t="str">
            <v>N</v>
          </cell>
          <cell r="Q4602" t="str">
            <v>Short Term Sick</v>
          </cell>
          <cell r="S4602">
            <v>0.31</v>
          </cell>
        </row>
        <row r="4603">
          <cell r="D4603">
            <v>1208005373</v>
          </cell>
          <cell r="E4603" t="str">
            <v>TARA MASSIE</v>
          </cell>
          <cell r="F4603" t="str">
            <v>D (MD)</v>
          </cell>
          <cell r="G4603">
            <v>357144</v>
          </cell>
          <cell r="H4603" t="str">
            <v>Mayday</v>
          </cell>
          <cell r="I4603">
            <v>0.33333333333333331</v>
          </cell>
          <cell r="J4603">
            <v>0.83333333333333337</v>
          </cell>
          <cell r="K4603">
            <v>11.33333333</v>
          </cell>
          <cell r="L4603">
            <v>365.95</v>
          </cell>
          <cell r="O4603" t="str">
            <v>Y</v>
          </cell>
          <cell r="P4603" t="str">
            <v>N</v>
          </cell>
          <cell r="Q4603" t="str">
            <v>Annual Leave</v>
          </cell>
          <cell r="S4603">
            <v>0.3</v>
          </cell>
        </row>
        <row r="4604">
          <cell r="D4604">
            <v>1208007687</v>
          </cell>
          <cell r="E4604" t="str">
            <v>ABIGAIL MORRA</v>
          </cell>
          <cell r="F4604" t="str">
            <v>D (Amb)</v>
          </cell>
          <cell r="H4604" t="str">
            <v>Ambition</v>
          </cell>
          <cell r="I4604">
            <v>0.3125</v>
          </cell>
          <cell r="J4604">
            <v>0.60416666666666663</v>
          </cell>
          <cell r="K4604">
            <v>6.6666666670000003</v>
          </cell>
          <cell r="L4604">
            <v>338.87</v>
          </cell>
          <cell r="O4604" t="str">
            <v>Y</v>
          </cell>
          <cell r="P4604" t="str">
            <v>N</v>
          </cell>
          <cell r="Q4604" t="str">
            <v>Extra Capacity</v>
          </cell>
          <cell r="S4604">
            <v>0.18</v>
          </cell>
        </row>
        <row r="4605">
          <cell r="D4605">
            <v>1208005729</v>
          </cell>
          <cell r="E4605" t="str">
            <v>ALLI SUBRAMANIAM</v>
          </cell>
          <cell r="F4605" t="str">
            <v>D (MD)</v>
          </cell>
          <cell r="G4605">
            <v>357839</v>
          </cell>
          <cell r="H4605" t="str">
            <v>Mayday</v>
          </cell>
          <cell r="I4605">
            <v>0.32291666666666669</v>
          </cell>
          <cell r="J4605">
            <v>0.54166666666666663</v>
          </cell>
          <cell r="K4605">
            <v>5.25</v>
          </cell>
          <cell r="L4605">
            <v>220.38</v>
          </cell>
          <cell r="O4605" t="str">
            <v>Y</v>
          </cell>
          <cell r="P4605" t="str">
            <v>N</v>
          </cell>
          <cell r="Q4605" t="str">
            <v>Vacancy</v>
          </cell>
          <cell r="S4605">
            <v>0.14000000000000001</v>
          </cell>
        </row>
        <row r="4606">
          <cell r="D4606">
            <v>1208007688</v>
          </cell>
          <cell r="E4606" t="str">
            <v>ALLI SUBRAMANIAM</v>
          </cell>
          <cell r="F4606" t="str">
            <v>D (MD)</v>
          </cell>
          <cell r="G4606">
            <v>357838</v>
          </cell>
          <cell r="H4606" t="str">
            <v>Mayday</v>
          </cell>
          <cell r="I4606">
            <v>0.60416666666666663</v>
          </cell>
          <cell r="J4606">
            <v>0.85416666666666663</v>
          </cell>
          <cell r="K4606">
            <v>5.6666666670000003</v>
          </cell>
          <cell r="L4606">
            <v>237.87</v>
          </cell>
          <cell r="O4606" t="str">
            <v>Y</v>
          </cell>
          <cell r="P4606" t="str">
            <v>N</v>
          </cell>
          <cell r="Q4606" t="str">
            <v>Extra Capacity</v>
          </cell>
          <cell r="S4606">
            <v>0.15</v>
          </cell>
        </row>
        <row r="4607">
          <cell r="D4607">
            <v>1208005021</v>
          </cell>
          <cell r="E4607" t="str">
            <v>ATINUKE OKE-OLATUNDE</v>
          </cell>
          <cell r="F4607" t="str">
            <v>D (MD)</v>
          </cell>
          <cell r="G4607">
            <v>360414</v>
          </cell>
          <cell r="H4607" t="str">
            <v>Mayday</v>
          </cell>
          <cell r="I4607">
            <v>0.84375</v>
          </cell>
          <cell r="J4607">
            <v>0.3125</v>
          </cell>
          <cell r="K4607">
            <v>10.25</v>
          </cell>
          <cell r="L4607">
            <v>430.26</v>
          </cell>
          <cell r="O4607" t="str">
            <v>Y</v>
          </cell>
          <cell r="P4607" t="str">
            <v>N</v>
          </cell>
          <cell r="Q4607" t="str">
            <v>Vacancy</v>
          </cell>
          <cell r="S4607">
            <v>0.27</v>
          </cell>
        </row>
        <row r="4608">
          <cell r="D4608">
            <v>109000599</v>
          </cell>
          <cell r="E4608" t="str">
            <v>BERTHA CHITAMBO</v>
          </cell>
          <cell r="F4608" t="str">
            <v>D (Ch)</v>
          </cell>
          <cell r="G4608">
            <v>17784</v>
          </cell>
          <cell r="H4608" t="str">
            <v>Choice</v>
          </cell>
          <cell r="I4608">
            <v>0.83333333333333337</v>
          </cell>
          <cell r="J4608">
            <v>0.33333333333333331</v>
          </cell>
          <cell r="K4608">
            <v>11.33333333</v>
          </cell>
          <cell r="L4608">
            <v>359.05</v>
          </cell>
          <cell r="O4608" t="str">
            <v>Y</v>
          </cell>
          <cell r="P4608" t="str">
            <v>N</v>
          </cell>
          <cell r="Q4608" t="str">
            <v>Acuity</v>
          </cell>
          <cell r="S4608">
            <v>0.3</v>
          </cell>
        </row>
        <row r="4609">
          <cell r="D4609">
            <v>1208007639</v>
          </cell>
          <cell r="E4609" t="str">
            <v>BIDDY CHAFESUKA</v>
          </cell>
          <cell r="F4609" t="str">
            <v>D (Ch)</v>
          </cell>
          <cell r="G4609">
            <v>17780</v>
          </cell>
          <cell r="H4609" t="str">
            <v>Choice</v>
          </cell>
          <cell r="I4609">
            <v>0.3125</v>
          </cell>
          <cell r="J4609">
            <v>0.64583333333333337</v>
          </cell>
          <cell r="K4609">
            <v>7.6666666670000003</v>
          </cell>
          <cell r="L4609">
            <v>242.89</v>
          </cell>
          <cell r="O4609" t="str">
            <v>Y</v>
          </cell>
          <cell r="P4609" t="str">
            <v>N</v>
          </cell>
          <cell r="Q4609" t="str">
            <v>Short Term Sick</v>
          </cell>
          <cell r="S4609">
            <v>0.2</v>
          </cell>
        </row>
        <row r="4610">
          <cell r="D4610">
            <v>1208007640</v>
          </cell>
          <cell r="E4610" t="str">
            <v>BIDDY CHAFESUKA</v>
          </cell>
          <cell r="F4610" t="str">
            <v>D (Ch)</v>
          </cell>
          <cell r="G4610">
            <v>17780</v>
          </cell>
          <cell r="H4610" t="str">
            <v>Choice</v>
          </cell>
          <cell r="I4610">
            <v>0.64583333333333337</v>
          </cell>
          <cell r="J4610">
            <v>0.85416666666666663</v>
          </cell>
          <cell r="K4610">
            <v>5</v>
          </cell>
          <cell r="L4610">
            <v>158.41</v>
          </cell>
          <cell r="O4610" t="str">
            <v>Y</v>
          </cell>
          <cell r="P4610" t="str">
            <v>N</v>
          </cell>
          <cell r="Q4610" t="str">
            <v>Short Term Sick</v>
          </cell>
          <cell r="S4610">
            <v>0.13</v>
          </cell>
        </row>
        <row r="4611">
          <cell r="D4611">
            <v>1208007471</v>
          </cell>
          <cell r="E4611" t="str">
            <v>BONNIE TWALA</v>
          </cell>
          <cell r="F4611" t="str">
            <v>D (Amb)</v>
          </cell>
          <cell r="H4611" t="str">
            <v>Ambition</v>
          </cell>
          <cell r="I4611">
            <v>0.8125</v>
          </cell>
          <cell r="J4611">
            <v>0.33333333333333331</v>
          </cell>
          <cell r="K4611">
            <v>11.83333333</v>
          </cell>
          <cell r="L4611">
            <v>601.49</v>
          </cell>
          <cell r="O4611" t="str">
            <v>Y</v>
          </cell>
          <cell r="P4611" t="str">
            <v>N</v>
          </cell>
          <cell r="Q4611" t="str">
            <v>Extra Capacity</v>
          </cell>
          <cell r="S4611">
            <v>0.32</v>
          </cell>
        </row>
        <row r="4612">
          <cell r="D4612">
            <v>1208007468</v>
          </cell>
          <cell r="E4612" t="str">
            <v>BRENDA GWEKWERERE</v>
          </cell>
          <cell r="F4612" t="str">
            <v>D (Ch)</v>
          </cell>
          <cell r="G4612">
            <v>17788</v>
          </cell>
          <cell r="H4612" t="str">
            <v>Choice</v>
          </cell>
          <cell r="I4612">
            <v>0.3125</v>
          </cell>
          <cell r="J4612">
            <v>0.83333333333333337</v>
          </cell>
          <cell r="K4612">
            <v>11.83333333</v>
          </cell>
          <cell r="L4612">
            <v>374.89</v>
          </cell>
          <cell r="O4612" t="str">
            <v>Y</v>
          </cell>
          <cell r="P4612" t="str">
            <v>N</v>
          </cell>
          <cell r="Q4612" t="str">
            <v>Extra Capacity</v>
          </cell>
          <cell r="S4612">
            <v>0.32</v>
          </cell>
        </row>
        <row r="4613">
          <cell r="D4613">
            <v>109000338</v>
          </cell>
          <cell r="E4613" t="str">
            <v>CAROLINE DEABILL</v>
          </cell>
          <cell r="F4613" t="str">
            <v>2 General (Adva</v>
          </cell>
          <cell r="G4613">
            <v>1417327</v>
          </cell>
          <cell r="H4613" t="str">
            <v>Advantage</v>
          </cell>
          <cell r="I4613">
            <v>0.83333333333333337</v>
          </cell>
          <cell r="J4613">
            <v>0.33333333333333331</v>
          </cell>
          <cell r="K4613">
            <v>11.33333333</v>
          </cell>
          <cell r="L4613">
            <v>140.08000000000001</v>
          </cell>
          <cell r="O4613" t="str">
            <v>Y</v>
          </cell>
          <cell r="P4613" t="str">
            <v>N</v>
          </cell>
          <cell r="Q4613" t="str">
            <v>Short Term Sick</v>
          </cell>
          <cell r="S4613">
            <v>0.3</v>
          </cell>
        </row>
        <row r="4614">
          <cell r="D4614">
            <v>109001281</v>
          </cell>
          <cell r="E4614" t="str">
            <v>CLAIRE ROWLEY</v>
          </cell>
          <cell r="F4614" t="str">
            <v>Band 5 (DN)</v>
          </cell>
          <cell r="H4614" t="str">
            <v>Direct Nursing</v>
          </cell>
          <cell r="I4614">
            <v>0.83333333333333337</v>
          </cell>
          <cell r="J4614">
            <v>0.33333333333333331</v>
          </cell>
          <cell r="K4614">
            <v>11</v>
          </cell>
          <cell r="L4614">
            <v>251.68</v>
          </cell>
          <cell r="O4614" t="str">
            <v>Y</v>
          </cell>
          <cell r="P4614" t="str">
            <v>N</v>
          </cell>
          <cell r="Q4614" t="str">
            <v>Extra Capacity</v>
          </cell>
          <cell r="S4614">
            <v>0.28999999999999998</v>
          </cell>
        </row>
        <row r="4615">
          <cell r="D4615">
            <v>1108005706</v>
          </cell>
          <cell r="E4615" t="str">
            <v>COLLEN SIBANDA</v>
          </cell>
          <cell r="F4615" t="str">
            <v>D (Ch)</v>
          </cell>
          <cell r="H4615" t="str">
            <v>Choice</v>
          </cell>
          <cell r="I4615">
            <v>0.5625</v>
          </cell>
          <cell r="J4615">
            <v>0.85416666666666663</v>
          </cell>
          <cell r="K4615">
            <v>6.6666666670000003</v>
          </cell>
          <cell r="L4615">
            <v>211.21</v>
          </cell>
          <cell r="O4615" t="str">
            <v>Y</v>
          </cell>
          <cell r="P4615" t="str">
            <v>N</v>
          </cell>
          <cell r="Q4615" t="str">
            <v>Vacancy</v>
          </cell>
          <cell r="S4615">
            <v>0.18</v>
          </cell>
        </row>
        <row r="4616">
          <cell r="D4616">
            <v>1108005707</v>
          </cell>
          <cell r="E4616" t="str">
            <v>COLLEN SIBANDA</v>
          </cell>
          <cell r="F4616" t="str">
            <v>D (Ch)</v>
          </cell>
          <cell r="G4616">
            <v>17784</v>
          </cell>
          <cell r="H4616" t="str">
            <v>Choice</v>
          </cell>
          <cell r="I4616">
            <v>0.5625</v>
          </cell>
          <cell r="J4616">
            <v>0.85416666666666663</v>
          </cell>
          <cell r="K4616">
            <v>6.6666666670000003</v>
          </cell>
          <cell r="L4616">
            <v>211.21</v>
          </cell>
          <cell r="O4616" t="str">
            <v>Y</v>
          </cell>
          <cell r="P4616" t="str">
            <v>N</v>
          </cell>
          <cell r="Q4616" t="str">
            <v>Vacancy</v>
          </cell>
          <cell r="S4616">
            <v>0.18</v>
          </cell>
        </row>
        <row r="4617">
          <cell r="D4617">
            <v>1208007217</v>
          </cell>
          <cell r="E4617" t="str">
            <v>COLLEN SIBANDA</v>
          </cell>
          <cell r="F4617" t="str">
            <v>D (Ch)</v>
          </cell>
          <cell r="G4617">
            <v>17768</v>
          </cell>
          <cell r="H4617" t="str">
            <v>Choice</v>
          </cell>
          <cell r="I4617">
            <v>0.3125</v>
          </cell>
          <cell r="J4617">
            <v>0.5625</v>
          </cell>
          <cell r="K4617">
            <v>5.6666666670000003</v>
          </cell>
          <cell r="L4617">
            <v>179.53</v>
          </cell>
          <cell r="O4617" t="str">
            <v>Y</v>
          </cell>
          <cell r="P4617" t="str">
            <v>N</v>
          </cell>
          <cell r="Q4617" t="str">
            <v>Under Established</v>
          </cell>
          <cell r="S4617">
            <v>0.15</v>
          </cell>
        </row>
        <row r="4618">
          <cell r="D4618">
            <v>1208007654</v>
          </cell>
          <cell r="E4618" t="str">
            <v>DEBBIE HARRIS</v>
          </cell>
          <cell r="F4618" t="str">
            <v>5 Gen (All)</v>
          </cell>
          <cell r="G4618">
            <v>357598</v>
          </cell>
          <cell r="H4618" t="str">
            <v>Mayday</v>
          </cell>
          <cell r="I4618">
            <v>0.3125</v>
          </cell>
          <cell r="J4618">
            <v>0.85416666666666663</v>
          </cell>
          <cell r="K4618">
            <v>12.33333333</v>
          </cell>
          <cell r="L4618">
            <v>288.27999999999997</v>
          </cell>
          <cell r="O4618" t="str">
            <v>Y</v>
          </cell>
          <cell r="P4618" t="str">
            <v>N</v>
          </cell>
          <cell r="Q4618" t="str">
            <v>Extra Capacity</v>
          </cell>
          <cell r="S4618">
            <v>0.33</v>
          </cell>
        </row>
        <row r="4619">
          <cell r="D4619">
            <v>1208007685</v>
          </cell>
          <cell r="E4619" t="str">
            <v>DEVIKA SAMAROO</v>
          </cell>
          <cell r="F4619" t="str">
            <v>D (Amb)</v>
          </cell>
          <cell r="G4619">
            <v>777096</v>
          </cell>
          <cell r="H4619" t="str">
            <v>Ambition</v>
          </cell>
          <cell r="I4619">
            <v>0.3125</v>
          </cell>
          <cell r="J4619">
            <v>0.60416666666666663</v>
          </cell>
          <cell r="K4619">
            <v>6.6666666670000003</v>
          </cell>
          <cell r="L4619">
            <v>338.87</v>
          </cell>
          <cell r="O4619" t="str">
            <v>Y</v>
          </cell>
          <cell r="P4619" t="str">
            <v>N</v>
          </cell>
          <cell r="Q4619" t="str">
            <v>Extra Capacity</v>
          </cell>
          <cell r="S4619">
            <v>0.18</v>
          </cell>
        </row>
        <row r="4620">
          <cell r="D4620">
            <v>1208007690</v>
          </cell>
          <cell r="E4620" t="str">
            <v>DEVIKA SAMAROO</v>
          </cell>
          <cell r="F4620" t="str">
            <v>D (Amb)</v>
          </cell>
          <cell r="G4620">
            <v>777096</v>
          </cell>
          <cell r="H4620" t="str">
            <v>Ambition</v>
          </cell>
          <cell r="I4620">
            <v>0.60416666666666663</v>
          </cell>
          <cell r="J4620">
            <v>0.85416666666666663</v>
          </cell>
          <cell r="K4620">
            <v>5.6666666670000003</v>
          </cell>
          <cell r="L4620">
            <v>288.04000000000002</v>
          </cell>
          <cell r="O4620" t="str">
            <v>Y</v>
          </cell>
          <cell r="P4620" t="str">
            <v>N</v>
          </cell>
          <cell r="Q4620" t="str">
            <v>Extra Capacity</v>
          </cell>
          <cell r="S4620">
            <v>0.15</v>
          </cell>
        </row>
        <row r="4621">
          <cell r="D4621">
            <v>109000596</v>
          </cell>
          <cell r="E4621" t="str">
            <v>DONALD YANZA</v>
          </cell>
          <cell r="F4621" t="str">
            <v>D (Ch)</v>
          </cell>
          <cell r="G4621">
            <v>17776</v>
          </cell>
          <cell r="H4621" t="str">
            <v>Choice</v>
          </cell>
          <cell r="I4621">
            <v>0.83333333333333337</v>
          </cell>
          <cell r="J4621">
            <v>0.33333333333333331</v>
          </cell>
          <cell r="K4621">
            <v>11.33333333</v>
          </cell>
          <cell r="L4621">
            <v>359.05</v>
          </cell>
          <cell r="O4621" t="str">
            <v>Y</v>
          </cell>
          <cell r="P4621" t="str">
            <v>N</v>
          </cell>
          <cell r="Q4621" t="str">
            <v>Acuity</v>
          </cell>
          <cell r="S4621">
            <v>0.3</v>
          </cell>
        </row>
        <row r="4622">
          <cell r="D4622">
            <v>109000147</v>
          </cell>
          <cell r="E4622" t="str">
            <v>DOROTHY MUTEMWA</v>
          </cell>
          <cell r="F4622" t="str">
            <v>A (Ch)</v>
          </cell>
          <cell r="G4622">
            <v>17853</v>
          </cell>
          <cell r="H4622" t="str">
            <v>Choice</v>
          </cell>
          <cell r="I4622">
            <v>0.5625</v>
          </cell>
          <cell r="J4622">
            <v>0.85416666666666663</v>
          </cell>
          <cell r="K4622">
            <v>6.6666666670000003</v>
          </cell>
          <cell r="L4622">
            <v>98.58</v>
          </cell>
          <cell r="O4622" t="str">
            <v>Y</v>
          </cell>
          <cell r="P4622" t="str">
            <v>N</v>
          </cell>
          <cell r="Q4622" t="str">
            <v>Vacancy</v>
          </cell>
          <cell r="S4622">
            <v>0.18</v>
          </cell>
        </row>
        <row r="4623">
          <cell r="D4623">
            <v>109000586</v>
          </cell>
          <cell r="E4623" t="str">
            <v>DOROTHY MUTEMWA</v>
          </cell>
          <cell r="F4623" t="str">
            <v>A (Ch)</v>
          </cell>
          <cell r="G4623">
            <v>17853</v>
          </cell>
          <cell r="H4623" t="str">
            <v>Choice</v>
          </cell>
          <cell r="I4623">
            <v>0.3125</v>
          </cell>
          <cell r="J4623">
            <v>0.5625</v>
          </cell>
          <cell r="K4623">
            <v>5.6666666670000003</v>
          </cell>
          <cell r="L4623">
            <v>83.79</v>
          </cell>
          <cell r="O4623" t="str">
            <v>Y</v>
          </cell>
          <cell r="P4623" t="str">
            <v>N</v>
          </cell>
          <cell r="Q4623" t="str">
            <v>Acuity</v>
          </cell>
          <cell r="S4623">
            <v>0.15</v>
          </cell>
        </row>
        <row r="4624">
          <cell r="D4624">
            <v>1208007695</v>
          </cell>
          <cell r="E4624" t="str">
            <v>EDMA ITALIA</v>
          </cell>
          <cell r="F4624" t="str">
            <v>D (Ch)</v>
          </cell>
          <cell r="G4624">
            <v>17798</v>
          </cell>
          <cell r="H4624" t="str">
            <v>Choice</v>
          </cell>
          <cell r="I4624">
            <v>0.83333333333333337</v>
          </cell>
          <cell r="J4624">
            <v>0.33333333333333331</v>
          </cell>
          <cell r="K4624">
            <v>11.33333333</v>
          </cell>
          <cell r="L4624">
            <v>359.05</v>
          </cell>
          <cell r="O4624" t="str">
            <v>Y</v>
          </cell>
          <cell r="P4624" t="str">
            <v>N</v>
          </cell>
          <cell r="Q4624" t="str">
            <v>Extra Capacity</v>
          </cell>
          <cell r="S4624">
            <v>0.3</v>
          </cell>
        </row>
        <row r="4625">
          <cell r="D4625">
            <v>1208005383</v>
          </cell>
          <cell r="E4625" t="str">
            <v>ELSIE CHIKUKWA</v>
          </cell>
          <cell r="F4625" t="str">
            <v>D (MD)</v>
          </cell>
          <cell r="G4625">
            <v>359086</v>
          </cell>
          <cell r="H4625" t="str">
            <v>Mayday</v>
          </cell>
          <cell r="I4625">
            <v>0.33333333333333331</v>
          </cell>
          <cell r="J4625">
            <v>0.83333333333333337</v>
          </cell>
          <cell r="K4625">
            <v>11.33333333</v>
          </cell>
          <cell r="L4625">
            <v>475.74</v>
          </cell>
          <cell r="O4625" t="str">
            <v>Y</v>
          </cell>
          <cell r="P4625" t="str">
            <v>N</v>
          </cell>
          <cell r="Q4625" t="str">
            <v>Extra Capacity</v>
          </cell>
          <cell r="S4625">
            <v>0.3</v>
          </cell>
        </row>
        <row r="4626">
          <cell r="D4626">
            <v>1208007693</v>
          </cell>
          <cell r="E4626" t="str">
            <v>ESTRELLA ELAMPARO</v>
          </cell>
          <cell r="F4626" t="str">
            <v>D (Ch)</v>
          </cell>
          <cell r="G4626">
            <v>17798</v>
          </cell>
          <cell r="H4626" t="str">
            <v>Choice</v>
          </cell>
          <cell r="I4626">
            <v>0.83333333333333337</v>
          </cell>
          <cell r="J4626">
            <v>0.33333333333333331</v>
          </cell>
          <cell r="K4626">
            <v>11.33333333</v>
          </cell>
          <cell r="L4626">
            <v>359.05</v>
          </cell>
          <cell r="O4626" t="str">
            <v>Y</v>
          </cell>
          <cell r="P4626" t="str">
            <v>N</v>
          </cell>
          <cell r="Q4626" t="str">
            <v>Extra Capacity</v>
          </cell>
          <cell r="S4626">
            <v>0.3</v>
          </cell>
        </row>
        <row r="4627">
          <cell r="D4627">
            <v>1108005702</v>
          </cell>
          <cell r="E4627" t="str">
            <v>FIONA DURKIN-GREER</v>
          </cell>
          <cell r="F4627" t="str">
            <v>D (MD)</v>
          </cell>
          <cell r="G4627">
            <v>356842</v>
          </cell>
          <cell r="H4627" t="str">
            <v>Mayday</v>
          </cell>
          <cell r="I4627">
            <v>0.3125</v>
          </cell>
          <cell r="J4627">
            <v>0.5625</v>
          </cell>
          <cell r="K4627">
            <v>5.6666666670000003</v>
          </cell>
          <cell r="L4627">
            <v>237.87</v>
          </cell>
          <cell r="O4627" t="str">
            <v>Y</v>
          </cell>
          <cell r="P4627" t="str">
            <v>N</v>
          </cell>
          <cell r="Q4627" t="str">
            <v>Vacancy</v>
          </cell>
          <cell r="S4627">
            <v>0.15</v>
          </cell>
        </row>
        <row r="4628">
          <cell r="D4628">
            <v>1208007218</v>
          </cell>
          <cell r="E4628" t="str">
            <v>GEORGE MALETE</v>
          </cell>
          <cell r="F4628" t="str">
            <v>A (Ch)</v>
          </cell>
          <cell r="G4628">
            <v>18019</v>
          </cell>
          <cell r="H4628" t="str">
            <v>Choice</v>
          </cell>
          <cell r="I4628">
            <v>0.3125</v>
          </cell>
          <cell r="J4628">
            <v>0.5625</v>
          </cell>
          <cell r="K4628">
            <v>5.6666666670000003</v>
          </cell>
          <cell r="L4628">
            <v>83.79</v>
          </cell>
          <cell r="O4628" t="str">
            <v>Y</v>
          </cell>
          <cell r="P4628" t="str">
            <v>N</v>
          </cell>
          <cell r="Q4628" t="str">
            <v>Vacancy</v>
          </cell>
          <cell r="S4628">
            <v>0.15</v>
          </cell>
        </row>
        <row r="4629">
          <cell r="D4629">
            <v>1208007219</v>
          </cell>
          <cell r="E4629" t="str">
            <v>GEORGE MALETE</v>
          </cell>
          <cell r="F4629" t="str">
            <v>A (Ch)</v>
          </cell>
          <cell r="G4629">
            <v>18019</v>
          </cell>
          <cell r="H4629" t="str">
            <v>Choice</v>
          </cell>
          <cell r="I4629">
            <v>0.5625</v>
          </cell>
          <cell r="J4629">
            <v>0.85416666666666663</v>
          </cell>
          <cell r="K4629">
            <v>6.6666666670000003</v>
          </cell>
          <cell r="L4629">
            <v>98.58</v>
          </cell>
          <cell r="O4629" t="str">
            <v>Y</v>
          </cell>
          <cell r="P4629" t="str">
            <v>N</v>
          </cell>
          <cell r="Q4629" t="str">
            <v>Short Term Sick</v>
          </cell>
          <cell r="S4629">
            <v>0.18</v>
          </cell>
        </row>
        <row r="4630">
          <cell r="D4630">
            <v>1208007418</v>
          </cell>
          <cell r="E4630" t="str">
            <v>JAMES MCCLEMENTS</v>
          </cell>
          <cell r="F4630" t="str">
            <v>D (MD)</v>
          </cell>
          <cell r="G4630">
            <v>356860</v>
          </cell>
          <cell r="H4630" t="str">
            <v>Mayday</v>
          </cell>
          <cell r="I4630">
            <v>0.54166666666666663</v>
          </cell>
          <cell r="J4630">
            <v>0.83333333333333337</v>
          </cell>
          <cell r="K4630">
            <v>6.6666666670000003</v>
          </cell>
          <cell r="L4630">
            <v>279.85000000000002</v>
          </cell>
          <cell r="O4630" t="str">
            <v>Y</v>
          </cell>
          <cell r="P4630" t="str">
            <v>N</v>
          </cell>
          <cell r="Q4630" t="str">
            <v>Extra Capacity</v>
          </cell>
          <cell r="S4630">
            <v>0.18</v>
          </cell>
        </row>
        <row r="4631">
          <cell r="D4631">
            <v>1208007425</v>
          </cell>
          <cell r="E4631" t="str">
            <v>JAMES MCCLEMENTS</v>
          </cell>
          <cell r="F4631" t="str">
            <v>D (MD)</v>
          </cell>
          <cell r="G4631">
            <v>356860</v>
          </cell>
          <cell r="H4631" t="str">
            <v>Mayday</v>
          </cell>
          <cell r="I4631">
            <v>0.3125</v>
          </cell>
          <cell r="J4631">
            <v>0.54166666666666663</v>
          </cell>
          <cell r="K4631">
            <v>5.5</v>
          </cell>
          <cell r="L4631">
            <v>230.87</v>
          </cell>
          <cell r="O4631" t="str">
            <v>Y</v>
          </cell>
          <cell r="P4631" t="str">
            <v>N</v>
          </cell>
          <cell r="Q4631" t="str">
            <v>Extra Capacity</v>
          </cell>
          <cell r="S4631">
            <v>0.15</v>
          </cell>
        </row>
        <row r="4632">
          <cell r="D4632">
            <v>109000015</v>
          </cell>
          <cell r="E4632" t="str">
            <v>JOANNE BUSS</v>
          </cell>
          <cell r="F4632" t="str">
            <v>D (MD)</v>
          </cell>
          <cell r="G4632">
            <v>356907</v>
          </cell>
          <cell r="H4632" t="str">
            <v>Mayday</v>
          </cell>
          <cell r="I4632">
            <v>0.64583333333333337</v>
          </cell>
          <cell r="J4632">
            <v>0.85416666666666663</v>
          </cell>
          <cell r="K4632">
            <v>5</v>
          </cell>
          <cell r="L4632">
            <v>209.89</v>
          </cell>
          <cell r="O4632" t="str">
            <v>Y</v>
          </cell>
          <cell r="P4632" t="str">
            <v>N</v>
          </cell>
          <cell r="Q4632" t="str">
            <v>Vacancy</v>
          </cell>
          <cell r="S4632">
            <v>0.13</v>
          </cell>
        </row>
        <row r="4633">
          <cell r="D4633">
            <v>109000798</v>
          </cell>
          <cell r="E4633" t="str">
            <v>JOHANA VELASCO</v>
          </cell>
          <cell r="F4633" t="str">
            <v>D (Ch)</v>
          </cell>
          <cell r="G4633">
            <v>17787</v>
          </cell>
          <cell r="H4633" t="str">
            <v>Choice</v>
          </cell>
          <cell r="I4633">
            <v>0.82291666666666663</v>
          </cell>
          <cell r="J4633">
            <v>0.34375</v>
          </cell>
          <cell r="K4633">
            <v>11.5</v>
          </cell>
          <cell r="L4633">
            <v>364.33</v>
          </cell>
          <cell r="O4633" t="str">
            <v>Y</v>
          </cell>
          <cell r="P4633" t="str">
            <v>N</v>
          </cell>
          <cell r="Q4633" t="str">
            <v>Acuity</v>
          </cell>
          <cell r="S4633">
            <v>0.31</v>
          </cell>
        </row>
        <row r="4634">
          <cell r="D4634">
            <v>1208007470</v>
          </cell>
          <cell r="E4634" t="str">
            <v xml:space="preserve">LAVETA  NUCUM </v>
          </cell>
          <cell r="F4634" t="str">
            <v>D (Amb)</v>
          </cell>
          <cell r="G4634">
            <v>772166</v>
          </cell>
          <cell r="H4634" t="str">
            <v>Ambition</v>
          </cell>
          <cell r="I4634">
            <v>0.3125</v>
          </cell>
          <cell r="J4634">
            <v>0.83333333333333337</v>
          </cell>
          <cell r="K4634">
            <v>11.83333333</v>
          </cell>
          <cell r="L4634">
            <v>601.49</v>
          </cell>
          <cell r="O4634" t="str">
            <v>Y</v>
          </cell>
          <cell r="P4634" t="str">
            <v>N</v>
          </cell>
          <cell r="Q4634" t="str">
            <v>Short Term Sick</v>
          </cell>
          <cell r="S4634">
            <v>0.32</v>
          </cell>
        </row>
        <row r="4635">
          <cell r="D4635">
            <v>1208007683</v>
          </cell>
          <cell r="E4635" t="str">
            <v>LOUISE CULLEN</v>
          </cell>
          <cell r="F4635" t="str">
            <v>D (Amb)</v>
          </cell>
          <cell r="G4635">
            <v>772132</v>
          </cell>
          <cell r="H4635" t="str">
            <v>Ambition</v>
          </cell>
          <cell r="I4635">
            <v>0.3125</v>
          </cell>
          <cell r="J4635">
            <v>0.60416666666666663</v>
          </cell>
          <cell r="K4635">
            <v>6.6666666670000003</v>
          </cell>
          <cell r="L4635">
            <v>338.87</v>
          </cell>
          <cell r="O4635" t="str">
            <v>Y</v>
          </cell>
          <cell r="P4635" t="str">
            <v>N</v>
          </cell>
          <cell r="Q4635" t="str">
            <v>Extra Capacity</v>
          </cell>
          <cell r="S4635">
            <v>0.18</v>
          </cell>
        </row>
        <row r="4636">
          <cell r="D4636">
            <v>1208007469</v>
          </cell>
          <cell r="E4636" t="str">
            <v>LYABODE ADEYEFA</v>
          </cell>
          <cell r="F4636" t="str">
            <v>D (Amb)</v>
          </cell>
          <cell r="G4636">
            <v>772159</v>
          </cell>
          <cell r="H4636" t="str">
            <v>Ambition</v>
          </cell>
          <cell r="I4636">
            <v>0.3125</v>
          </cell>
          <cell r="J4636">
            <v>0.83333333333333337</v>
          </cell>
          <cell r="K4636">
            <v>11.83333333</v>
          </cell>
          <cell r="L4636">
            <v>601.49</v>
          </cell>
          <cell r="O4636" t="str">
            <v>Y</v>
          </cell>
          <cell r="P4636" t="str">
            <v>N</v>
          </cell>
          <cell r="Q4636" t="str">
            <v>Extra Capacity</v>
          </cell>
          <cell r="S4636">
            <v>0.32</v>
          </cell>
        </row>
        <row r="4637">
          <cell r="D4637">
            <v>109000161</v>
          </cell>
          <cell r="E4637" t="str">
            <v>MABEL MNISI</v>
          </cell>
          <cell r="F4637" t="str">
            <v>D (MD)</v>
          </cell>
          <cell r="G4637">
            <v>357328</v>
          </cell>
          <cell r="H4637" t="str">
            <v>Mayday</v>
          </cell>
          <cell r="I4637">
            <v>0.83333333333333337</v>
          </cell>
          <cell r="J4637">
            <v>0.33333333333333331</v>
          </cell>
          <cell r="K4637">
            <v>11.33333333</v>
          </cell>
          <cell r="L4637">
            <v>475.74</v>
          </cell>
          <cell r="O4637" t="str">
            <v>Y</v>
          </cell>
          <cell r="P4637" t="str">
            <v>N</v>
          </cell>
          <cell r="Q4637" t="str">
            <v>Vacancy</v>
          </cell>
          <cell r="S4637">
            <v>0.3</v>
          </cell>
        </row>
        <row r="4638">
          <cell r="D4638">
            <v>1208004122</v>
          </cell>
          <cell r="E4638" t="str">
            <v>MERCY AFELE</v>
          </cell>
          <cell r="F4638" t="str">
            <v>D (Amb)</v>
          </cell>
          <cell r="G4638">
            <v>772078</v>
          </cell>
          <cell r="H4638" t="str">
            <v>Ambition</v>
          </cell>
          <cell r="I4638">
            <v>0.3125</v>
          </cell>
          <cell r="J4638">
            <v>0.85416666666666663</v>
          </cell>
          <cell r="K4638">
            <v>12.33333333</v>
          </cell>
          <cell r="L4638">
            <v>626.9</v>
          </cell>
          <cell r="O4638" t="str">
            <v>Y</v>
          </cell>
          <cell r="P4638" t="str">
            <v>N</v>
          </cell>
          <cell r="Q4638" t="str">
            <v>Vacancy</v>
          </cell>
          <cell r="S4638">
            <v>0.33</v>
          </cell>
        </row>
        <row r="4639">
          <cell r="D4639">
            <v>1208005022</v>
          </cell>
          <cell r="E4639" t="str">
            <v>METTA SUNDAY</v>
          </cell>
          <cell r="F4639" t="str">
            <v>D (MD)</v>
          </cell>
          <cell r="G4639">
            <v>357589</v>
          </cell>
          <cell r="H4639" t="str">
            <v>Mayday</v>
          </cell>
          <cell r="I4639">
            <v>0.84375</v>
          </cell>
          <cell r="J4639">
            <v>0.3125</v>
          </cell>
          <cell r="K4639">
            <v>10.25</v>
          </cell>
          <cell r="L4639">
            <v>430.26</v>
          </cell>
          <cell r="O4639" t="str">
            <v>Y</v>
          </cell>
          <cell r="P4639" t="str">
            <v>N</v>
          </cell>
          <cell r="Q4639" t="str">
            <v>Vacancy</v>
          </cell>
          <cell r="S4639">
            <v>0.27</v>
          </cell>
        </row>
        <row r="4640">
          <cell r="D4640">
            <v>1208003111</v>
          </cell>
          <cell r="E4640" t="str">
            <v>MICHAEL OKE</v>
          </cell>
          <cell r="F4640" t="str">
            <v>A (Ch)</v>
          </cell>
          <cell r="G4640">
            <v>17857</v>
          </cell>
          <cell r="H4640" t="str">
            <v>Choice</v>
          </cell>
          <cell r="I4640">
            <v>0.3125</v>
          </cell>
          <cell r="J4640">
            <v>0.64583333333333337</v>
          </cell>
          <cell r="K4640">
            <v>7.6666666670000003</v>
          </cell>
          <cell r="L4640">
            <v>113.36</v>
          </cell>
          <cell r="O4640" t="str">
            <v>Y</v>
          </cell>
          <cell r="P4640" t="str">
            <v>N</v>
          </cell>
          <cell r="Q4640" t="str">
            <v>Extra Capacity</v>
          </cell>
          <cell r="S4640">
            <v>0.2</v>
          </cell>
        </row>
        <row r="4641">
          <cell r="D4641">
            <v>1208003112</v>
          </cell>
          <cell r="E4641" t="str">
            <v>MICHAEL OKE</v>
          </cell>
          <cell r="F4641" t="str">
            <v>A (Ch)</v>
          </cell>
          <cell r="G4641">
            <v>17857</v>
          </cell>
          <cell r="H4641" t="str">
            <v>Choice</v>
          </cell>
          <cell r="I4641">
            <v>0.64583333333333337</v>
          </cell>
          <cell r="J4641">
            <v>0.89583333333333337</v>
          </cell>
          <cell r="K4641">
            <v>5.6666666670000003</v>
          </cell>
          <cell r="L4641">
            <v>83.79</v>
          </cell>
          <cell r="O4641" t="str">
            <v>Y</v>
          </cell>
          <cell r="P4641" t="str">
            <v>N</v>
          </cell>
          <cell r="Q4641" t="str">
            <v>Extra Capacity</v>
          </cell>
          <cell r="S4641">
            <v>0.15</v>
          </cell>
        </row>
        <row r="4642">
          <cell r="D4642">
            <v>109000598</v>
          </cell>
          <cell r="E4642" t="str">
            <v>MZUKISI SPEELMAN</v>
          </cell>
          <cell r="F4642" t="str">
            <v>A (Ch)</v>
          </cell>
          <cell r="G4642">
            <v>17776</v>
          </cell>
          <cell r="H4642" t="str">
            <v>Choice</v>
          </cell>
          <cell r="I4642">
            <v>0.5625</v>
          </cell>
          <cell r="J4642">
            <v>0.85416666666666663</v>
          </cell>
          <cell r="K4642">
            <v>6.6666666670000003</v>
          </cell>
          <cell r="L4642">
            <v>98.58</v>
          </cell>
          <cell r="O4642" t="str">
            <v>Y</v>
          </cell>
          <cell r="P4642" t="str">
            <v>N</v>
          </cell>
          <cell r="Q4642" t="str">
            <v>Acuity</v>
          </cell>
          <cell r="S4642">
            <v>0.18</v>
          </cell>
        </row>
        <row r="4643">
          <cell r="D4643">
            <v>109000792</v>
          </cell>
          <cell r="E4643" t="str">
            <v>NILO DANUGO</v>
          </cell>
          <cell r="F4643" t="str">
            <v>D (Ch)</v>
          </cell>
          <cell r="H4643" t="str">
            <v>Choice</v>
          </cell>
          <cell r="I4643">
            <v>0.83333333333333337</v>
          </cell>
          <cell r="J4643">
            <v>0.33333333333333331</v>
          </cell>
          <cell r="K4643">
            <v>11.33333333</v>
          </cell>
          <cell r="L4643">
            <v>359.05</v>
          </cell>
          <cell r="O4643" t="str">
            <v>Y</v>
          </cell>
          <cell r="P4643" t="str">
            <v>N</v>
          </cell>
          <cell r="Q4643" t="str">
            <v>Extra Capacity</v>
          </cell>
          <cell r="S4643">
            <v>0.3</v>
          </cell>
        </row>
        <row r="4644">
          <cell r="D4644">
            <v>1208007684</v>
          </cell>
          <cell r="E4644" t="str">
            <v>NTHABISENG MAEPE</v>
          </cell>
          <cell r="F4644" t="str">
            <v>D (Amb)</v>
          </cell>
          <cell r="H4644" t="str">
            <v>Ambition</v>
          </cell>
          <cell r="I4644">
            <v>0.3125</v>
          </cell>
          <cell r="J4644">
            <v>0.60416666666666663</v>
          </cell>
          <cell r="K4644">
            <v>6.6666666670000003</v>
          </cell>
          <cell r="L4644">
            <v>338.87</v>
          </cell>
          <cell r="O4644" t="str">
            <v>Y</v>
          </cell>
          <cell r="P4644" t="str">
            <v>N</v>
          </cell>
          <cell r="Q4644" t="str">
            <v>Extra Capacity</v>
          </cell>
          <cell r="S4644">
            <v>0.18</v>
          </cell>
        </row>
        <row r="4645">
          <cell r="D4645">
            <v>1208007689</v>
          </cell>
          <cell r="E4645" t="str">
            <v>NTHABISENG MAEPE</v>
          </cell>
          <cell r="F4645" t="str">
            <v>D (Amb)</v>
          </cell>
          <cell r="H4645" t="str">
            <v>Ambition</v>
          </cell>
          <cell r="I4645">
            <v>0.60416666666666663</v>
          </cell>
          <cell r="J4645">
            <v>0.85416666666666663</v>
          </cell>
          <cell r="K4645">
            <v>5.6666666670000003</v>
          </cell>
          <cell r="L4645">
            <v>288.04000000000002</v>
          </cell>
          <cell r="O4645" t="str">
            <v>Y</v>
          </cell>
          <cell r="P4645" t="str">
            <v>N</v>
          </cell>
          <cell r="Q4645" t="str">
            <v>Extra Capacity</v>
          </cell>
          <cell r="S4645">
            <v>0.15</v>
          </cell>
        </row>
        <row r="4646">
          <cell r="D4646">
            <v>109000148</v>
          </cell>
          <cell r="E4646" t="str">
            <v>PEGGY CHIRIKURE</v>
          </cell>
          <cell r="F4646" t="str">
            <v>D (Ch)</v>
          </cell>
          <cell r="G4646">
            <v>17853</v>
          </cell>
          <cell r="H4646" t="str">
            <v>Choice</v>
          </cell>
          <cell r="I4646">
            <v>0.54166666666666663</v>
          </cell>
          <cell r="J4646">
            <v>0.83333333333333337</v>
          </cell>
          <cell r="K4646">
            <v>6.6666666670000003</v>
          </cell>
          <cell r="L4646">
            <v>211.21</v>
          </cell>
          <cell r="O4646" t="str">
            <v>Y</v>
          </cell>
          <cell r="P4646" t="str">
            <v>N</v>
          </cell>
          <cell r="Q4646" t="str">
            <v>Vacancy</v>
          </cell>
          <cell r="S4646">
            <v>0.18</v>
          </cell>
        </row>
        <row r="4647">
          <cell r="D4647">
            <v>1208006853</v>
          </cell>
          <cell r="E4647" t="str">
            <v>RIAZ AHMED</v>
          </cell>
          <cell r="F4647" t="str">
            <v>D/5 Mental (Med</v>
          </cell>
          <cell r="G4647" t="str">
            <v>604-164322</v>
          </cell>
          <cell r="H4647" t="str">
            <v>Medacs</v>
          </cell>
          <cell r="I4647">
            <v>0.29166666666666669</v>
          </cell>
          <cell r="J4647">
            <v>0.625</v>
          </cell>
          <cell r="K4647">
            <v>7.6666666670000003</v>
          </cell>
          <cell r="L4647">
            <v>183.69</v>
          </cell>
          <cell r="O4647" t="str">
            <v>Y</v>
          </cell>
          <cell r="P4647" t="str">
            <v>N</v>
          </cell>
          <cell r="Q4647" t="str">
            <v>Specials</v>
          </cell>
          <cell r="S4647">
            <v>0.2</v>
          </cell>
        </row>
        <row r="4648">
          <cell r="D4648">
            <v>1208006854</v>
          </cell>
          <cell r="E4648" t="str">
            <v>RIAZ AHMED</v>
          </cell>
          <cell r="F4648" t="str">
            <v>D/5 Mental (Med</v>
          </cell>
          <cell r="G4648" t="str">
            <v>604-164322</v>
          </cell>
          <cell r="H4648" t="str">
            <v>Medacs</v>
          </cell>
          <cell r="I4648">
            <v>0.625</v>
          </cell>
          <cell r="J4648">
            <v>0.875</v>
          </cell>
          <cell r="K4648">
            <v>5.75</v>
          </cell>
          <cell r="L4648">
            <v>137.76</v>
          </cell>
          <cell r="O4648" t="str">
            <v>Y</v>
          </cell>
          <cell r="P4648" t="str">
            <v>N</v>
          </cell>
          <cell r="Q4648" t="str">
            <v>Specials</v>
          </cell>
          <cell r="S4648">
            <v>0.15</v>
          </cell>
        </row>
        <row r="4649">
          <cell r="D4649">
            <v>1208000435</v>
          </cell>
          <cell r="E4649" t="str">
            <v>RICCA PARADA</v>
          </cell>
          <cell r="F4649" t="str">
            <v>D (Ch)</v>
          </cell>
          <cell r="G4649">
            <v>17786</v>
          </cell>
          <cell r="H4649" t="str">
            <v>Choice</v>
          </cell>
          <cell r="I4649">
            <v>0.625</v>
          </cell>
          <cell r="J4649">
            <v>0.85416666666666663</v>
          </cell>
          <cell r="K4649">
            <v>5.5</v>
          </cell>
          <cell r="L4649">
            <v>174.25</v>
          </cell>
          <cell r="O4649" t="str">
            <v>Y</v>
          </cell>
          <cell r="P4649" t="str">
            <v>N</v>
          </cell>
          <cell r="Q4649" t="str">
            <v>Vacancy</v>
          </cell>
          <cell r="S4649">
            <v>0.15</v>
          </cell>
        </row>
        <row r="4650">
          <cell r="D4650">
            <v>1208006308</v>
          </cell>
          <cell r="E4650" t="str">
            <v>RICCA PARADA</v>
          </cell>
          <cell r="F4650" t="str">
            <v>D (Ch)</v>
          </cell>
          <cell r="G4650">
            <v>17786</v>
          </cell>
          <cell r="H4650" t="str">
            <v>Choice</v>
          </cell>
          <cell r="I4650">
            <v>0.3125</v>
          </cell>
          <cell r="J4650">
            <v>0.54166666666666663</v>
          </cell>
          <cell r="K4650">
            <v>5.5</v>
          </cell>
          <cell r="L4650">
            <v>174.25</v>
          </cell>
          <cell r="O4650" t="str">
            <v>Y</v>
          </cell>
          <cell r="P4650" t="str">
            <v>N</v>
          </cell>
          <cell r="Q4650" t="str">
            <v>Vacancy</v>
          </cell>
          <cell r="S4650">
            <v>0.15</v>
          </cell>
        </row>
        <row r="4651">
          <cell r="D4651">
            <v>1208006426</v>
          </cell>
          <cell r="E4651" t="str">
            <v>ROHEYATOU NDOW-NJIE</v>
          </cell>
          <cell r="F4651" t="str">
            <v>D (Ch)</v>
          </cell>
          <cell r="G4651">
            <v>17954</v>
          </cell>
          <cell r="H4651" t="str">
            <v>Choice</v>
          </cell>
          <cell r="I4651">
            <v>0.875</v>
          </cell>
          <cell r="J4651">
            <v>0.32291666666666669</v>
          </cell>
          <cell r="K4651">
            <v>10</v>
          </cell>
          <cell r="L4651">
            <v>316.81</v>
          </cell>
          <cell r="O4651" t="str">
            <v>Y</v>
          </cell>
          <cell r="P4651" t="str">
            <v>N</v>
          </cell>
          <cell r="Q4651" t="str">
            <v>Specials</v>
          </cell>
          <cell r="S4651">
            <v>0.27</v>
          </cell>
        </row>
        <row r="4652">
          <cell r="D4652">
            <v>1208007692</v>
          </cell>
          <cell r="E4652" t="str">
            <v>RUSSELL CATIBOG</v>
          </cell>
          <cell r="F4652" t="str">
            <v>D (Ch)</v>
          </cell>
          <cell r="G4652">
            <v>17766</v>
          </cell>
          <cell r="H4652" t="str">
            <v>Choice</v>
          </cell>
          <cell r="I4652">
            <v>0.83333333333333337</v>
          </cell>
          <cell r="J4652">
            <v>0.33333333333333331</v>
          </cell>
          <cell r="K4652">
            <v>11.33333333</v>
          </cell>
          <cell r="L4652">
            <v>359.05</v>
          </cell>
          <cell r="O4652" t="str">
            <v>Y</v>
          </cell>
          <cell r="P4652" t="str">
            <v>N</v>
          </cell>
          <cell r="Q4652" t="str">
            <v>Extra Capacity</v>
          </cell>
          <cell r="S4652">
            <v>0.3</v>
          </cell>
        </row>
        <row r="4653">
          <cell r="D4653">
            <v>109001067</v>
          </cell>
          <cell r="E4653" t="str">
            <v>SAMSON BARACENA</v>
          </cell>
          <cell r="F4653" t="str">
            <v>D (MD)</v>
          </cell>
          <cell r="G4653">
            <v>358546</v>
          </cell>
          <cell r="H4653" t="str">
            <v>Mayday</v>
          </cell>
          <cell r="I4653">
            <v>0.83333333333333337</v>
          </cell>
          <cell r="J4653">
            <v>0.33333333333333331</v>
          </cell>
          <cell r="K4653">
            <v>11</v>
          </cell>
          <cell r="L4653">
            <v>461.75</v>
          </cell>
          <cell r="O4653" t="str">
            <v>Y</v>
          </cell>
          <cell r="P4653" t="str">
            <v>N</v>
          </cell>
          <cell r="Q4653" t="str">
            <v>Short Term Sick</v>
          </cell>
          <cell r="S4653">
            <v>0.28999999999999998</v>
          </cell>
        </row>
        <row r="4654">
          <cell r="D4654">
            <v>1208006856</v>
          </cell>
          <cell r="E4654" t="str">
            <v>SARAH MAKOTORE</v>
          </cell>
          <cell r="F4654" t="str">
            <v>D (Ch)</v>
          </cell>
          <cell r="G4654">
            <v>17792</v>
          </cell>
          <cell r="H4654" t="str">
            <v>Choice</v>
          </cell>
          <cell r="I4654">
            <v>0.875</v>
          </cell>
          <cell r="J4654">
            <v>0.29166666666666669</v>
          </cell>
          <cell r="K4654">
            <v>9.6666666669999994</v>
          </cell>
          <cell r="L4654">
            <v>306.25</v>
          </cell>
          <cell r="M4654">
            <v>351.98</v>
          </cell>
          <cell r="O4654" t="str">
            <v>Y</v>
          </cell>
          <cell r="P4654" t="str">
            <v>N</v>
          </cell>
          <cell r="Q4654" t="str">
            <v>Specials</v>
          </cell>
          <cell r="S4654">
            <v>0.26</v>
          </cell>
        </row>
        <row r="4655">
          <cell r="D4655">
            <v>1208007220</v>
          </cell>
          <cell r="E4655" t="str">
            <v>SHEPHERD CHIWANZA</v>
          </cell>
          <cell r="F4655" t="str">
            <v>A (Ch)</v>
          </cell>
          <cell r="H4655" t="str">
            <v>Choice</v>
          </cell>
          <cell r="I4655">
            <v>0.5625</v>
          </cell>
          <cell r="J4655">
            <v>0.85416666666666663</v>
          </cell>
          <cell r="K4655">
            <v>6.6666666670000003</v>
          </cell>
          <cell r="L4655">
            <v>98.58</v>
          </cell>
          <cell r="O4655" t="str">
            <v>Y</v>
          </cell>
          <cell r="P4655" t="str">
            <v>N</v>
          </cell>
          <cell r="Q4655" t="str">
            <v>Under Established</v>
          </cell>
          <cell r="S4655">
            <v>0.18</v>
          </cell>
        </row>
        <row r="4656">
          <cell r="D4656">
            <v>109000118</v>
          </cell>
          <cell r="E4656" t="str">
            <v>SIBONISIWE NCUBE</v>
          </cell>
          <cell r="F4656" t="str">
            <v>D (Amb)</v>
          </cell>
          <cell r="G4656">
            <v>772115</v>
          </cell>
          <cell r="H4656" t="str">
            <v>Ambition</v>
          </cell>
          <cell r="I4656">
            <v>0.32291666666666669</v>
          </cell>
          <cell r="J4656">
            <v>0.84375</v>
          </cell>
          <cell r="K4656">
            <v>11.83333333</v>
          </cell>
          <cell r="L4656">
            <v>601.49</v>
          </cell>
          <cell r="O4656" t="str">
            <v>Y</v>
          </cell>
          <cell r="P4656" t="str">
            <v>N</v>
          </cell>
          <cell r="Q4656" t="str">
            <v>Short Term Sick</v>
          </cell>
          <cell r="S4656">
            <v>0.32</v>
          </cell>
        </row>
        <row r="4657">
          <cell r="D4657">
            <v>1208007686</v>
          </cell>
          <cell r="E4657" t="str">
            <v>TAMBU JENA</v>
          </cell>
          <cell r="F4657" t="str">
            <v>D (Amb)</v>
          </cell>
          <cell r="G4657">
            <v>772094</v>
          </cell>
          <cell r="H4657" t="str">
            <v>Ambition</v>
          </cell>
          <cell r="I4657">
            <v>0.3125</v>
          </cell>
          <cell r="J4657">
            <v>0.60416666666666663</v>
          </cell>
          <cell r="K4657">
            <v>6.6666666670000003</v>
          </cell>
          <cell r="L4657">
            <v>338.87</v>
          </cell>
          <cell r="O4657" t="str">
            <v>Y</v>
          </cell>
          <cell r="P4657" t="str">
            <v>N</v>
          </cell>
          <cell r="Q4657" t="str">
            <v>Extra Capacity</v>
          </cell>
          <cell r="S4657">
            <v>0.18</v>
          </cell>
        </row>
        <row r="4658">
          <cell r="D4658">
            <v>109000795</v>
          </cell>
          <cell r="E4658" t="str">
            <v>TRUST CHIWUNDURA</v>
          </cell>
          <cell r="F4658" t="str">
            <v>A (Ch)</v>
          </cell>
          <cell r="H4658" t="str">
            <v>Choice</v>
          </cell>
          <cell r="I4658">
            <v>0.83333333333333337</v>
          </cell>
          <cell r="J4658">
            <v>0.33333333333333331</v>
          </cell>
          <cell r="K4658">
            <v>11.33333333</v>
          </cell>
          <cell r="L4658">
            <v>167.58</v>
          </cell>
          <cell r="O4658" t="str">
            <v>Y</v>
          </cell>
          <cell r="P4658" t="str">
            <v>N</v>
          </cell>
          <cell r="Q4658" t="str">
            <v>Extra Capacity</v>
          </cell>
          <cell r="S4658">
            <v>0.3</v>
          </cell>
        </row>
        <row r="4659">
          <cell r="D4659">
            <v>1208004121</v>
          </cell>
          <cell r="E4659" t="str">
            <v>VICTORIA ANIKINA</v>
          </cell>
          <cell r="F4659" t="str">
            <v>D (Amb)</v>
          </cell>
          <cell r="G4659">
            <v>806854</v>
          </cell>
          <cell r="H4659" t="str">
            <v>Ambition</v>
          </cell>
          <cell r="I4659">
            <v>0.3125</v>
          </cell>
          <cell r="J4659">
            <v>0.85416666666666663</v>
          </cell>
          <cell r="K4659">
            <v>12.33333333</v>
          </cell>
          <cell r="L4659">
            <v>626.9</v>
          </cell>
          <cell r="M4659">
            <v>607.69000000000005</v>
          </cell>
          <cell r="O4659" t="str">
            <v>Y</v>
          </cell>
          <cell r="P4659" t="str">
            <v>N</v>
          </cell>
          <cell r="Q4659" t="str">
            <v>Vacancy</v>
          </cell>
          <cell r="S4659">
            <v>0.33</v>
          </cell>
        </row>
        <row r="4660">
          <cell r="D4660">
            <v>109001066</v>
          </cell>
          <cell r="E4660" t="str">
            <v>VICTORIA VALETE</v>
          </cell>
          <cell r="F4660" t="str">
            <v>D (MD)</v>
          </cell>
          <cell r="G4660">
            <v>358766</v>
          </cell>
          <cell r="H4660" t="str">
            <v>Mayday</v>
          </cell>
          <cell r="I4660">
            <v>0.3125</v>
          </cell>
          <cell r="J4660">
            <v>0.85416666666666663</v>
          </cell>
          <cell r="K4660">
            <v>12.33333333</v>
          </cell>
          <cell r="L4660">
            <v>517.72</v>
          </cell>
          <cell r="O4660" t="str">
            <v>Y</v>
          </cell>
          <cell r="P4660" t="str">
            <v>N</v>
          </cell>
          <cell r="Q4660" t="str">
            <v>Acuity</v>
          </cell>
          <cell r="S4660">
            <v>0.33</v>
          </cell>
        </row>
        <row r="4661">
          <cell r="D4661">
            <v>1208003199</v>
          </cell>
          <cell r="E4661" t="str">
            <v>ALAN CURTIS</v>
          </cell>
          <cell r="F4661" t="str">
            <v>D (MD)</v>
          </cell>
          <cell r="G4661">
            <v>356892</v>
          </cell>
          <cell r="H4661" t="str">
            <v>Mayday</v>
          </cell>
          <cell r="I4661">
            <v>0.32291666666666669</v>
          </cell>
          <cell r="J4661">
            <v>0.84375</v>
          </cell>
          <cell r="K4661">
            <v>11.5</v>
          </cell>
          <cell r="L4661">
            <v>594.14</v>
          </cell>
          <cell r="O4661" t="str">
            <v>Y</v>
          </cell>
          <cell r="P4661" t="str">
            <v>N</v>
          </cell>
          <cell r="Q4661" t="str">
            <v>Extra Capacity</v>
          </cell>
          <cell r="S4661">
            <v>0.31</v>
          </cell>
        </row>
        <row r="4662">
          <cell r="D4662">
            <v>1208002631</v>
          </cell>
          <cell r="E4662" t="str">
            <v>ALLI SUBRAMANIAM</v>
          </cell>
          <cell r="F4662" t="str">
            <v>D (MD)</v>
          </cell>
          <cell r="G4662">
            <v>357842</v>
          </cell>
          <cell r="H4662" t="str">
            <v>Mayday</v>
          </cell>
          <cell r="I4662">
            <v>0.625</v>
          </cell>
          <cell r="J4662">
            <v>0.875</v>
          </cell>
          <cell r="K4662">
            <v>5.75</v>
          </cell>
          <cell r="L4662">
            <v>297.07</v>
          </cell>
          <cell r="O4662" t="str">
            <v>Y</v>
          </cell>
          <cell r="P4662" t="str">
            <v>N</v>
          </cell>
          <cell r="Q4662" t="str">
            <v>Long Term Sick</v>
          </cell>
          <cell r="S4662">
            <v>0.15</v>
          </cell>
        </row>
        <row r="4663">
          <cell r="D4663">
            <v>1208005730</v>
          </cell>
          <cell r="E4663" t="str">
            <v>ALLI SUBRAMANIAM</v>
          </cell>
          <cell r="F4663" t="str">
            <v>D (MD)</v>
          </cell>
          <cell r="G4663">
            <v>357844</v>
          </cell>
          <cell r="H4663" t="str">
            <v>Mayday</v>
          </cell>
          <cell r="I4663">
            <v>0.32291666666666669</v>
          </cell>
          <cell r="J4663">
            <v>0.54166666666666663</v>
          </cell>
          <cell r="K4663">
            <v>5.25</v>
          </cell>
          <cell r="L4663">
            <v>271.24</v>
          </cell>
          <cell r="O4663" t="str">
            <v>Y</v>
          </cell>
          <cell r="P4663" t="str">
            <v>N</v>
          </cell>
          <cell r="Q4663" t="str">
            <v>Vacancy</v>
          </cell>
          <cell r="S4663">
            <v>0.14000000000000001</v>
          </cell>
        </row>
        <row r="4664">
          <cell r="D4664">
            <v>1108005723</v>
          </cell>
          <cell r="E4664" t="str">
            <v>ANDREA VENEURELA</v>
          </cell>
          <cell r="F4664" t="str">
            <v>D (Ch)</v>
          </cell>
          <cell r="G4664">
            <v>17784</v>
          </cell>
          <cell r="H4664" t="str">
            <v>Choice</v>
          </cell>
          <cell r="I4664">
            <v>0.83333333333333337</v>
          </cell>
          <cell r="J4664">
            <v>0.33333333333333331</v>
          </cell>
          <cell r="K4664">
            <v>11.33333333</v>
          </cell>
          <cell r="L4664">
            <v>441.91</v>
          </cell>
          <cell r="O4664" t="str">
            <v>Y</v>
          </cell>
          <cell r="P4664" t="str">
            <v>N</v>
          </cell>
          <cell r="Q4664" t="str">
            <v>Vacancy</v>
          </cell>
          <cell r="S4664">
            <v>0.3</v>
          </cell>
        </row>
        <row r="4665">
          <cell r="D4665">
            <v>109001280</v>
          </cell>
          <cell r="E4665" t="str">
            <v>ANTHONY OGOEGBUNAN</v>
          </cell>
          <cell r="F4665" t="str">
            <v>D (MD)</v>
          </cell>
          <cell r="G4665">
            <v>356764</v>
          </cell>
          <cell r="H4665" t="str">
            <v>Mayday</v>
          </cell>
          <cell r="I4665">
            <v>0.83333333333333337</v>
          </cell>
          <cell r="J4665">
            <v>0.33333333333333331</v>
          </cell>
          <cell r="K4665">
            <v>11</v>
          </cell>
          <cell r="L4665">
            <v>568.29999999999995</v>
          </cell>
          <cell r="O4665" t="str">
            <v>Y</v>
          </cell>
          <cell r="P4665" t="str">
            <v>N</v>
          </cell>
          <cell r="Q4665" t="str">
            <v>Extra Capacity</v>
          </cell>
          <cell r="S4665">
            <v>0.28999999999999998</v>
          </cell>
        </row>
        <row r="4666">
          <cell r="D4666">
            <v>109001298</v>
          </cell>
          <cell r="E4666" t="str">
            <v>ATINUKE OKE-OLATUNDE</v>
          </cell>
          <cell r="F4666" t="str">
            <v>D (MD)</v>
          </cell>
          <cell r="G4666">
            <v>362863</v>
          </cell>
          <cell r="H4666" t="str">
            <v>Mayday</v>
          </cell>
          <cell r="I4666">
            <v>0.84375</v>
          </cell>
          <cell r="J4666">
            <v>0.3125</v>
          </cell>
          <cell r="K4666">
            <v>10.25</v>
          </cell>
          <cell r="L4666">
            <v>529.55999999999995</v>
          </cell>
          <cell r="O4666" t="str">
            <v>Y</v>
          </cell>
          <cell r="P4666" t="str">
            <v>N</v>
          </cell>
          <cell r="Q4666" t="str">
            <v>On-Call</v>
          </cell>
          <cell r="S4666">
            <v>0.27</v>
          </cell>
        </row>
        <row r="4667">
          <cell r="D4667">
            <v>1208007902</v>
          </cell>
          <cell r="E4667" t="str">
            <v>BERNADETTE SHINYA-NDUNUWANI</v>
          </cell>
          <cell r="F4667" t="str">
            <v>D (MD)</v>
          </cell>
          <cell r="G4667">
            <v>357637</v>
          </cell>
          <cell r="H4667" t="str">
            <v>Mayday</v>
          </cell>
          <cell r="I4667">
            <v>0.3125</v>
          </cell>
          <cell r="J4667">
            <v>0.83333333333333337</v>
          </cell>
          <cell r="K4667">
            <v>11.83333333</v>
          </cell>
          <cell r="L4667">
            <v>611.36</v>
          </cell>
          <cell r="O4667" t="str">
            <v>Y</v>
          </cell>
          <cell r="P4667" t="str">
            <v>N</v>
          </cell>
          <cell r="Q4667" t="str">
            <v>Extra Capacity</v>
          </cell>
          <cell r="S4667">
            <v>0.32</v>
          </cell>
        </row>
        <row r="4668">
          <cell r="D4668">
            <v>1208007641</v>
          </cell>
          <cell r="E4668" t="str">
            <v>BIDDY CHAFESUKA</v>
          </cell>
          <cell r="F4668" t="str">
            <v>D (Ch)</v>
          </cell>
          <cell r="G4668">
            <v>17780</v>
          </cell>
          <cell r="H4668" t="str">
            <v>Choice</v>
          </cell>
          <cell r="I4668">
            <v>0.3125</v>
          </cell>
          <cell r="J4668">
            <v>0.64583333333333337</v>
          </cell>
          <cell r="K4668">
            <v>7.6666666670000003</v>
          </cell>
          <cell r="L4668">
            <v>298.94</v>
          </cell>
          <cell r="O4668" t="str">
            <v>Y</v>
          </cell>
          <cell r="P4668" t="str">
            <v>N</v>
          </cell>
          <cell r="Q4668" t="str">
            <v>Short Term Sick</v>
          </cell>
          <cell r="S4668">
            <v>0.2</v>
          </cell>
        </row>
        <row r="4669">
          <cell r="D4669">
            <v>1208007642</v>
          </cell>
          <cell r="E4669" t="str">
            <v>BIDDY CHAFESUKA</v>
          </cell>
          <cell r="F4669" t="str">
            <v>D (Ch)</v>
          </cell>
          <cell r="G4669">
            <v>17780</v>
          </cell>
          <cell r="H4669" t="str">
            <v>Choice</v>
          </cell>
          <cell r="I4669">
            <v>0.64583333333333337</v>
          </cell>
          <cell r="J4669">
            <v>0.85416666666666663</v>
          </cell>
          <cell r="K4669">
            <v>5</v>
          </cell>
          <cell r="L4669">
            <v>194.96</v>
          </cell>
          <cell r="O4669" t="str">
            <v>Y</v>
          </cell>
          <cell r="P4669" t="str">
            <v>N</v>
          </cell>
          <cell r="Q4669" t="str">
            <v>Short Term Sick</v>
          </cell>
          <cell r="S4669">
            <v>0.13</v>
          </cell>
        </row>
        <row r="4670">
          <cell r="D4670">
            <v>1208007462</v>
          </cell>
          <cell r="E4670" t="str">
            <v>BONNIE TWALA</v>
          </cell>
          <cell r="F4670" t="str">
            <v>D (Amb)</v>
          </cell>
          <cell r="G4670">
            <v>772149</v>
          </cell>
          <cell r="H4670" t="str">
            <v>Ambition</v>
          </cell>
          <cell r="I4670">
            <v>0.8125</v>
          </cell>
          <cell r="J4670">
            <v>0.33333333333333331</v>
          </cell>
          <cell r="K4670">
            <v>11.83333333</v>
          </cell>
          <cell r="L4670">
            <v>740.29</v>
          </cell>
          <cell r="O4670" t="str">
            <v>Y</v>
          </cell>
          <cell r="P4670" t="str">
            <v>N</v>
          </cell>
          <cell r="Q4670" t="str">
            <v>Extra Capacity</v>
          </cell>
          <cell r="S4670">
            <v>0.32</v>
          </cell>
        </row>
        <row r="4671">
          <cell r="D4671">
            <v>1208007473</v>
          </cell>
          <cell r="E4671" t="str">
            <v>BRENDA GWEKWERERE</v>
          </cell>
          <cell r="F4671" t="str">
            <v>D (Ch)</v>
          </cell>
          <cell r="G4671">
            <v>17788</v>
          </cell>
          <cell r="H4671" t="str">
            <v>Choice</v>
          </cell>
          <cell r="I4671">
            <v>0.3125</v>
          </cell>
          <cell r="J4671">
            <v>0.83333333333333337</v>
          </cell>
          <cell r="K4671">
            <v>11.83333333</v>
          </cell>
          <cell r="L4671">
            <v>461.41</v>
          </cell>
          <cell r="O4671" t="str">
            <v>Y</v>
          </cell>
          <cell r="P4671" t="str">
            <v>N</v>
          </cell>
          <cell r="Q4671" t="str">
            <v>Extra Capacity</v>
          </cell>
          <cell r="S4671">
            <v>0.32</v>
          </cell>
        </row>
        <row r="4672">
          <cell r="D4672">
            <v>109001028</v>
          </cell>
          <cell r="E4672" t="str">
            <v>CAROLINE DEABILL</v>
          </cell>
          <cell r="F4672" t="str">
            <v>2 General (Adva</v>
          </cell>
          <cell r="G4672">
            <v>1417328</v>
          </cell>
          <cell r="H4672" t="str">
            <v>Advantage</v>
          </cell>
          <cell r="I4672">
            <v>0.83333333333333337</v>
          </cell>
          <cell r="J4672">
            <v>0.33333333333333331</v>
          </cell>
          <cell r="K4672">
            <v>11.33333333</v>
          </cell>
          <cell r="L4672">
            <v>175.1</v>
          </cell>
          <cell r="O4672" t="str">
            <v>Y</v>
          </cell>
          <cell r="P4672" t="str">
            <v>N</v>
          </cell>
          <cell r="Q4672" t="str">
            <v>Nurse Moved</v>
          </cell>
          <cell r="S4672">
            <v>0.3</v>
          </cell>
        </row>
        <row r="4673">
          <cell r="D4673">
            <v>109000159</v>
          </cell>
          <cell r="E4673" t="str">
            <v>CHARLES MARARIRAKWENDA</v>
          </cell>
          <cell r="F4673" t="str">
            <v>A (Ch)</v>
          </cell>
          <cell r="G4673">
            <v>17776</v>
          </cell>
          <cell r="H4673" t="str">
            <v>Choice</v>
          </cell>
          <cell r="I4673">
            <v>0.3125</v>
          </cell>
          <cell r="J4673">
            <v>0.54166666666666663</v>
          </cell>
          <cell r="K4673">
            <v>5.5</v>
          </cell>
          <cell r="L4673">
            <v>101.66</v>
          </cell>
          <cell r="O4673" t="str">
            <v>Y</v>
          </cell>
          <cell r="P4673" t="str">
            <v>N</v>
          </cell>
          <cell r="Q4673" t="str">
            <v>Vacancy</v>
          </cell>
          <cell r="S4673">
            <v>0.15</v>
          </cell>
        </row>
        <row r="4674">
          <cell r="D4674">
            <v>109000160</v>
          </cell>
          <cell r="E4674" t="str">
            <v>CHARLES MARARIRAKWENDA</v>
          </cell>
          <cell r="F4674" t="str">
            <v>A (Ch)</v>
          </cell>
          <cell r="G4674">
            <v>17776</v>
          </cell>
          <cell r="H4674" t="str">
            <v>Choice</v>
          </cell>
          <cell r="I4674">
            <v>0.54166666666666663</v>
          </cell>
          <cell r="J4674">
            <v>0.83333333333333337</v>
          </cell>
          <cell r="K4674">
            <v>6.6666666670000003</v>
          </cell>
          <cell r="L4674">
            <v>123.22</v>
          </cell>
          <cell r="O4674" t="str">
            <v>Y</v>
          </cell>
          <cell r="P4674" t="str">
            <v>N</v>
          </cell>
          <cell r="Q4674" t="str">
            <v>Vacancy</v>
          </cell>
          <cell r="S4674">
            <v>0.18</v>
          </cell>
        </row>
        <row r="4675">
          <cell r="D4675">
            <v>109001282</v>
          </cell>
          <cell r="E4675" t="str">
            <v>DEBBIE HARRIS</v>
          </cell>
          <cell r="F4675" t="str">
            <v>5 Gen (All)</v>
          </cell>
          <cell r="G4675">
            <v>357598</v>
          </cell>
          <cell r="H4675" t="str">
            <v>Mayday</v>
          </cell>
          <cell r="I4675">
            <v>0.52083333333333337</v>
          </cell>
          <cell r="J4675">
            <v>0.85416666666666663</v>
          </cell>
          <cell r="K4675">
            <v>7.5</v>
          </cell>
          <cell r="L4675">
            <v>215.76</v>
          </cell>
          <cell r="O4675" t="str">
            <v>Y</v>
          </cell>
          <cell r="P4675" t="str">
            <v>N</v>
          </cell>
          <cell r="Q4675" t="str">
            <v>Extra Capacity</v>
          </cell>
          <cell r="S4675">
            <v>0.2</v>
          </cell>
        </row>
        <row r="4676">
          <cell r="D4676">
            <v>1208007704</v>
          </cell>
          <cell r="E4676" t="str">
            <v>DONALD YANZA</v>
          </cell>
          <cell r="F4676" t="str">
            <v>D (Ch)</v>
          </cell>
          <cell r="H4676" t="str">
            <v>Choice</v>
          </cell>
          <cell r="I4676">
            <v>0.83333333333333337</v>
          </cell>
          <cell r="J4676">
            <v>0.33333333333333331</v>
          </cell>
          <cell r="K4676">
            <v>11.33333333</v>
          </cell>
          <cell r="L4676">
            <v>441.91</v>
          </cell>
          <cell r="O4676" t="str">
            <v>Y</v>
          </cell>
          <cell r="P4676" t="str">
            <v>N</v>
          </cell>
          <cell r="Q4676" t="str">
            <v>Extra Capacity</v>
          </cell>
          <cell r="S4676">
            <v>0.3</v>
          </cell>
        </row>
        <row r="4677">
          <cell r="D4677">
            <v>1208003118</v>
          </cell>
          <cell r="E4677" t="str">
            <v>DOROTHY MUTEMWA</v>
          </cell>
          <cell r="F4677" t="str">
            <v>A (Ch)</v>
          </cell>
          <cell r="G4677">
            <v>17878</v>
          </cell>
          <cell r="H4677" t="str">
            <v>Choice</v>
          </cell>
          <cell r="I4677">
            <v>0.625</v>
          </cell>
          <cell r="J4677">
            <v>0.89583333333333337</v>
          </cell>
          <cell r="K4677">
            <v>6.1666666670000003</v>
          </cell>
          <cell r="L4677">
            <v>113.98</v>
          </cell>
          <cell r="O4677" t="str">
            <v>Y</v>
          </cell>
          <cell r="P4677" t="str">
            <v>N</v>
          </cell>
          <cell r="Q4677" t="str">
            <v>Extra Capacity</v>
          </cell>
          <cell r="S4677">
            <v>0.16</v>
          </cell>
        </row>
        <row r="4678">
          <cell r="D4678">
            <v>1208004128</v>
          </cell>
          <cell r="E4678" t="str">
            <v>EUNICE ADEBANJO</v>
          </cell>
          <cell r="F4678" t="str">
            <v>D (Ch)</v>
          </cell>
          <cell r="G4678">
            <v>17867</v>
          </cell>
          <cell r="H4678" t="str">
            <v>Choice</v>
          </cell>
          <cell r="I4678">
            <v>0.83333333333333337</v>
          </cell>
          <cell r="J4678">
            <v>0.33333333333333331</v>
          </cell>
          <cell r="K4678">
            <v>11.33333333</v>
          </cell>
          <cell r="L4678">
            <v>441.91</v>
          </cell>
          <cell r="O4678" t="str">
            <v>Y</v>
          </cell>
          <cell r="P4678" t="str">
            <v>N</v>
          </cell>
          <cell r="Q4678" t="str">
            <v>Vacancy</v>
          </cell>
          <cell r="S4678">
            <v>0.3</v>
          </cell>
        </row>
        <row r="4679">
          <cell r="D4679">
            <v>109001296</v>
          </cell>
          <cell r="E4679" t="str">
            <v>GEORGE MALETE</v>
          </cell>
          <cell r="F4679" t="str">
            <v>A (Ch)</v>
          </cell>
          <cell r="H4679" t="str">
            <v>Choice</v>
          </cell>
          <cell r="I4679">
            <v>0.3125</v>
          </cell>
          <cell r="J4679">
            <v>0.5625</v>
          </cell>
          <cell r="K4679">
            <v>5.6666666670000003</v>
          </cell>
          <cell r="L4679">
            <v>104.74</v>
          </cell>
          <cell r="O4679" t="str">
            <v>Y</v>
          </cell>
          <cell r="P4679" t="str">
            <v>N</v>
          </cell>
          <cell r="Q4679" t="str">
            <v>On-Call</v>
          </cell>
          <cell r="S4679">
            <v>0.15</v>
          </cell>
        </row>
        <row r="4680">
          <cell r="D4680">
            <v>1208007708</v>
          </cell>
          <cell r="E4680" t="str">
            <v>GLENDA RONA</v>
          </cell>
          <cell r="F4680" t="str">
            <v>D (Ch)</v>
          </cell>
          <cell r="G4680">
            <v>17798</v>
          </cell>
          <cell r="H4680" t="str">
            <v>Choice</v>
          </cell>
          <cell r="I4680">
            <v>0.83333333333333337</v>
          </cell>
          <cell r="J4680">
            <v>0.33333333333333331</v>
          </cell>
          <cell r="K4680">
            <v>11.33333333</v>
          </cell>
          <cell r="L4680">
            <v>441.91</v>
          </cell>
          <cell r="O4680" t="str">
            <v>Y</v>
          </cell>
          <cell r="P4680" t="str">
            <v>N</v>
          </cell>
          <cell r="Q4680" t="str">
            <v>Extra Capacity</v>
          </cell>
          <cell r="S4680">
            <v>0.3</v>
          </cell>
        </row>
        <row r="4681">
          <cell r="D4681">
            <v>1208007429</v>
          </cell>
          <cell r="E4681" t="str">
            <v>JAMES MCCLEMENTS</v>
          </cell>
          <cell r="F4681" t="str">
            <v>D (MD)</v>
          </cell>
          <cell r="G4681">
            <v>356860</v>
          </cell>
          <cell r="H4681" t="str">
            <v>Mayday</v>
          </cell>
          <cell r="I4681">
            <v>0.3125</v>
          </cell>
          <cell r="J4681">
            <v>0.54166666666666663</v>
          </cell>
          <cell r="K4681">
            <v>5.5</v>
          </cell>
          <cell r="L4681">
            <v>284.14999999999998</v>
          </cell>
          <cell r="O4681" t="str">
            <v>Y</v>
          </cell>
          <cell r="P4681" t="str">
            <v>N</v>
          </cell>
          <cell r="Q4681" t="str">
            <v>Extra Capacity</v>
          </cell>
          <cell r="S4681">
            <v>0.15</v>
          </cell>
        </row>
        <row r="4682">
          <cell r="D4682">
            <v>1208007705</v>
          </cell>
          <cell r="E4682" t="str">
            <v>JASMINE ESGUERRA</v>
          </cell>
          <cell r="F4682" t="str">
            <v>D (Ch)</v>
          </cell>
          <cell r="H4682" t="str">
            <v>Choice</v>
          </cell>
          <cell r="I4682">
            <v>0.83333333333333337</v>
          </cell>
          <cell r="J4682">
            <v>0.33333333333333331</v>
          </cell>
          <cell r="K4682">
            <v>11.33333333</v>
          </cell>
          <cell r="L4682">
            <v>441.91</v>
          </cell>
          <cell r="O4682" t="str">
            <v>Y</v>
          </cell>
          <cell r="P4682" t="str">
            <v>N</v>
          </cell>
          <cell r="Q4682" t="str">
            <v>Extra Capacity</v>
          </cell>
          <cell r="S4682">
            <v>0.3</v>
          </cell>
        </row>
        <row r="4683">
          <cell r="D4683">
            <v>1208003115</v>
          </cell>
          <cell r="E4683" t="str">
            <v>JASON WENT</v>
          </cell>
          <cell r="F4683" t="str">
            <v>D / 5 General (</v>
          </cell>
          <cell r="G4683" t="str">
            <v>604-164324</v>
          </cell>
          <cell r="H4683" t="str">
            <v>Blue Arrow</v>
          </cell>
          <cell r="I4683">
            <v>0.88541666666666663</v>
          </cell>
          <cell r="J4683">
            <v>0.33333333333333331</v>
          </cell>
          <cell r="K4683">
            <v>10.41666667</v>
          </cell>
          <cell r="L4683">
            <v>281.33</v>
          </cell>
          <cell r="O4683" t="str">
            <v>Y</v>
          </cell>
          <cell r="P4683" t="str">
            <v>N</v>
          </cell>
          <cell r="Q4683" t="str">
            <v>Extra Capacity</v>
          </cell>
          <cell r="S4683">
            <v>0.28000000000000003</v>
          </cell>
        </row>
        <row r="4684">
          <cell r="D4684">
            <v>1208007896</v>
          </cell>
          <cell r="E4684" t="str">
            <v>JESSICA BELLAMY</v>
          </cell>
          <cell r="F4684" t="str">
            <v>D (MD)</v>
          </cell>
          <cell r="G4684">
            <v>357636</v>
          </cell>
          <cell r="H4684" t="str">
            <v>Mayday</v>
          </cell>
          <cell r="I4684">
            <v>0.8125</v>
          </cell>
          <cell r="J4684">
            <v>0.33333333333333331</v>
          </cell>
          <cell r="K4684">
            <v>11.83333333</v>
          </cell>
          <cell r="L4684">
            <v>611.36</v>
          </cell>
          <cell r="O4684" t="str">
            <v>Y</v>
          </cell>
          <cell r="P4684" t="str">
            <v>N</v>
          </cell>
          <cell r="Q4684" t="str">
            <v>Extra Capacity</v>
          </cell>
          <cell r="S4684">
            <v>0.32</v>
          </cell>
        </row>
        <row r="4685">
          <cell r="D4685">
            <v>109001294</v>
          </cell>
          <cell r="E4685" t="str">
            <v>JOANNE BUSS</v>
          </cell>
          <cell r="F4685" t="str">
            <v>D (MD)</v>
          </cell>
          <cell r="G4685">
            <v>366879</v>
          </cell>
          <cell r="H4685" t="str">
            <v>Mayday</v>
          </cell>
          <cell r="I4685">
            <v>0.54166666666666663</v>
          </cell>
          <cell r="J4685">
            <v>0.85416666666666663</v>
          </cell>
          <cell r="K4685">
            <v>7.1666666670000003</v>
          </cell>
          <cell r="L4685">
            <v>370.26</v>
          </cell>
          <cell r="O4685" t="str">
            <v>Y</v>
          </cell>
          <cell r="P4685" t="str">
            <v>N</v>
          </cell>
          <cell r="Q4685" t="str">
            <v>On-Call</v>
          </cell>
          <cell r="S4685">
            <v>0.19</v>
          </cell>
        </row>
        <row r="4686">
          <cell r="D4686">
            <v>1208007703</v>
          </cell>
          <cell r="E4686" t="str">
            <v>JOANNE DUCKER</v>
          </cell>
          <cell r="F4686" t="str">
            <v>D / 5 General (</v>
          </cell>
          <cell r="G4686" t="str">
            <v>604-163938</v>
          </cell>
          <cell r="H4686" t="str">
            <v>Medacs</v>
          </cell>
          <cell r="I4686">
            <v>0.60416666666666663</v>
          </cell>
          <cell r="J4686">
            <v>0.85416666666666663</v>
          </cell>
          <cell r="K4686">
            <v>5.6666666670000003</v>
          </cell>
          <cell r="L4686">
            <v>153.05000000000001</v>
          </cell>
          <cell r="O4686" t="str">
            <v>Y</v>
          </cell>
          <cell r="P4686" t="str">
            <v>N</v>
          </cell>
          <cell r="Q4686" t="str">
            <v>Extra Capacity</v>
          </cell>
          <cell r="S4686">
            <v>0.15</v>
          </cell>
        </row>
        <row r="4687">
          <cell r="D4687">
            <v>1208007697</v>
          </cell>
          <cell r="E4687" t="str">
            <v>KAREN COOMBE</v>
          </cell>
          <cell r="F4687" t="str">
            <v>D (Amb)</v>
          </cell>
          <cell r="H4687" t="str">
            <v>Ambition</v>
          </cell>
          <cell r="I4687">
            <v>0.3125</v>
          </cell>
          <cell r="J4687">
            <v>0.60416666666666663</v>
          </cell>
          <cell r="K4687">
            <v>6.6666666670000003</v>
          </cell>
          <cell r="L4687">
            <v>417.07</v>
          </cell>
          <cell r="O4687" t="str">
            <v>Y</v>
          </cell>
          <cell r="P4687" t="str">
            <v>N</v>
          </cell>
          <cell r="Q4687" t="str">
            <v>Extra Capacity</v>
          </cell>
          <cell r="S4687">
            <v>0.18</v>
          </cell>
        </row>
        <row r="4688">
          <cell r="D4688">
            <v>109000345</v>
          </cell>
          <cell r="E4688" t="str">
            <v>KRISHENDAI DOOKIE</v>
          </cell>
          <cell r="F4688" t="str">
            <v>D (Amb)</v>
          </cell>
          <cell r="G4688">
            <v>774221</v>
          </cell>
          <cell r="H4688" t="str">
            <v>Ambition</v>
          </cell>
          <cell r="I4688">
            <v>0.82291666666666663</v>
          </cell>
          <cell r="J4688">
            <v>0.34375</v>
          </cell>
          <cell r="K4688">
            <v>11.5</v>
          </cell>
          <cell r="L4688">
            <v>719.44</v>
          </cell>
          <cell r="O4688" t="str">
            <v>Y</v>
          </cell>
          <cell r="P4688" t="str">
            <v>N</v>
          </cell>
          <cell r="Q4688" t="str">
            <v>Short Term Sick</v>
          </cell>
          <cell r="S4688">
            <v>0.31</v>
          </cell>
        </row>
        <row r="4689">
          <cell r="D4689">
            <v>1208007700</v>
          </cell>
          <cell r="E4689" t="str">
            <v xml:space="preserve">LAVETA  NUCUM </v>
          </cell>
          <cell r="F4689" t="str">
            <v>D (Amb)</v>
          </cell>
          <cell r="G4689">
            <v>772147</v>
          </cell>
          <cell r="H4689" t="str">
            <v>Ambition</v>
          </cell>
          <cell r="I4689">
            <v>0.3125</v>
          </cell>
          <cell r="J4689">
            <v>0.60416666666666663</v>
          </cell>
          <cell r="K4689">
            <v>6.6666666670000003</v>
          </cell>
          <cell r="L4689">
            <v>417.07</v>
          </cell>
          <cell r="O4689" t="str">
            <v>Y</v>
          </cell>
          <cell r="P4689" t="str">
            <v>N</v>
          </cell>
          <cell r="Q4689" t="str">
            <v>Extra Capacity</v>
          </cell>
          <cell r="S4689">
            <v>0.18</v>
          </cell>
        </row>
        <row r="4690">
          <cell r="D4690">
            <v>1208007691</v>
          </cell>
          <cell r="E4690" t="str">
            <v>LEONA CONTRERAS</v>
          </cell>
          <cell r="F4690" t="str">
            <v>D (MD)</v>
          </cell>
          <cell r="G4690">
            <v>357071</v>
          </cell>
          <cell r="H4690" t="str">
            <v>Mayday</v>
          </cell>
          <cell r="I4690">
            <v>0.3125</v>
          </cell>
          <cell r="J4690">
            <v>0.60416666666666663</v>
          </cell>
          <cell r="K4690">
            <v>6.6666666670000003</v>
          </cell>
          <cell r="L4690">
            <v>344.43</v>
          </cell>
          <cell r="O4690" t="str">
            <v>Y</v>
          </cell>
          <cell r="P4690" t="str">
            <v>N</v>
          </cell>
          <cell r="Q4690" t="str">
            <v>Extra Capacity</v>
          </cell>
          <cell r="S4690">
            <v>0.18</v>
          </cell>
        </row>
        <row r="4691">
          <cell r="D4691">
            <v>1208007701</v>
          </cell>
          <cell r="E4691" t="str">
            <v>LEONA CONTRERAS</v>
          </cell>
          <cell r="F4691" t="str">
            <v>D (MD)</v>
          </cell>
          <cell r="G4691">
            <v>357071</v>
          </cell>
          <cell r="H4691" t="str">
            <v>Mayday</v>
          </cell>
          <cell r="I4691">
            <v>0.60416666666666663</v>
          </cell>
          <cell r="J4691">
            <v>0.85416666666666663</v>
          </cell>
          <cell r="K4691">
            <v>5.6666666670000003</v>
          </cell>
          <cell r="L4691">
            <v>292.76</v>
          </cell>
          <cell r="O4691" t="str">
            <v>Y</v>
          </cell>
          <cell r="P4691" t="str">
            <v>N</v>
          </cell>
          <cell r="Q4691" t="str">
            <v>Extra Capacity</v>
          </cell>
          <cell r="S4691">
            <v>0.15</v>
          </cell>
        </row>
        <row r="4692">
          <cell r="D4692">
            <v>1208007698</v>
          </cell>
          <cell r="E4692" t="str">
            <v>LOUISE CULLEN</v>
          </cell>
          <cell r="F4692" t="str">
            <v>D (Amb)</v>
          </cell>
          <cell r="G4692">
            <v>772135</v>
          </cell>
          <cell r="H4692" t="str">
            <v>Ambition</v>
          </cell>
          <cell r="I4692">
            <v>0.3125</v>
          </cell>
          <cell r="J4692">
            <v>0.60416666666666663</v>
          </cell>
          <cell r="K4692">
            <v>6.6666666670000003</v>
          </cell>
          <cell r="L4692">
            <v>417.07</v>
          </cell>
          <cell r="O4692" t="str">
            <v>Y</v>
          </cell>
          <cell r="P4692" t="str">
            <v>N</v>
          </cell>
          <cell r="Q4692" t="str">
            <v>Extra Capacity</v>
          </cell>
          <cell r="S4692">
            <v>0.18</v>
          </cell>
        </row>
        <row r="4693">
          <cell r="D4693">
            <v>1208007474</v>
          </cell>
          <cell r="E4693" t="str">
            <v>LYABODE ADEYEFA</v>
          </cell>
          <cell r="F4693" t="str">
            <v>D (Amb)</v>
          </cell>
          <cell r="G4693">
            <v>772159</v>
          </cell>
          <cell r="H4693" t="str">
            <v>Ambition</v>
          </cell>
          <cell r="I4693">
            <v>0.3125</v>
          </cell>
          <cell r="J4693">
            <v>0.83333333333333337</v>
          </cell>
          <cell r="K4693">
            <v>11.83333333</v>
          </cell>
          <cell r="L4693">
            <v>740.29</v>
          </cell>
          <cell r="O4693" t="str">
            <v>Y</v>
          </cell>
          <cell r="P4693" t="str">
            <v>N</v>
          </cell>
          <cell r="Q4693" t="str">
            <v>Extra Capacity</v>
          </cell>
          <cell r="S4693">
            <v>0.32</v>
          </cell>
        </row>
        <row r="4694">
          <cell r="D4694">
            <v>1108003635</v>
          </cell>
          <cell r="E4694" t="str">
            <v>MARGARET MUDEKUNYE</v>
          </cell>
          <cell r="F4694" t="str">
            <v>D (Ch)</v>
          </cell>
          <cell r="G4694">
            <v>17795</v>
          </cell>
          <cell r="H4694" t="str">
            <v>Choice</v>
          </cell>
          <cell r="I4694">
            <v>0.83333333333333337</v>
          </cell>
          <cell r="J4694">
            <v>0.33333333333333331</v>
          </cell>
          <cell r="K4694">
            <v>11.33333333</v>
          </cell>
          <cell r="L4694">
            <v>441.91</v>
          </cell>
          <cell r="O4694" t="str">
            <v>Y</v>
          </cell>
          <cell r="P4694" t="str">
            <v>N</v>
          </cell>
          <cell r="Q4694" t="str">
            <v>Vacancy</v>
          </cell>
          <cell r="S4694">
            <v>0.3</v>
          </cell>
        </row>
        <row r="4695">
          <cell r="D4695">
            <v>1108005722</v>
          </cell>
          <cell r="E4695" t="str">
            <v>MAYA MYATHI</v>
          </cell>
          <cell r="F4695" t="str">
            <v>D (Amb)</v>
          </cell>
          <cell r="G4695">
            <v>772178</v>
          </cell>
          <cell r="H4695" t="str">
            <v>Ambition</v>
          </cell>
          <cell r="I4695">
            <v>0.5625</v>
          </cell>
          <cell r="J4695">
            <v>0.85416666666666663</v>
          </cell>
          <cell r="K4695">
            <v>6.6666666670000003</v>
          </cell>
          <cell r="L4695">
            <v>417.07</v>
          </cell>
          <cell r="O4695" t="str">
            <v>Y</v>
          </cell>
          <cell r="P4695" t="str">
            <v>N</v>
          </cell>
          <cell r="Q4695" t="str">
            <v>Vacancy</v>
          </cell>
          <cell r="S4695">
            <v>0.18</v>
          </cell>
        </row>
        <row r="4696">
          <cell r="D4696">
            <v>109001293</v>
          </cell>
          <cell r="E4696" t="str">
            <v>MZUKISI SPEELMAN</v>
          </cell>
          <cell r="F4696" t="str">
            <v>A (Ch)</v>
          </cell>
          <cell r="H4696" t="str">
            <v>Choice</v>
          </cell>
          <cell r="I4696">
            <v>0.5625</v>
          </cell>
          <cell r="J4696">
            <v>0.85416666666666663</v>
          </cell>
          <cell r="K4696">
            <v>6.6666666670000003</v>
          </cell>
          <cell r="L4696">
            <v>123.22</v>
          </cell>
          <cell r="O4696" t="str">
            <v>Y</v>
          </cell>
          <cell r="P4696" t="str">
            <v>N</v>
          </cell>
          <cell r="Q4696" t="str">
            <v>On-Call</v>
          </cell>
          <cell r="S4696">
            <v>0.18</v>
          </cell>
        </row>
        <row r="4697">
          <cell r="D4697">
            <v>1208000403</v>
          </cell>
          <cell r="E4697" t="str">
            <v>MZUKISI SPEELMAN</v>
          </cell>
          <cell r="F4697" t="str">
            <v>A (Ch)</v>
          </cell>
          <cell r="G4697">
            <v>17768</v>
          </cell>
          <cell r="H4697" t="str">
            <v>Choice</v>
          </cell>
          <cell r="I4697">
            <v>0.3125</v>
          </cell>
          <cell r="J4697">
            <v>0.5625</v>
          </cell>
          <cell r="K4697">
            <v>5.6666666670000003</v>
          </cell>
          <cell r="L4697">
            <v>104.74</v>
          </cell>
          <cell r="O4697" t="str">
            <v>Y</v>
          </cell>
          <cell r="P4697" t="str">
            <v>N</v>
          </cell>
          <cell r="Q4697" t="str">
            <v>Under Established</v>
          </cell>
          <cell r="S4697">
            <v>0.15</v>
          </cell>
        </row>
        <row r="4698">
          <cell r="D4698">
            <v>1208006427</v>
          </cell>
          <cell r="E4698" t="str">
            <v>NILO DANUGO</v>
          </cell>
          <cell r="F4698" t="str">
            <v>D (Ch)</v>
          </cell>
          <cell r="G4698">
            <v>17796</v>
          </cell>
          <cell r="H4698" t="str">
            <v>Choice</v>
          </cell>
          <cell r="I4698">
            <v>0.875</v>
          </cell>
          <cell r="J4698">
            <v>0.32291666666666669</v>
          </cell>
          <cell r="K4698">
            <v>10</v>
          </cell>
          <cell r="L4698">
            <v>389.92</v>
          </cell>
          <cell r="O4698" t="str">
            <v>Y</v>
          </cell>
          <cell r="P4698" t="str">
            <v>N</v>
          </cell>
          <cell r="Q4698" t="str">
            <v>Specials</v>
          </cell>
          <cell r="S4698">
            <v>0.27</v>
          </cell>
        </row>
        <row r="4699">
          <cell r="D4699">
            <v>1208004849</v>
          </cell>
          <cell r="E4699" t="str">
            <v>OMAR SENGHORE</v>
          </cell>
          <cell r="F4699" t="str">
            <v>D (MD)</v>
          </cell>
          <cell r="G4699">
            <v>363167</v>
          </cell>
          <cell r="H4699" t="str">
            <v>Mayday</v>
          </cell>
          <cell r="I4699">
            <v>0.82291666666666663</v>
          </cell>
          <cell r="J4699">
            <v>0.34375</v>
          </cell>
          <cell r="K4699">
            <v>11.5</v>
          </cell>
          <cell r="L4699">
            <v>594.14</v>
          </cell>
          <cell r="O4699" t="str">
            <v>Y</v>
          </cell>
          <cell r="P4699" t="str">
            <v>N</v>
          </cell>
          <cell r="Q4699" t="str">
            <v>Extra Capacity</v>
          </cell>
          <cell r="S4699">
            <v>0.31</v>
          </cell>
        </row>
        <row r="4700">
          <cell r="D4700">
            <v>1208006858</v>
          </cell>
          <cell r="E4700" t="str">
            <v>RIAZ AHMED</v>
          </cell>
          <cell r="F4700" t="str">
            <v>D/5 Mental (Med</v>
          </cell>
          <cell r="G4700" t="str">
            <v>604-164322</v>
          </cell>
          <cell r="H4700" t="str">
            <v>Medacs</v>
          </cell>
          <cell r="I4700">
            <v>0.29166666666666669</v>
          </cell>
          <cell r="J4700">
            <v>0.625</v>
          </cell>
          <cell r="K4700">
            <v>7.6666666670000003</v>
          </cell>
          <cell r="L4700">
            <v>226.07</v>
          </cell>
          <cell r="O4700" t="str">
            <v>Y</v>
          </cell>
          <cell r="P4700" t="str">
            <v>N</v>
          </cell>
          <cell r="Q4700" t="str">
            <v>Specials</v>
          </cell>
          <cell r="S4700">
            <v>0.2</v>
          </cell>
        </row>
        <row r="4701">
          <cell r="D4701">
            <v>1208006859</v>
          </cell>
          <cell r="E4701" t="str">
            <v>RIAZ AHMED</v>
          </cell>
          <cell r="F4701" t="str">
            <v>D/5 Mental (Med</v>
          </cell>
          <cell r="G4701" t="str">
            <v>604-164322</v>
          </cell>
          <cell r="H4701" t="str">
            <v>Medacs</v>
          </cell>
          <cell r="I4701">
            <v>0.625</v>
          </cell>
          <cell r="J4701">
            <v>0.875</v>
          </cell>
          <cell r="K4701">
            <v>5.75</v>
          </cell>
          <cell r="L4701">
            <v>169.56</v>
          </cell>
          <cell r="O4701" t="str">
            <v>Y</v>
          </cell>
          <cell r="P4701" t="str">
            <v>N</v>
          </cell>
          <cell r="Q4701" t="str">
            <v>Specials</v>
          </cell>
          <cell r="S4701">
            <v>0.15</v>
          </cell>
        </row>
        <row r="4702">
          <cell r="D4702">
            <v>1108006041</v>
          </cell>
          <cell r="E4702" t="str">
            <v>RICCA PARADA</v>
          </cell>
          <cell r="F4702" t="str">
            <v>D (Ch)</v>
          </cell>
          <cell r="G4702">
            <v>17768</v>
          </cell>
          <cell r="H4702" t="str">
            <v>Choice</v>
          </cell>
          <cell r="I4702">
            <v>0.5625</v>
          </cell>
          <cell r="J4702">
            <v>0.85416666666666663</v>
          </cell>
          <cell r="K4702">
            <v>6.6666666670000003</v>
          </cell>
          <cell r="L4702">
            <v>259.95</v>
          </cell>
          <cell r="O4702" t="str">
            <v>Y</v>
          </cell>
          <cell r="P4702" t="str">
            <v>N</v>
          </cell>
          <cell r="Q4702" t="str">
            <v>Annual Leave</v>
          </cell>
          <cell r="S4702">
            <v>0.18</v>
          </cell>
        </row>
        <row r="4703">
          <cell r="D4703">
            <v>1208006758</v>
          </cell>
          <cell r="E4703" t="str">
            <v>RICCA PARADA</v>
          </cell>
          <cell r="F4703" t="str">
            <v>D (Ch)</v>
          </cell>
          <cell r="G4703">
            <v>17768</v>
          </cell>
          <cell r="H4703" t="str">
            <v>Choice</v>
          </cell>
          <cell r="I4703">
            <v>0.3125</v>
          </cell>
          <cell r="J4703">
            <v>0.5625</v>
          </cell>
          <cell r="K4703">
            <v>5.6666666670000003</v>
          </cell>
          <cell r="L4703">
            <v>220.95</v>
          </cell>
          <cell r="O4703" t="str">
            <v>Y</v>
          </cell>
          <cell r="P4703" t="str">
            <v>N</v>
          </cell>
          <cell r="Q4703" t="str">
            <v>Annual Leave</v>
          </cell>
          <cell r="S4703">
            <v>0.15</v>
          </cell>
        </row>
        <row r="4704">
          <cell r="D4704">
            <v>109001187</v>
          </cell>
          <cell r="E4704" t="str">
            <v>RICHARD JAMBAYA</v>
          </cell>
          <cell r="F4704" t="str">
            <v>A (Ch)</v>
          </cell>
          <cell r="G4704">
            <v>17945</v>
          </cell>
          <cell r="H4704" t="str">
            <v>Choice</v>
          </cell>
          <cell r="I4704">
            <v>0.79166666666666663</v>
          </cell>
          <cell r="J4704">
            <v>0.3125</v>
          </cell>
          <cell r="K4704">
            <v>10.5</v>
          </cell>
          <cell r="L4704">
            <v>194.07</v>
          </cell>
          <cell r="O4704" t="str">
            <v>Y</v>
          </cell>
          <cell r="P4704" t="str">
            <v>N</v>
          </cell>
          <cell r="Q4704" t="str">
            <v>Short Term Sick</v>
          </cell>
          <cell r="S4704">
            <v>0.28000000000000003</v>
          </cell>
        </row>
        <row r="4705">
          <cell r="D4705">
            <v>1208007706</v>
          </cell>
          <cell r="E4705" t="str">
            <v>RODA RAMERIZ</v>
          </cell>
          <cell r="F4705" t="str">
            <v>D (Ch)</v>
          </cell>
          <cell r="G4705">
            <v>17780</v>
          </cell>
          <cell r="H4705" t="str">
            <v>Choice</v>
          </cell>
          <cell r="I4705">
            <v>0.83333333333333337</v>
          </cell>
          <cell r="J4705">
            <v>0.33333333333333331</v>
          </cell>
          <cell r="K4705">
            <v>11.33333333</v>
          </cell>
          <cell r="L4705">
            <v>441.91</v>
          </cell>
          <cell r="O4705" t="str">
            <v>Y</v>
          </cell>
          <cell r="P4705" t="str">
            <v>N</v>
          </cell>
          <cell r="Q4705" t="str">
            <v>Extra Capacity</v>
          </cell>
          <cell r="S4705">
            <v>0.3</v>
          </cell>
        </row>
        <row r="4706">
          <cell r="D4706">
            <v>109001295</v>
          </cell>
          <cell r="E4706" t="str">
            <v>ROSLYNE SCOTT</v>
          </cell>
          <cell r="F4706" t="str">
            <v>D (Amb)</v>
          </cell>
          <cell r="G4706">
            <v>774273</v>
          </cell>
          <cell r="H4706" t="str">
            <v>Ambition</v>
          </cell>
          <cell r="I4706">
            <v>0.5625</v>
          </cell>
          <cell r="J4706">
            <v>0.85416666666666663</v>
          </cell>
          <cell r="K4706">
            <v>6.6666666670000003</v>
          </cell>
          <cell r="L4706">
            <v>417.07</v>
          </cell>
          <cell r="O4706" t="str">
            <v>Y</v>
          </cell>
          <cell r="P4706" t="str">
            <v>N</v>
          </cell>
          <cell r="Q4706" t="str">
            <v>On-Call</v>
          </cell>
          <cell r="S4706">
            <v>0.18</v>
          </cell>
        </row>
        <row r="4707">
          <cell r="D4707">
            <v>1208007707</v>
          </cell>
          <cell r="E4707" t="str">
            <v>RUSSELL CATIBOG</v>
          </cell>
          <cell r="F4707" t="str">
            <v>D (Ch)</v>
          </cell>
          <cell r="G4707">
            <v>17783</v>
          </cell>
          <cell r="H4707" t="str">
            <v>Choice</v>
          </cell>
          <cell r="I4707">
            <v>0.83333333333333337</v>
          </cell>
          <cell r="J4707">
            <v>0.33333333333333331</v>
          </cell>
          <cell r="K4707">
            <v>11.33333333</v>
          </cell>
          <cell r="L4707">
            <v>441.91</v>
          </cell>
          <cell r="O4707" t="str">
            <v>Y</v>
          </cell>
          <cell r="P4707" t="str">
            <v>N</v>
          </cell>
          <cell r="Q4707" t="str">
            <v>Extra Capacity</v>
          </cell>
          <cell r="S4707">
            <v>0.3</v>
          </cell>
        </row>
        <row r="4708">
          <cell r="D4708">
            <v>1208004126</v>
          </cell>
          <cell r="E4708" t="str">
            <v>RUTA KAIRYTE</v>
          </cell>
          <cell r="F4708" t="str">
            <v>D (Amb)</v>
          </cell>
          <cell r="G4708">
            <v>774194</v>
          </cell>
          <cell r="H4708" t="str">
            <v>Ambition</v>
          </cell>
          <cell r="I4708">
            <v>0.3125</v>
          </cell>
          <cell r="J4708">
            <v>0.85416666666666663</v>
          </cell>
          <cell r="K4708">
            <v>12.33333333</v>
          </cell>
          <cell r="L4708">
            <v>771.57</v>
          </cell>
          <cell r="O4708" t="str">
            <v>Y</v>
          </cell>
          <cell r="P4708" t="str">
            <v>N</v>
          </cell>
          <cell r="Q4708" t="str">
            <v>Vacancy</v>
          </cell>
          <cell r="S4708">
            <v>0.33</v>
          </cell>
        </row>
        <row r="4709">
          <cell r="D4709">
            <v>109000162</v>
          </cell>
          <cell r="E4709" t="str">
            <v>SAM KELEM</v>
          </cell>
          <cell r="F4709" t="str">
            <v>D (Ch)</v>
          </cell>
          <cell r="G4709">
            <v>17776</v>
          </cell>
          <cell r="H4709" t="str">
            <v>Choice</v>
          </cell>
          <cell r="I4709">
            <v>0.83333333333333337</v>
          </cell>
          <cell r="J4709">
            <v>0.33333333333333331</v>
          </cell>
          <cell r="K4709">
            <v>11.33333333</v>
          </cell>
          <cell r="L4709">
            <v>441.91</v>
          </cell>
          <cell r="O4709" t="str">
            <v>Y</v>
          </cell>
          <cell r="P4709" t="str">
            <v>N</v>
          </cell>
          <cell r="Q4709" t="str">
            <v>Vacancy</v>
          </cell>
          <cell r="S4709">
            <v>0.3</v>
          </cell>
        </row>
        <row r="4710">
          <cell r="D4710">
            <v>1208006861</v>
          </cell>
          <cell r="E4710" t="str">
            <v>SARAH MAKOTORE</v>
          </cell>
          <cell r="F4710" t="str">
            <v>D (Ch)</v>
          </cell>
          <cell r="G4710">
            <v>17792</v>
          </cell>
          <cell r="H4710" t="str">
            <v>Choice</v>
          </cell>
          <cell r="I4710">
            <v>0.875</v>
          </cell>
          <cell r="J4710">
            <v>0.29166666666666669</v>
          </cell>
          <cell r="K4710">
            <v>9.6666666669999994</v>
          </cell>
          <cell r="L4710">
            <v>376.92</v>
          </cell>
          <cell r="M4710">
            <v>391.88</v>
          </cell>
          <cell r="O4710" t="str">
            <v>Y</v>
          </cell>
          <cell r="P4710" t="str">
            <v>N</v>
          </cell>
          <cell r="Q4710" t="str">
            <v>Specials</v>
          </cell>
          <cell r="S4710">
            <v>0.26</v>
          </cell>
        </row>
        <row r="4711">
          <cell r="D4711">
            <v>1208002705</v>
          </cell>
          <cell r="E4711" t="str">
            <v>SELINAH BAKASA</v>
          </cell>
          <cell r="F4711" t="str">
            <v>D (Ch)</v>
          </cell>
          <cell r="G4711">
            <v>17790</v>
          </cell>
          <cell r="H4711" t="str">
            <v>Choice</v>
          </cell>
          <cell r="I4711">
            <v>0.29166666666666669</v>
          </cell>
          <cell r="J4711">
            <v>0.54166666666666663</v>
          </cell>
          <cell r="K4711">
            <v>5.75</v>
          </cell>
          <cell r="L4711">
            <v>224.2</v>
          </cell>
          <cell r="O4711" t="str">
            <v>Y</v>
          </cell>
          <cell r="P4711" t="str">
            <v>N</v>
          </cell>
          <cell r="Q4711" t="str">
            <v>Long Term Sick</v>
          </cell>
          <cell r="S4711">
            <v>0.15</v>
          </cell>
        </row>
        <row r="4712">
          <cell r="D4712">
            <v>1208007221</v>
          </cell>
          <cell r="E4712" t="str">
            <v>SHEPHERD CHIWANZA</v>
          </cell>
          <cell r="F4712" t="str">
            <v>A (Ch)</v>
          </cell>
          <cell r="G4712">
            <v>17768</v>
          </cell>
          <cell r="H4712" t="str">
            <v>Choice</v>
          </cell>
          <cell r="I4712">
            <v>0.3125</v>
          </cell>
          <cell r="J4712">
            <v>0.5625</v>
          </cell>
          <cell r="K4712">
            <v>5.6666666670000003</v>
          </cell>
          <cell r="L4712">
            <v>104.74</v>
          </cell>
          <cell r="O4712" t="str">
            <v>Y</v>
          </cell>
          <cell r="P4712" t="str">
            <v>N</v>
          </cell>
          <cell r="Q4712" t="str">
            <v>Vacancy</v>
          </cell>
          <cell r="S4712">
            <v>0.15</v>
          </cell>
        </row>
        <row r="4713">
          <cell r="D4713">
            <v>1208007223</v>
          </cell>
          <cell r="E4713" t="str">
            <v>SHEPHERD CHIWANZA</v>
          </cell>
          <cell r="F4713" t="str">
            <v>A (Ch)</v>
          </cell>
          <cell r="H4713" t="str">
            <v>Choice</v>
          </cell>
          <cell r="I4713">
            <v>0.5625</v>
          </cell>
          <cell r="J4713">
            <v>0.85416666666666663</v>
          </cell>
          <cell r="K4713">
            <v>6.6666666670000003</v>
          </cell>
          <cell r="L4713">
            <v>123.22</v>
          </cell>
          <cell r="O4713" t="str">
            <v>Y</v>
          </cell>
          <cell r="P4713" t="str">
            <v>N</v>
          </cell>
          <cell r="Q4713" t="str">
            <v>Under Established</v>
          </cell>
          <cell r="S4713">
            <v>0.18</v>
          </cell>
        </row>
        <row r="4714">
          <cell r="D4714">
            <v>1208007699</v>
          </cell>
          <cell r="E4714" t="str">
            <v>SINDISO MOYO</v>
          </cell>
          <cell r="F4714" t="str">
            <v>D (Amb)</v>
          </cell>
          <cell r="H4714" t="str">
            <v>Ambition</v>
          </cell>
          <cell r="I4714">
            <v>0.3125</v>
          </cell>
          <cell r="J4714">
            <v>0.60416666666666663</v>
          </cell>
          <cell r="K4714">
            <v>6.6666666670000003</v>
          </cell>
          <cell r="L4714">
            <v>417.07</v>
          </cell>
          <cell r="O4714" t="str">
            <v>Y</v>
          </cell>
          <cell r="P4714" t="str">
            <v>N</v>
          </cell>
          <cell r="Q4714" t="str">
            <v>Extra Capacity</v>
          </cell>
          <cell r="S4714">
            <v>0.18</v>
          </cell>
        </row>
        <row r="4715">
          <cell r="D4715">
            <v>1208007702</v>
          </cell>
          <cell r="E4715" t="str">
            <v>SINDISO MOYO</v>
          </cell>
          <cell r="F4715" t="str">
            <v>D (Amb)</v>
          </cell>
          <cell r="H4715" t="str">
            <v>Ambition</v>
          </cell>
          <cell r="I4715">
            <v>0.60416666666666663</v>
          </cell>
          <cell r="J4715">
            <v>0.85416666666666663</v>
          </cell>
          <cell r="K4715">
            <v>5.6666666670000003</v>
          </cell>
          <cell r="L4715">
            <v>354.51</v>
          </cell>
          <cell r="O4715" t="str">
            <v>Y</v>
          </cell>
          <cell r="P4715" t="str">
            <v>N</v>
          </cell>
          <cell r="Q4715" t="str">
            <v>Extra Capacity</v>
          </cell>
          <cell r="S4715">
            <v>0.15</v>
          </cell>
        </row>
        <row r="4716">
          <cell r="D4716">
            <v>1208003119</v>
          </cell>
          <cell r="E4716" t="str">
            <v>TRUST CHIWUNDURA</v>
          </cell>
          <cell r="F4716" t="str">
            <v>A (Ch)</v>
          </cell>
          <cell r="H4716" t="str">
            <v>Choice</v>
          </cell>
          <cell r="I4716">
            <v>0.88541666666666663</v>
          </cell>
          <cell r="J4716">
            <v>0.33333333333333331</v>
          </cell>
          <cell r="K4716">
            <v>10.41666667</v>
          </cell>
          <cell r="L4716">
            <v>192.53</v>
          </cell>
          <cell r="O4716" t="str">
            <v>Y</v>
          </cell>
          <cell r="P4716" t="str">
            <v>N</v>
          </cell>
          <cell r="Q4716" t="str">
            <v>Extra Capacity</v>
          </cell>
          <cell r="S4716">
            <v>0.28000000000000003</v>
          </cell>
        </row>
        <row r="4717">
          <cell r="D4717">
            <v>1208004125</v>
          </cell>
          <cell r="E4717" t="str">
            <v>VICTORIA MAESTRANI</v>
          </cell>
          <cell r="F4717" t="str">
            <v>D (MD)</v>
          </cell>
          <cell r="G4717">
            <v>356765</v>
          </cell>
          <cell r="H4717" t="str">
            <v>Mayday</v>
          </cell>
          <cell r="I4717">
            <v>0.3125</v>
          </cell>
          <cell r="J4717">
            <v>0.85416666666666663</v>
          </cell>
          <cell r="K4717">
            <v>12.33333333</v>
          </cell>
          <cell r="L4717">
            <v>637.19000000000005</v>
          </cell>
          <cell r="O4717" t="str">
            <v>Y</v>
          </cell>
          <cell r="P4717" t="str">
            <v>N</v>
          </cell>
          <cell r="Q4717" t="str">
            <v>Vacancy</v>
          </cell>
          <cell r="S4717">
            <v>0.33</v>
          </cell>
        </row>
        <row r="4718">
          <cell r="D4718">
            <v>1208007768</v>
          </cell>
          <cell r="E4718" t="str">
            <v>ALAN ROWLATT-HARROD</v>
          </cell>
          <cell r="F4718" t="str">
            <v>D (Amb)</v>
          </cell>
          <cell r="G4718">
            <v>774209</v>
          </cell>
          <cell r="H4718" t="str">
            <v>Ambition</v>
          </cell>
          <cell r="I4718">
            <v>0.83333333333333337</v>
          </cell>
          <cell r="J4718">
            <v>0.33333333333333331</v>
          </cell>
          <cell r="K4718">
            <v>11.33333333</v>
          </cell>
          <cell r="L4718">
            <v>576.07000000000005</v>
          </cell>
          <cell r="O4718" t="str">
            <v>Y</v>
          </cell>
          <cell r="P4718" t="str">
            <v>N</v>
          </cell>
          <cell r="Q4718" t="str">
            <v>Extra Capacity</v>
          </cell>
          <cell r="S4718">
            <v>0.3</v>
          </cell>
        </row>
        <row r="4719">
          <cell r="D4719">
            <v>1208007709</v>
          </cell>
          <cell r="E4719" t="str">
            <v>ALLI SUBRAMANIAM</v>
          </cell>
          <cell r="F4719" t="str">
            <v>D (MD)</v>
          </cell>
          <cell r="G4719">
            <v>357841</v>
          </cell>
          <cell r="H4719" t="str">
            <v>Mayday</v>
          </cell>
          <cell r="I4719">
            <v>0.3125</v>
          </cell>
          <cell r="J4719">
            <v>0.60416666666666663</v>
          </cell>
          <cell r="K4719">
            <v>6.6666666670000003</v>
          </cell>
          <cell r="L4719">
            <v>215.27</v>
          </cell>
          <cell r="O4719" t="str">
            <v>Y</v>
          </cell>
          <cell r="P4719" t="str">
            <v>N</v>
          </cell>
          <cell r="Q4719" t="str">
            <v>Extra Capacity</v>
          </cell>
          <cell r="S4719">
            <v>0.18</v>
          </cell>
        </row>
        <row r="4720">
          <cell r="D4720">
            <v>1208007745</v>
          </cell>
          <cell r="E4720" t="str">
            <v>ALLI SUBRAMANIAM</v>
          </cell>
          <cell r="F4720" t="str">
            <v>D (MD)</v>
          </cell>
          <cell r="G4720">
            <v>357841</v>
          </cell>
          <cell r="H4720" t="str">
            <v>Mayday</v>
          </cell>
          <cell r="I4720">
            <v>0.60416666666666663</v>
          </cell>
          <cell r="J4720">
            <v>0.85416666666666663</v>
          </cell>
          <cell r="K4720">
            <v>5.6666666670000003</v>
          </cell>
          <cell r="L4720">
            <v>182.98</v>
          </cell>
          <cell r="O4720" t="str">
            <v>Y</v>
          </cell>
          <cell r="P4720" t="str">
            <v>N</v>
          </cell>
          <cell r="Q4720" t="str">
            <v>Extra Capacity</v>
          </cell>
          <cell r="S4720">
            <v>0.15</v>
          </cell>
        </row>
        <row r="4721">
          <cell r="D4721">
            <v>109001345</v>
          </cell>
          <cell r="E4721" t="str">
            <v>ALMA BAUTISTA</v>
          </cell>
          <cell r="F4721" t="str">
            <v>D (Ch)</v>
          </cell>
          <cell r="G4721">
            <v>17876</v>
          </cell>
          <cell r="H4721" t="str">
            <v>Choice</v>
          </cell>
          <cell r="I4721">
            <v>0.83333333333333337</v>
          </cell>
          <cell r="J4721">
            <v>0.33333333333333331</v>
          </cell>
          <cell r="K4721">
            <v>11.33333333</v>
          </cell>
          <cell r="L4721">
            <v>359.05</v>
          </cell>
          <cell r="M4721">
            <v>297.88</v>
          </cell>
          <cell r="O4721" t="str">
            <v>Y</v>
          </cell>
          <cell r="P4721" t="str">
            <v>N</v>
          </cell>
          <cell r="Q4721" t="str">
            <v>Extra Capacity</v>
          </cell>
          <cell r="S4721">
            <v>0.3</v>
          </cell>
        </row>
        <row r="4722">
          <cell r="D4722">
            <v>109003647</v>
          </cell>
          <cell r="E4722" t="str">
            <v>ANTHONY OGOEGBUNAN</v>
          </cell>
          <cell r="F4722" t="str">
            <v>D (MD)</v>
          </cell>
          <cell r="G4722">
            <v>358544</v>
          </cell>
          <cell r="H4722" t="str">
            <v>Mayday</v>
          </cell>
          <cell r="I4722">
            <v>0.83333333333333337</v>
          </cell>
          <cell r="J4722">
            <v>0.33333333333333331</v>
          </cell>
          <cell r="K4722">
            <v>11</v>
          </cell>
          <cell r="L4722">
            <v>461.75</v>
          </cell>
          <cell r="O4722" t="str">
            <v>Y</v>
          </cell>
          <cell r="P4722" t="str">
            <v>N</v>
          </cell>
          <cell r="Q4722" t="str">
            <v>Acuity</v>
          </cell>
          <cell r="S4722">
            <v>0.28999999999999998</v>
          </cell>
        </row>
        <row r="4723">
          <cell r="D4723">
            <v>109001242</v>
          </cell>
          <cell r="E4723" t="str">
            <v>ATINUKE OKE-OLATUNDE</v>
          </cell>
          <cell r="F4723" t="str">
            <v>D (MD)</v>
          </cell>
          <cell r="G4723">
            <v>362921</v>
          </cell>
          <cell r="H4723" t="str">
            <v>Mayday</v>
          </cell>
          <cell r="I4723">
            <v>0.83333333333333337</v>
          </cell>
          <cell r="J4723">
            <v>0.33333333333333331</v>
          </cell>
          <cell r="K4723">
            <v>11.33333333</v>
          </cell>
          <cell r="L4723">
            <v>475.74</v>
          </cell>
          <cell r="O4723" t="str">
            <v>Y</v>
          </cell>
          <cell r="P4723" t="str">
            <v>N</v>
          </cell>
          <cell r="Q4723" t="str">
            <v>Acuity</v>
          </cell>
          <cell r="S4723">
            <v>0.3</v>
          </cell>
        </row>
        <row r="4724">
          <cell r="D4724">
            <v>1208004593</v>
          </cell>
          <cell r="E4724" t="str">
            <v>BERNADETTE SHINYA-NDUNUWANI</v>
          </cell>
          <cell r="F4724" t="str">
            <v>D (MD)</v>
          </cell>
          <cell r="G4724">
            <v>357847</v>
          </cell>
          <cell r="H4724" t="str">
            <v>Mayday</v>
          </cell>
          <cell r="I4724">
            <v>0.3125</v>
          </cell>
          <cell r="J4724">
            <v>0.54166666666666663</v>
          </cell>
          <cell r="K4724">
            <v>5.5</v>
          </cell>
          <cell r="L4724">
            <v>177.59</v>
          </cell>
          <cell r="O4724" t="str">
            <v>Y</v>
          </cell>
          <cell r="P4724" t="str">
            <v>N</v>
          </cell>
          <cell r="Q4724" t="str">
            <v>Vacancy</v>
          </cell>
          <cell r="S4724">
            <v>0.15</v>
          </cell>
        </row>
        <row r="4725">
          <cell r="D4725">
            <v>1208006441</v>
          </cell>
          <cell r="E4725" t="str">
            <v>BIDDY CHAFESUKA</v>
          </cell>
          <cell r="F4725" t="str">
            <v>D (Ch)</v>
          </cell>
          <cell r="H4725" t="str">
            <v>Choice</v>
          </cell>
          <cell r="I4725">
            <v>0.3125</v>
          </cell>
          <cell r="J4725">
            <v>0.60416666666666663</v>
          </cell>
          <cell r="K4725">
            <v>6.6666666670000003</v>
          </cell>
          <cell r="L4725">
            <v>162.47</v>
          </cell>
          <cell r="O4725" t="str">
            <v>Y</v>
          </cell>
          <cell r="P4725" t="str">
            <v>N</v>
          </cell>
          <cell r="Q4725" t="str">
            <v>Vacancy</v>
          </cell>
          <cell r="S4725">
            <v>0.18</v>
          </cell>
        </row>
        <row r="4726">
          <cell r="D4726">
            <v>1208007463</v>
          </cell>
          <cell r="E4726" t="str">
            <v>BONNIE TWALA</v>
          </cell>
          <cell r="F4726" t="str">
            <v>D (Amb)</v>
          </cell>
          <cell r="G4726">
            <v>774241</v>
          </cell>
          <cell r="H4726" t="str">
            <v>Ambition</v>
          </cell>
          <cell r="I4726">
            <v>0.8125</v>
          </cell>
          <cell r="J4726">
            <v>0.33333333333333331</v>
          </cell>
          <cell r="K4726">
            <v>11.83333333</v>
          </cell>
          <cell r="L4726">
            <v>601.49</v>
          </cell>
          <cell r="O4726" t="str">
            <v>Y</v>
          </cell>
          <cell r="P4726" t="str">
            <v>N</v>
          </cell>
          <cell r="Q4726" t="str">
            <v>Extra Capacity</v>
          </cell>
          <cell r="S4726">
            <v>0.32</v>
          </cell>
        </row>
        <row r="4727">
          <cell r="D4727">
            <v>109001542</v>
          </cell>
          <cell r="E4727" t="str">
            <v>CARMEN MAURICIO</v>
          </cell>
          <cell r="F4727" t="str">
            <v>D (MD)</v>
          </cell>
          <cell r="G4727">
            <v>357583</v>
          </cell>
          <cell r="H4727" t="str">
            <v>Mayday</v>
          </cell>
          <cell r="I4727">
            <v>0.83333333333333337</v>
          </cell>
          <cell r="J4727">
            <v>0.33333333333333331</v>
          </cell>
          <cell r="K4727">
            <v>11</v>
          </cell>
          <cell r="L4727">
            <v>461.75</v>
          </cell>
          <cell r="O4727" t="str">
            <v>Y</v>
          </cell>
          <cell r="P4727" t="str">
            <v>N</v>
          </cell>
          <cell r="Q4727" t="str">
            <v>Extra Capacity</v>
          </cell>
          <cell r="S4727">
            <v>0.28999999999999998</v>
          </cell>
        </row>
        <row r="4728">
          <cell r="D4728">
            <v>1208004295</v>
          </cell>
          <cell r="E4728" t="str">
            <v>CHARLOTTE TAYLOR</v>
          </cell>
          <cell r="F4728" t="str">
            <v>D/5 (PS)</v>
          </cell>
          <cell r="H4728" t="str">
            <v>Pinnacle Staffing</v>
          </cell>
          <cell r="I4728">
            <v>0.88541666666666663</v>
          </cell>
          <cell r="J4728">
            <v>0.30208333333333331</v>
          </cell>
          <cell r="K4728">
            <v>9</v>
          </cell>
          <cell r="L4728">
            <v>198.78</v>
          </cell>
          <cell r="O4728" t="str">
            <v>Y</v>
          </cell>
          <cell r="P4728" t="str">
            <v>N</v>
          </cell>
          <cell r="Q4728" t="str">
            <v>Vacancy</v>
          </cell>
          <cell r="S4728">
            <v>0.24</v>
          </cell>
        </row>
        <row r="4729">
          <cell r="D4729">
            <v>1208004778</v>
          </cell>
          <cell r="E4729" t="str">
            <v>CHRIS STULAR</v>
          </cell>
          <cell r="F4729" t="str">
            <v>D General (Orio</v>
          </cell>
          <cell r="G4729" t="str">
            <v>Invsd Smt checked</v>
          </cell>
          <cell r="H4729" t="str">
            <v>Orion</v>
          </cell>
          <cell r="I4729">
            <v>0.33333333333333331</v>
          </cell>
          <cell r="J4729">
            <v>0.75</v>
          </cell>
          <cell r="K4729">
            <v>9.5</v>
          </cell>
          <cell r="L4729">
            <v>172.14</v>
          </cell>
          <cell r="O4729" t="str">
            <v>Y</v>
          </cell>
          <cell r="P4729" t="str">
            <v>N</v>
          </cell>
          <cell r="Q4729" t="str">
            <v>Backfill</v>
          </cell>
          <cell r="S4729">
            <v>0.25</v>
          </cell>
        </row>
        <row r="4730">
          <cell r="D4730">
            <v>1208005008</v>
          </cell>
          <cell r="E4730" t="str">
            <v>COLLEN SIBANDA</v>
          </cell>
          <cell r="F4730" t="str">
            <v>D (Ch)</v>
          </cell>
          <cell r="H4730" t="str">
            <v>Choice</v>
          </cell>
          <cell r="I4730">
            <v>0.3125</v>
          </cell>
          <cell r="J4730">
            <v>0.5625</v>
          </cell>
          <cell r="K4730">
            <v>5.6666666670000003</v>
          </cell>
          <cell r="L4730">
            <v>138.1</v>
          </cell>
          <cell r="O4730" t="str">
            <v>Y</v>
          </cell>
          <cell r="P4730" t="str">
            <v>N</v>
          </cell>
          <cell r="Q4730" t="str">
            <v>Annual Leave</v>
          </cell>
          <cell r="S4730">
            <v>0.15</v>
          </cell>
        </row>
        <row r="4731">
          <cell r="D4731">
            <v>1208005356</v>
          </cell>
          <cell r="E4731" t="str">
            <v>COLLEN SIBANDA</v>
          </cell>
          <cell r="F4731" t="str">
            <v>D (Ch)</v>
          </cell>
          <cell r="H4731" t="str">
            <v>Choice</v>
          </cell>
          <cell r="I4731">
            <v>0.5625</v>
          </cell>
          <cell r="J4731">
            <v>0.85416666666666663</v>
          </cell>
          <cell r="K4731">
            <v>6.6666666670000003</v>
          </cell>
          <cell r="L4731">
            <v>162.47</v>
          </cell>
          <cell r="O4731" t="str">
            <v>Y</v>
          </cell>
          <cell r="P4731" t="str">
            <v>N</v>
          </cell>
          <cell r="Q4731" t="str">
            <v>Annual Leave</v>
          </cell>
          <cell r="S4731">
            <v>0.18</v>
          </cell>
        </row>
        <row r="4732">
          <cell r="D4732">
            <v>1208005352</v>
          </cell>
          <cell r="E4732" t="str">
            <v>CYNTHIA DELMO</v>
          </cell>
          <cell r="F4732" t="str">
            <v>D (Ch)</v>
          </cell>
          <cell r="H4732" t="str">
            <v>Choice</v>
          </cell>
          <cell r="I4732">
            <v>0.5625</v>
          </cell>
          <cell r="J4732">
            <v>0.85416666666666663</v>
          </cell>
          <cell r="K4732">
            <v>6.6666666670000003</v>
          </cell>
          <cell r="L4732">
            <v>162.47</v>
          </cell>
          <cell r="O4732" t="str">
            <v>Y</v>
          </cell>
          <cell r="P4732" t="str">
            <v>N</v>
          </cell>
          <cell r="Q4732" t="str">
            <v>Transfer</v>
          </cell>
          <cell r="S4732">
            <v>0.18</v>
          </cell>
        </row>
        <row r="4733">
          <cell r="D4733">
            <v>1208007746</v>
          </cell>
          <cell r="E4733" t="str">
            <v>DEVIKA SAMAROO</v>
          </cell>
          <cell r="F4733" t="str">
            <v>D (Ch)</v>
          </cell>
          <cell r="H4733" t="str">
            <v>Choice</v>
          </cell>
          <cell r="I4733">
            <v>0.60416666666666663</v>
          </cell>
          <cell r="J4733">
            <v>0.85416666666666663</v>
          </cell>
          <cell r="K4733">
            <v>5.6666666670000003</v>
          </cell>
          <cell r="L4733">
            <v>138.1</v>
          </cell>
          <cell r="O4733" t="str">
            <v>Y</v>
          </cell>
          <cell r="P4733" t="str">
            <v>N</v>
          </cell>
          <cell r="Q4733" t="str">
            <v>Extra Capacity</v>
          </cell>
          <cell r="S4733">
            <v>0.15</v>
          </cell>
        </row>
        <row r="4734">
          <cell r="D4734">
            <v>109000773</v>
          </cell>
          <cell r="E4734" t="str">
            <v>DONALD YANZA</v>
          </cell>
          <cell r="F4734" t="str">
            <v>D (Ch)</v>
          </cell>
          <cell r="G4734">
            <v>17861</v>
          </cell>
          <cell r="H4734" t="str">
            <v>Choice</v>
          </cell>
          <cell r="I4734">
            <v>0.83333333333333337</v>
          </cell>
          <cell r="J4734">
            <v>0.33333333333333331</v>
          </cell>
          <cell r="K4734">
            <v>11.33333333</v>
          </cell>
          <cell r="L4734">
            <v>359.05</v>
          </cell>
          <cell r="M4734">
            <v>297.88</v>
          </cell>
          <cell r="O4734" t="str">
            <v>Y</v>
          </cell>
          <cell r="P4734" t="str">
            <v>N</v>
          </cell>
          <cell r="Q4734" t="str">
            <v>Emergency Leave</v>
          </cell>
          <cell r="S4734">
            <v>0.3</v>
          </cell>
        </row>
        <row r="4735">
          <cell r="D4735">
            <v>1208007484</v>
          </cell>
          <cell r="E4735" t="str">
            <v>EDMA ITALIA</v>
          </cell>
          <cell r="F4735" t="str">
            <v>D (Ch)</v>
          </cell>
          <cell r="G4735">
            <v>17850</v>
          </cell>
          <cell r="H4735" t="str">
            <v>Choice</v>
          </cell>
          <cell r="I4735">
            <v>0.8125</v>
          </cell>
          <cell r="J4735">
            <v>0.33333333333333331</v>
          </cell>
          <cell r="K4735">
            <v>11.83333333</v>
          </cell>
          <cell r="L4735">
            <v>374.89</v>
          </cell>
          <cell r="M4735">
            <v>365.95</v>
          </cell>
          <cell r="O4735" t="str">
            <v>Y</v>
          </cell>
          <cell r="P4735" t="str">
            <v>N</v>
          </cell>
          <cell r="Q4735" t="str">
            <v>Extra Capacity</v>
          </cell>
          <cell r="S4735">
            <v>0.32</v>
          </cell>
        </row>
        <row r="4736">
          <cell r="D4736">
            <v>1208007710</v>
          </cell>
          <cell r="E4736" t="str">
            <v>EMMANUEL SALAKO</v>
          </cell>
          <cell r="F4736" t="str">
            <v>D (MD)</v>
          </cell>
          <cell r="G4736">
            <v>359107</v>
          </cell>
          <cell r="H4736" t="str">
            <v>Mayday</v>
          </cell>
          <cell r="I4736">
            <v>0.3125</v>
          </cell>
          <cell r="J4736">
            <v>0.60416666666666663</v>
          </cell>
          <cell r="K4736">
            <v>6.6666666670000003</v>
          </cell>
          <cell r="L4736">
            <v>215.27</v>
          </cell>
          <cell r="O4736" t="str">
            <v>Y</v>
          </cell>
          <cell r="P4736" t="str">
            <v>N</v>
          </cell>
          <cell r="Q4736" t="str">
            <v>Extra Capacity</v>
          </cell>
          <cell r="S4736">
            <v>0.18</v>
          </cell>
        </row>
        <row r="4737">
          <cell r="D4737">
            <v>1208007744</v>
          </cell>
          <cell r="E4737" t="str">
            <v>EMMANUEL SALAKO</v>
          </cell>
          <cell r="F4737" t="str">
            <v>D (MD)</v>
          </cell>
          <cell r="G4737">
            <v>359107</v>
          </cell>
          <cell r="H4737" t="str">
            <v>Mayday</v>
          </cell>
          <cell r="I4737">
            <v>0.60416666666666663</v>
          </cell>
          <cell r="J4737">
            <v>0.85416666666666663</v>
          </cell>
          <cell r="K4737">
            <v>5.6666666670000003</v>
          </cell>
          <cell r="L4737">
            <v>182.98</v>
          </cell>
          <cell r="O4737" t="str">
            <v>Y</v>
          </cell>
          <cell r="P4737" t="str">
            <v>N</v>
          </cell>
          <cell r="Q4737" t="str">
            <v>Extra Capacity</v>
          </cell>
          <cell r="S4737">
            <v>0.15</v>
          </cell>
        </row>
        <row r="4738">
          <cell r="D4738">
            <v>1208007765</v>
          </cell>
          <cell r="E4738" t="str">
            <v>EUNICE ADEBANJO</v>
          </cell>
          <cell r="F4738" t="str">
            <v>D (Ch)</v>
          </cell>
          <cell r="G4738">
            <v>17956</v>
          </cell>
          <cell r="H4738" t="str">
            <v>Choice</v>
          </cell>
          <cell r="I4738">
            <v>0.83333333333333337</v>
          </cell>
          <cell r="J4738">
            <v>0.33333333333333331</v>
          </cell>
          <cell r="K4738">
            <v>11.33333333</v>
          </cell>
          <cell r="L4738">
            <v>359.05</v>
          </cell>
          <cell r="O4738" t="str">
            <v>Y</v>
          </cell>
          <cell r="P4738" t="str">
            <v>N</v>
          </cell>
          <cell r="Q4738" t="str">
            <v>Extra Capacity</v>
          </cell>
          <cell r="S4738">
            <v>0.3</v>
          </cell>
        </row>
        <row r="4739">
          <cell r="D4739">
            <v>1208008177</v>
          </cell>
          <cell r="E4739" t="str">
            <v>GEMMA CATIBOG</v>
          </cell>
          <cell r="F4739" t="str">
            <v>D (Ch)</v>
          </cell>
          <cell r="G4739">
            <v>17857</v>
          </cell>
          <cell r="H4739" t="str">
            <v>Choice</v>
          </cell>
          <cell r="I4739">
            <v>0.83333333333333337</v>
          </cell>
          <cell r="J4739">
            <v>0.33333333333333331</v>
          </cell>
          <cell r="K4739">
            <v>11.33333333</v>
          </cell>
          <cell r="L4739">
            <v>359.05</v>
          </cell>
          <cell r="O4739" t="str">
            <v>Y</v>
          </cell>
          <cell r="P4739" t="str">
            <v>N</v>
          </cell>
          <cell r="Q4739" t="str">
            <v>Short Term Sick</v>
          </cell>
          <cell r="S4739">
            <v>0.3</v>
          </cell>
        </row>
        <row r="4740">
          <cell r="D4740">
            <v>1208005011</v>
          </cell>
          <cell r="E4740" t="str">
            <v>GEORGE MALETE</v>
          </cell>
          <cell r="F4740" t="str">
            <v>A (Ch)</v>
          </cell>
          <cell r="H4740" t="str">
            <v>Choice</v>
          </cell>
          <cell r="I4740">
            <v>0.3125</v>
          </cell>
          <cell r="J4740">
            <v>0.5625</v>
          </cell>
          <cell r="K4740">
            <v>5.6666666670000003</v>
          </cell>
          <cell r="L4740">
            <v>62.84</v>
          </cell>
          <cell r="O4740" t="str">
            <v>Y</v>
          </cell>
          <cell r="P4740" t="str">
            <v>N</v>
          </cell>
          <cell r="Q4740" t="str">
            <v>Annual Leave</v>
          </cell>
          <cell r="S4740">
            <v>0.15</v>
          </cell>
        </row>
        <row r="4741">
          <cell r="D4741">
            <v>1208005359</v>
          </cell>
          <cell r="E4741" t="str">
            <v>GEORGE MALETE</v>
          </cell>
          <cell r="F4741" t="str">
            <v>A (Ch)</v>
          </cell>
          <cell r="H4741" t="str">
            <v>Choice</v>
          </cell>
          <cell r="I4741">
            <v>0.5625</v>
          </cell>
          <cell r="J4741">
            <v>0.85416666666666663</v>
          </cell>
          <cell r="K4741">
            <v>6.6666666670000003</v>
          </cell>
          <cell r="L4741">
            <v>73.930000000000007</v>
          </cell>
          <cell r="O4741" t="str">
            <v>Y</v>
          </cell>
          <cell r="P4741" t="str">
            <v>N</v>
          </cell>
          <cell r="Q4741" t="str">
            <v>Under Established</v>
          </cell>
          <cell r="S4741">
            <v>0.18</v>
          </cell>
        </row>
        <row r="4742">
          <cell r="D4742">
            <v>109001116</v>
          </cell>
          <cell r="E4742" t="str">
            <v>GLENDA RONA</v>
          </cell>
          <cell r="F4742" t="str">
            <v>D (Ch)</v>
          </cell>
          <cell r="G4742">
            <v>17925</v>
          </cell>
          <cell r="H4742" t="str">
            <v>Choice</v>
          </cell>
          <cell r="I4742">
            <v>0.82291666666666663</v>
          </cell>
          <cell r="J4742">
            <v>0.33333333333333331</v>
          </cell>
          <cell r="K4742">
            <v>11.58333333</v>
          </cell>
          <cell r="L4742">
            <v>366.97</v>
          </cell>
          <cell r="O4742" t="str">
            <v>Y</v>
          </cell>
          <cell r="P4742" t="str">
            <v>N</v>
          </cell>
          <cell r="Q4742" t="str">
            <v>Extra Capacity</v>
          </cell>
          <cell r="S4742">
            <v>0.31</v>
          </cell>
        </row>
        <row r="4743">
          <cell r="D4743">
            <v>109000010</v>
          </cell>
          <cell r="E4743" t="str">
            <v>GRACE MALUPE</v>
          </cell>
          <cell r="F4743" t="str">
            <v>A (Ch)</v>
          </cell>
          <cell r="H4743" t="str">
            <v>Choice</v>
          </cell>
          <cell r="I4743">
            <v>0.3125</v>
          </cell>
          <cell r="J4743">
            <v>0.5625</v>
          </cell>
          <cell r="K4743">
            <v>5.6666666670000003</v>
          </cell>
          <cell r="L4743">
            <v>62.84</v>
          </cell>
          <cell r="O4743" t="str">
            <v>Y</v>
          </cell>
          <cell r="P4743" t="str">
            <v>N</v>
          </cell>
          <cell r="Q4743" t="str">
            <v>Annual Leave</v>
          </cell>
          <cell r="S4743">
            <v>0.15</v>
          </cell>
        </row>
        <row r="4744">
          <cell r="D4744">
            <v>109001188</v>
          </cell>
          <cell r="E4744" t="str">
            <v>HILDA SHANGE</v>
          </cell>
          <cell r="F4744" t="str">
            <v>D (Ch)</v>
          </cell>
          <cell r="G4744">
            <v>17908</v>
          </cell>
          <cell r="H4744" t="str">
            <v>Choice</v>
          </cell>
          <cell r="I4744">
            <v>0.83333333333333337</v>
          </cell>
          <cell r="J4744">
            <v>0.33333333333333331</v>
          </cell>
          <cell r="K4744">
            <v>11.33333333</v>
          </cell>
          <cell r="L4744">
            <v>359.05</v>
          </cell>
          <cell r="O4744" t="str">
            <v>Y</v>
          </cell>
          <cell r="P4744" t="str">
            <v>N</v>
          </cell>
          <cell r="Q4744" t="str">
            <v>Extra Capacity</v>
          </cell>
          <cell r="S4744">
            <v>0.3</v>
          </cell>
        </row>
        <row r="4745">
          <cell r="D4745">
            <v>109001044</v>
          </cell>
          <cell r="E4745" t="str">
            <v>JAKE BROOKES</v>
          </cell>
          <cell r="F4745" t="str">
            <v>D General (Orio</v>
          </cell>
          <cell r="G4745" t="str">
            <v>Invsd Smt checked</v>
          </cell>
          <cell r="H4745" t="str">
            <v>Orion</v>
          </cell>
          <cell r="I4745">
            <v>0.33333333333333331</v>
          </cell>
          <cell r="J4745">
            <v>0.75</v>
          </cell>
          <cell r="K4745">
            <v>9.6666666669999994</v>
          </cell>
          <cell r="L4745">
            <v>175.16</v>
          </cell>
          <cell r="O4745" t="str">
            <v>Y</v>
          </cell>
          <cell r="P4745" t="str">
            <v>N</v>
          </cell>
          <cell r="Q4745" t="str">
            <v>Vacancy</v>
          </cell>
          <cell r="S4745">
            <v>0.26</v>
          </cell>
        </row>
        <row r="4746">
          <cell r="D4746">
            <v>1208007441</v>
          </cell>
          <cell r="E4746" t="str">
            <v>JAMES MCCLEMENTS</v>
          </cell>
          <cell r="F4746" t="str">
            <v>D (MD)</v>
          </cell>
          <cell r="G4746">
            <v>359000</v>
          </cell>
          <cell r="H4746" t="str">
            <v>Mayday</v>
          </cell>
          <cell r="I4746">
            <v>0.3125</v>
          </cell>
          <cell r="J4746">
            <v>0.54166666666666663</v>
          </cell>
          <cell r="K4746">
            <v>5.5</v>
          </cell>
          <cell r="L4746">
            <v>177.59</v>
          </cell>
          <cell r="O4746" t="str">
            <v>Y</v>
          </cell>
          <cell r="P4746" t="str">
            <v>N</v>
          </cell>
          <cell r="Q4746" t="str">
            <v>Extra Capacity</v>
          </cell>
          <cell r="S4746">
            <v>0.15</v>
          </cell>
        </row>
        <row r="4747">
          <cell r="D4747">
            <v>1208007442</v>
          </cell>
          <cell r="E4747" t="str">
            <v>JAMES MCCLEMENTS</v>
          </cell>
          <cell r="F4747" t="str">
            <v>D (MD)</v>
          </cell>
          <cell r="G4747">
            <v>359000</v>
          </cell>
          <cell r="H4747" t="str">
            <v>Mayday</v>
          </cell>
          <cell r="I4747">
            <v>0.54166666666666663</v>
          </cell>
          <cell r="J4747">
            <v>0.83333333333333337</v>
          </cell>
          <cell r="K4747">
            <v>6.6666666670000003</v>
          </cell>
          <cell r="L4747">
            <v>215.27</v>
          </cell>
          <cell r="O4747" t="str">
            <v>Y</v>
          </cell>
          <cell r="P4747" t="str">
            <v>N</v>
          </cell>
          <cell r="Q4747" t="str">
            <v>Extra Capacity</v>
          </cell>
          <cell r="S4747">
            <v>0.18</v>
          </cell>
        </row>
        <row r="4748">
          <cell r="D4748">
            <v>1208007482</v>
          </cell>
          <cell r="E4748" t="str">
            <v>JASMINE ESGUERRA</v>
          </cell>
          <cell r="F4748" t="str">
            <v>D (Ch)</v>
          </cell>
          <cell r="G4748">
            <v>17864</v>
          </cell>
          <cell r="H4748" t="str">
            <v>Choice</v>
          </cell>
          <cell r="I4748">
            <v>0.8125</v>
          </cell>
          <cell r="J4748">
            <v>0.33333333333333331</v>
          </cell>
          <cell r="K4748">
            <v>11.83333333</v>
          </cell>
          <cell r="L4748">
            <v>374.89</v>
          </cell>
          <cell r="O4748" t="str">
            <v>Y</v>
          </cell>
          <cell r="P4748" t="str">
            <v>N</v>
          </cell>
          <cell r="Q4748" t="str">
            <v>Extra Capacity</v>
          </cell>
          <cell r="S4748">
            <v>0.32</v>
          </cell>
        </row>
        <row r="4749">
          <cell r="D4749">
            <v>1208007485</v>
          </cell>
          <cell r="E4749" t="str">
            <v>JESSICA BELLAMY</v>
          </cell>
          <cell r="F4749" t="str">
            <v>D (MD)</v>
          </cell>
          <cell r="G4749">
            <v>359867</v>
          </cell>
          <cell r="H4749" t="str">
            <v>Mayday</v>
          </cell>
          <cell r="I4749">
            <v>0.8125</v>
          </cell>
          <cell r="J4749">
            <v>0.33333333333333331</v>
          </cell>
          <cell r="K4749">
            <v>11.83333333</v>
          </cell>
          <cell r="L4749">
            <v>496.73</v>
          </cell>
          <cell r="O4749" t="str">
            <v>Y</v>
          </cell>
          <cell r="P4749" t="str">
            <v>N</v>
          </cell>
          <cell r="Q4749" t="str">
            <v>Extra Capacity</v>
          </cell>
          <cell r="S4749">
            <v>0.32</v>
          </cell>
        </row>
        <row r="4750">
          <cell r="D4750">
            <v>1208007766</v>
          </cell>
          <cell r="E4750" t="str">
            <v>JOELIS PASCUA</v>
          </cell>
          <cell r="F4750" t="str">
            <v>D (Ch)</v>
          </cell>
          <cell r="G4750">
            <v>17856</v>
          </cell>
          <cell r="H4750" t="str">
            <v>Choice</v>
          </cell>
          <cell r="I4750">
            <v>0.83333333333333337</v>
          </cell>
          <cell r="J4750">
            <v>0.33333333333333331</v>
          </cell>
          <cell r="K4750">
            <v>11.33333333</v>
          </cell>
          <cell r="L4750">
            <v>359.05</v>
          </cell>
          <cell r="M4750">
            <v>297.88</v>
          </cell>
          <cell r="O4750" t="str">
            <v>Y</v>
          </cell>
          <cell r="P4750" t="str">
            <v>N</v>
          </cell>
          <cell r="Q4750" t="str">
            <v>Extra Capacity</v>
          </cell>
          <cell r="S4750">
            <v>0.3</v>
          </cell>
        </row>
        <row r="4751">
          <cell r="D4751">
            <v>1208007767</v>
          </cell>
          <cell r="E4751" t="str">
            <v>JOY MABITLE</v>
          </cell>
          <cell r="F4751" t="str">
            <v>D (MD)</v>
          </cell>
          <cell r="G4751">
            <v>384347</v>
          </cell>
          <cell r="H4751" t="str">
            <v>Mayday</v>
          </cell>
          <cell r="I4751">
            <v>0.83333333333333337</v>
          </cell>
          <cell r="J4751">
            <v>0.33333333333333331</v>
          </cell>
          <cell r="K4751">
            <v>11.33333333</v>
          </cell>
          <cell r="L4751">
            <v>475.74</v>
          </cell>
          <cell r="M4751">
            <v>370.19</v>
          </cell>
          <cell r="O4751" t="str">
            <v>Y</v>
          </cell>
          <cell r="P4751" t="str">
            <v>N</v>
          </cell>
          <cell r="Q4751" t="str">
            <v>Extra Capacity</v>
          </cell>
          <cell r="S4751">
            <v>0.3</v>
          </cell>
        </row>
        <row r="4752">
          <cell r="D4752">
            <v>109001072</v>
          </cell>
          <cell r="E4752" t="str">
            <v>KATE GUTHRIE</v>
          </cell>
          <cell r="F4752" t="str">
            <v>5 General (Adva</v>
          </cell>
          <cell r="G4752">
            <v>1418524</v>
          </cell>
          <cell r="H4752" t="str">
            <v>Advantage</v>
          </cell>
          <cell r="I4752">
            <v>0.83333333333333337</v>
          </cell>
          <cell r="J4752">
            <v>0.33333333333333331</v>
          </cell>
          <cell r="K4752">
            <v>11.33333333</v>
          </cell>
          <cell r="L4752">
            <v>236.32</v>
          </cell>
          <cell r="O4752" t="str">
            <v>Y</v>
          </cell>
          <cell r="P4752" t="str">
            <v>N</v>
          </cell>
          <cell r="Q4752" t="str">
            <v>Short Term Sick</v>
          </cell>
          <cell r="S4752">
            <v>0.3</v>
          </cell>
        </row>
        <row r="4753">
          <cell r="D4753">
            <v>109001189</v>
          </cell>
          <cell r="E4753" t="str">
            <v>KRISHENDAI DOOKIE</v>
          </cell>
          <cell r="F4753" t="str">
            <v>D (Amb)</v>
          </cell>
          <cell r="G4753">
            <v>774235</v>
          </cell>
          <cell r="H4753" t="str">
            <v>Ambition</v>
          </cell>
          <cell r="I4753">
            <v>0.83333333333333337</v>
          </cell>
          <cell r="J4753">
            <v>0.33333333333333331</v>
          </cell>
          <cell r="K4753">
            <v>11.33333333</v>
          </cell>
          <cell r="L4753">
            <v>576.07000000000005</v>
          </cell>
          <cell r="O4753" t="str">
            <v>Y</v>
          </cell>
          <cell r="P4753" t="str">
            <v>N</v>
          </cell>
          <cell r="Q4753" t="str">
            <v>Extra Capacity</v>
          </cell>
          <cell r="S4753">
            <v>0.3</v>
          </cell>
        </row>
        <row r="4754">
          <cell r="D4754">
            <v>109001057</v>
          </cell>
          <cell r="E4754" t="str">
            <v xml:space="preserve">LAVETA  NUCUM </v>
          </cell>
          <cell r="F4754" t="str">
            <v>D (Amb)</v>
          </cell>
          <cell r="G4754">
            <v>776994</v>
          </cell>
          <cell r="H4754" t="str">
            <v>Ambition</v>
          </cell>
          <cell r="I4754">
            <v>0.8125</v>
          </cell>
          <cell r="J4754">
            <v>0.33333333333333331</v>
          </cell>
          <cell r="K4754">
            <v>11.83333333</v>
          </cell>
          <cell r="L4754">
            <v>601.49</v>
          </cell>
          <cell r="O4754" t="str">
            <v>Y</v>
          </cell>
          <cell r="P4754" t="str">
            <v>N</v>
          </cell>
          <cell r="Q4754" t="str">
            <v>Extra Capacity</v>
          </cell>
          <cell r="S4754">
            <v>0.32</v>
          </cell>
        </row>
        <row r="4755">
          <cell r="D4755">
            <v>1208006493</v>
          </cell>
          <cell r="E4755" t="str">
            <v>LETECIA MENIANO</v>
          </cell>
          <cell r="F4755" t="str">
            <v>D (MD)</v>
          </cell>
          <cell r="G4755">
            <v>359002</v>
          </cell>
          <cell r="H4755" t="str">
            <v>Mayday</v>
          </cell>
          <cell r="I4755">
            <v>0.84375</v>
          </cell>
          <cell r="J4755">
            <v>0.3125</v>
          </cell>
          <cell r="K4755">
            <v>10.25</v>
          </cell>
          <cell r="L4755">
            <v>430.26</v>
          </cell>
          <cell r="O4755" t="str">
            <v>Y</v>
          </cell>
          <cell r="P4755" t="str">
            <v>N</v>
          </cell>
          <cell r="Q4755" t="str">
            <v>Vacancy</v>
          </cell>
          <cell r="S4755">
            <v>0.27</v>
          </cell>
        </row>
        <row r="4756">
          <cell r="D4756">
            <v>1208007476</v>
          </cell>
          <cell r="E4756" t="str">
            <v>LILLIBETH CASTILO</v>
          </cell>
          <cell r="F4756" t="str">
            <v>D (Amb)</v>
          </cell>
          <cell r="G4756">
            <v>774247</v>
          </cell>
          <cell r="H4756" t="str">
            <v>Ambition</v>
          </cell>
          <cell r="I4756">
            <v>0.3125</v>
          </cell>
          <cell r="J4756">
            <v>0.83333333333333337</v>
          </cell>
          <cell r="K4756">
            <v>11.83333333</v>
          </cell>
          <cell r="L4756">
            <v>462.68</v>
          </cell>
          <cell r="O4756" t="str">
            <v>Y</v>
          </cell>
          <cell r="P4756" t="str">
            <v>N</v>
          </cell>
          <cell r="Q4756" t="str">
            <v>Extra Capacity</v>
          </cell>
          <cell r="S4756">
            <v>0.32</v>
          </cell>
        </row>
        <row r="4757">
          <cell r="D4757">
            <v>109000004</v>
          </cell>
          <cell r="E4757" t="str">
            <v>MARGARET MUDEKUNYE</v>
          </cell>
          <cell r="F4757" t="str">
            <v>D (Ch)</v>
          </cell>
          <cell r="H4757" t="str">
            <v>Choice</v>
          </cell>
          <cell r="I4757">
            <v>0.83333333333333337</v>
          </cell>
          <cell r="J4757">
            <v>0.33333333333333331</v>
          </cell>
          <cell r="K4757">
            <v>11.33333333</v>
          </cell>
          <cell r="L4757">
            <v>359.05</v>
          </cell>
          <cell r="O4757" t="str">
            <v>Y</v>
          </cell>
          <cell r="P4757" t="str">
            <v>N</v>
          </cell>
          <cell r="Q4757" t="str">
            <v>Vacancy</v>
          </cell>
          <cell r="S4757">
            <v>0.3</v>
          </cell>
        </row>
        <row r="4758">
          <cell r="D4758">
            <v>1208007769</v>
          </cell>
          <cell r="E4758" t="str">
            <v>MERCY AFELE</v>
          </cell>
          <cell r="F4758" t="str">
            <v>D (Amb)</v>
          </cell>
          <cell r="G4758">
            <v>774181</v>
          </cell>
          <cell r="H4758" t="str">
            <v>Ambition</v>
          </cell>
          <cell r="I4758">
            <v>0.83333333333333337</v>
          </cell>
          <cell r="J4758">
            <v>0.33333333333333331</v>
          </cell>
          <cell r="K4758">
            <v>11.33333333</v>
          </cell>
          <cell r="L4758">
            <v>576.07000000000005</v>
          </cell>
          <cell r="O4758" t="str">
            <v>Y</v>
          </cell>
          <cell r="P4758" t="str">
            <v>N</v>
          </cell>
          <cell r="Q4758" t="str">
            <v>Extra Capacity</v>
          </cell>
          <cell r="S4758">
            <v>0.3</v>
          </cell>
        </row>
        <row r="4759">
          <cell r="D4759">
            <v>1208007933</v>
          </cell>
          <cell r="E4759" t="str">
            <v>MERCY SIBANDA</v>
          </cell>
          <cell r="F4759" t="str">
            <v>A (Ch)</v>
          </cell>
          <cell r="G4759">
            <v>17853</v>
          </cell>
          <cell r="H4759" t="str">
            <v>Choice</v>
          </cell>
          <cell r="I4759">
            <v>0.3125</v>
          </cell>
          <cell r="J4759">
            <v>0.54166666666666663</v>
          </cell>
          <cell r="K4759">
            <v>5.5</v>
          </cell>
          <cell r="L4759">
            <v>60.99</v>
          </cell>
          <cell r="O4759" t="str">
            <v>Y</v>
          </cell>
          <cell r="P4759" t="str">
            <v>N</v>
          </cell>
          <cell r="Q4759" t="str">
            <v>Acuity</v>
          </cell>
          <cell r="S4759">
            <v>0.15</v>
          </cell>
        </row>
        <row r="4760">
          <cell r="D4760">
            <v>1208007935</v>
          </cell>
          <cell r="E4760" t="str">
            <v>MERCY SIBANDA</v>
          </cell>
          <cell r="F4760" t="str">
            <v>A (Ch)</v>
          </cell>
          <cell r="G4760">
            <v>17853</v>
          </cell>
          <cell r="H4760" t="str">
            <v>Choice</v>
          </cell>
          <cell r="I4760">
            <v>0.54166666666666663</v>
          </cell>
          <cell r="J4760">
            <v>0.83333333333333337</v>
          </cell>
          <cell r="K4760">
            <v>6.6666666670000003</v>
          </cell>
          <cell r="L4760">
            <v>73.930000000000007</v>
          </cell>
          <cell r="O4760" t="str">
            <v>Y</v>
          </cell>
          <cell r="P4760" t="str">
            <v>N</v>
          </cell>
          <cell r="Q4760" t="str">
            <v>Acuity</v>
          </cell>
          <cell r="S4760">
            <v>0.18</v>
          </cell>
        </row>
        <row r="4761">
          <cell r="D4761">
            <v>1208005357</v>
          </cell>
          <cell r="E4761" t="str">
            <v>PEGGY CHIRIKURE</v>
          </cell>
          <cell r="F4761" t="str">
            <v>D (Ch)</v>
          </cell>
          <cell r="H4761" t="str">
            <v>Choice</v>
          </cell>
          <cell r="I4761">
            <v>0.5625</v>
          </cell>
          <cell r="J4761">
            <v>0.85416666666666663</v>
          </cell>
          <cell r="K4761">
            <v>6.6666666670000003</v>
          </cell>
          <cell r="L4761">
            <v>162.47</v>
          </cell>
          <cell r="O4761" t="str">
            <v>Y</v>
          </cell>
          <cell r="P4761" t="str">
            <v>N</v>
          </cell>
          <cell r="Q4761" t="str">
            <v>Annual Leave</v>
          </cell>
          <cell r="S4761">
            <v>0.18</v>
          </cell>
        </row>
        <row r="4762">
          <cell r="D4762">
            <v>109001094</v>
          </cell>
          <cell r="E4762" t="str">
            <v>PRUDENCE MAJOZI</v>
          </cell>
          <cell r="F4762" t="str">
            <v>D (MD)</v>
          </cell>
          <cell r="H4762" t="str">
            <v>Mayday</v>
          </cell>
          <cell r="I4762">
            <v>0.625</v>
          </cell>
          <cell r="J4762">
            <v>0.88541666666666663</v>
          </cell>
          <cell r="K4762">
            <v>5.9166666670000003</v>
          </cell>
          <cell r="L4762">
            <v>191.05</v>
          </cell>
          <cell r="O4762" t="str">
            <v>Y</v>
          </cell>
          <cell r="P4762" t="str">
            <v>N</v>
          </cell>
          <cell r="Q4762" t="str">
            <v>Specials</v>
          </cell>
          <cell r="S4762">
            <v>0.16</v>
          </cell>
        </row>
        <row r="4763">
          <cell r="D4763">
            <v>109001313</v>
          </cell>
          <cell r="E4763" t="str">
            <v>RAY THWALA</v>
          </cell>
          <cell r="F4763" t="str">
            <v>A (Ch)</v>
          </cell>
          <cell r="H4763" t="str">
            <v>Choice</v>
          </cell>
          <cell r="I4763">
            <v>0.83333333333333337</v>
          </cell>
          <cell r="J4763">
            <v>0.33333333333333331</v>
          </cell>
          <cell r="K4763">
            <v>11.33333333</v>
          </cell>
          <cell r="L4763">
            <v>167.58</v>
          </cell>
          <cell r="O4763" t="str">
            <v>Y</v>
          </cell>
          <cell r="P4763" t="str">
            <v>N</v>
          </cell>
          <cell r="Q4763" t="str">
            <v>Extra Capacity</v>
          </cell>
          <cell r="S4763">
            <v>0.3</v>
          </cell>
        </row>
        <row r="4764">
          <cell r="D4764">
            <v>1208005007</v>
          </cell>
          <cell r="E4764" t="str">
            <v>RICCA PARADA</v>
          </cell>
          <cell r="F4764" t="str">
            <v>D (Ch)</v>
          </cell>
          <cell r="G4764">
            <v>17849</v>
          </cell>
          <cell r="H4764" t="str">
            <v>Choice</v>
          </cell>
          <cell r="I4764">
            <v>0.3125</v>
          </cell>
          <cell r="J4764">
            <v>0.5625</v>
          </cell>
          <cell r="K4764">
            <v>5.6666666670000003</v>
          </cell>
          <cell r="L4764">
            <v>138.1</v>
          </cell>
          <cell r="M4764">
            <v>158.41</v>
          </cell>
          <cell r="O4764" t="str">
            <v>Y</v>
          </cell>
          <cell r="P4764" t="str">
            <v>N</v>
          </cell>
          <cell r="Q4764" t="str">
            <v>Annual Leave</v>
          </cell>
          <cell r="S4764">
            <v>0.15</v>
          </cell>
        </row>
        <row r="4765">
          <cell r="D4765">
            <v>109001117</v>
          </cell>
          <cell r="E4765" t="str">
            <v>RODA RAMERIZ</v>
          </cell>
          <cell r="F4765" t="str">
            <v>D (Ch)</v>
          </cell>
          <cell r="G4765">
            <v>17848</v>
          </cell>
          <cell r="H4765" t="str">
            <v>Choice</v>
          </cell>
          <cell r="I4765">
            <v>0.82291666666666663</v>
          </cell>
          <cell r="J4765">
            <v>0.33333333333333331</v>
          </cell>
          <cell r="K4765">
            <v>11.58333333</v>
          </cell>
          <cell r="L4765">
            <v>366.97</v>
          </cell>
          <cell r="O4765" t="str">
            <v>Y</v>
          </cell>
          <cell r="P4765" t="str">
            <v>N</v>
          </cell>
          <cell r="Q4765" t="str">
            <v>Extra Capacity</v>
          </cell>
          <cell r="S4765">
            <v>0.31</v>
          </cell>
        </row>
        <row r="4766">
          <cell r="D4766">
            <v>1208007936</v>
          </cell>
          <cell r="E4766" t="str">
            <v>SAM KELEM</v>
          </cell>
          <cell r="F4766" t="str">
            <v>D (Ch)</v>
          </cell>
          <cell r="G4766">
            <v>17853</v>
          </cell>
          <cell r="H4766" t="str">
            <v>Choice</v>
          </cell>
          <cell r="I4766">
            <v>0.83333333333333337</v>
          </cell>
          <cell r="J4766">
            <v>0.33333333333333331</v>
          </cell>
          <cell r="K4766">
            <v>11.33333333</v>
          </cell>
          <cell r="L4766">
            <v>359.05</v>
          </cell>
          <cell r="O4766" t="str">
            <v>Y</v>
          </cell>
          <cell r="P4766" t="str">
            <v>N</v>
          </cell>
          <cell r="Q4766" t="str">
            <v>Acuity</v>
          </cell>
          <cell r="S4766">
            <v>0.3</v>
          </cell>
        </row>
        <row r="4767">
          <cell r="D4767">
            <v>109001533</v>
          </cell>
          <cell r="E4767" t="str">
            <v>SARAH MAKOTORE</v>
          </cell>
          <cell r="F4767" t="str">
            <v>D (Ch)</v>
          </cell>
          <cell r="G4767">
            <v>17868</v>
          </cell>
          <cell r="H4767" t="str">
            <v>Choice</v>
          </cell>
          <cell r="I4767">
            <v>0.88541666666666663</v>
          </cell>
          <cell r="J4767">
            <v>0.3125</v>
          </cell>
          <cell r="K4767">
            <v>9.25</v>
          </cell>
          <cell r="L4767">
            <v>293.05</v>
          </cell>
          <cell r="M4767">
            <v>326.52</v>
          </cell>
          <cell r="O4767" t="str">
            <v>Y</v>
          </cell>
          <cell r="P4767" t="str">
            <v>N</v>
          </cell>
          <cell r="Q4767" t="str">
            <v>Specials</v>
          </cell>
          <cell r="S4767">
            <v>0.25</v>
          </cell>
        </row>
        <row r="4768">
          <cell r="D4768">
            <v>1208007973</v>
          </cell>
          <cell r="E4768" t="str">
            <v>SHEPHERD CHIWANZA</v>
          </cell>
          <cell r="F4768" t="str">
            <v>A (Ch)</v>
          </cell>
          <cell r="H4768" t="str">
            <v>Choice</v>
          </cell>
          <cell r="I4768">
            <v>0.54166666666666663</v>
          </cell>
          <cell r="J4768">
            <v>0.83333333333333337</v>
          </cell>
          <cell r="K4768">
            <v>6.6666666670000003</v>
          </cell>
          <cell r="L4768">
            <v>73.930000000000007</v>
          </cell>
          <cell r="O4768" t="str">
            <v>Y</v>
          </cell>
          <cell r="P4768" t="str">
            <v>N</v>
          </cell>
          <cell r="Q4768" t="str">
            <v>Acuity</v>
          </cell>
          <cell r="S4768">
            <v>0.18</v>
          </cell>
        </row>
        <row r="4769">
          <cell r="D4769">
            <v>1208007477</v>
          </cell>
          <cell r="E4769" t="str">
            <v>SIPHIOISIWE NYONI</v>
          </cell>
          <cell r="F4769" t="str">
            <v>D (Amb)</v>
          </cell>
          <cell r="G4769">
            <v>774244</v>
          </cell>
          <cell r="H4769" t="str">
            <v>Ambition</v>
          </cell>
          <cell r="I4769">
            <v>0.3125</v>
          </cell>
          <cell r="J4769">
            <v>0.83333333333333337</v>
          </cell>
          <cell r="K4769">
            <v>11.83333333</v>
          </cell>
          <cell r="L4769">
            <v>462.68</v>
          </cell>
          <cell r="O4769" t="str">
            <v>Y</v>
          </cell>
          <cell r="P4769" t="str">
            <v>N</v>
          </cell>
          <cell r="Q4769" t="str">
            <v>Extra Capacity</v>
          </cell>
          <cell r="S4769">
            <v>0.32</v>
          </cell>
        </row>
        <row r="4770">
          <cell r="D4770">
            <v>1208006442</v>
          </cell>
          <cell r="E4770" t="str">
            <v>TAMBU JENA</v>
          </cell>
          <cell r="F4770" t="str">
            <v>D (Ch)</v>
          </cell>
          <cell r="H4770" t="str">
            <v>Choice</v>
          </cell>
          <cell r="I4770">
            <v>0.3125</v>
          </cell>
          <cell r="J4770">
            <v>0.85416666666666663</v>
          </cell>
          <cell r="K4770">
            <v>12.33333333</v>
          </cell>
          <cell r="L4770">
            <v>300.56</v>
          </cell>
          <cell r="O4770" t="str">
            <v>Y</v>
          </cell>
          <cell r="P4770" t="str">
            <v>N</v>
          </cell>
          <cell r="Q4770" t="str">
            <v>Vacancy</v>
          </cell>
          <cell r="S4770">
            <v>0.33</v>
          </cell>
        </row>
        <row r="4771">
          <cell r="D4771">
            <v>109001337</v>
          </cell>
          <cell r="E4771" t="str">
            <v>TONDERA MAKAZA</v>
          </cell>
          <cell r="F4771" t="str">
            <v>A (Ch)</v>
          </cell>
          <cell r="G4771">
            <v>17876</v>
          </cell>
          <cell r="H4771" t="str">
            <v>Choice</v>
          </cell>
          <cell r="I4771">
            <v>0.83333333333333337</v>
          </cell>
          <cell r="J4771">
            <v>0.33333333333333331</v>
          </cell>
          <cell r="K4771">
            <v>11.33333333</v>
          </cell>
          <cell r="L4771">
            <v>167.58</v>
          </cell>
          <cell r="M4771">
            <v>160.16</v>
          </cell>
          <cell r="O4771" t="str">
            <v>Y</v>
          </cell>
          <cell r="P4771" t="str">
            <v>N</v>
          </cell>
          <cell r="Q4771" t="str">
            <v>Extra Capacity</v>
          </cell>
          <cell r="S4771">
            <v>0.3</v>
          </cell>
        </row>
        <row r="4772">
          <cell r="D4772">
            <v>1208005188</v>
          </cell>
          <cell r="E4772" t="str">
            <v>ALAN CURTIS</v>
          </cell>
          <cell r="F4772" t="str">
            <v>D (MD)</v>
          </cell>
          <cell r="G4772">
            <v>359151</v>
          </cell>
          <cell r="H4772" t="str">
            <v>Mayday</v>
          </cell>
          <cell r="I4772">
            <v>0.3125</v>
          </cell>
          <cell r="J4772">
            <v>0.83333333333333337</v>
          </cell>
          <cell r="K4772">
            <v>11.83333333</v>
          </cell>
          <cell r="L4772">
            <v>382.1</v>
          </cell>
          <cell r="O4772" t="str">
            <v>Y</v>
          </cell>
          <cell r="P4772" t="str">
            <v>N</v>
          </cell>
          <cell r="Q4772" t="str">
            <v>Extra Capacity</v>
          </cell>
          <cell r="S4772">
            <v>0.32</v>
          </cell>
        </row>
        <row r="4773">
          <cell r="D4773">
            <v>1208006312</v>
          </cell>
          <cell r="E4773" t="str">
            <v>BERNADETTE SHINYA-NDUNUWANI</v>
          </cell>
          <cell r="F4773" t="str">
            <v>D (MD)</v>
          </cell>
          <cell r="G4773">
            <v>357847</v>
          </cell>
          <cell r="H4773" t="str">
            <v>Mayday</v>
          </cell>
          <cell r="I4773">
            <v>0.3125</v>
          </cell>
          <cell r="J4773">
            <v>0.54166666666666663</v>
          </cell>
          <cell r="K4773">
            <v>5.5</v>
          </cell>
          <cell r="L4773">
            <v>177.59</v>
          </cell>
          <cell r="O4773" t="str">
            <v>Y</v>
          </cell>
          <cell r="P4773" t="str">
            <v>N</v>
          </cell>
          <cell r="Q4773" t="str">
            <v>Vacancy</v>
          </cell>
          <cell r="S4773">
            <v>0.15</v>
          </cell>
        </row>
        <row r="4774">
          <cell r="D4774">
            <v>1208007195</v>
          </cell>
          <cell r="E4774" t="str">
            <v>BERNADETTE SHINYA-NDUNUWANI</v>
          </cell>
          <cell r="F4774" t="str">
            <v>D (MD)</v>
          </cell>
          <cell r="G4774">
            <v>357847</v>
          </cell>
          <cell r="H4774" t="str">
            <v>Mayday</v>
          </cell>
          <cell r="I4774">
            <v>0.625</v>
          </cell>
          <cell r="J4774">
            <v>0.85416666666666663</v>
          </cell>
          <cell r="K4774">
            <v>5.5</v>
          </cell>
          <cell r="L4774">
            <v>177.59</v>
          </cell>
          <cell r="O4774" t="str">
            <v>Y</v>
          </cell>
          <cell r="P4774" t="str">
            <v>N</v>
          </cell>
          <cell r="Q4774" t="str">
            <v>Vacancy</v>
          </cell>
          <cell r="S4774">
            <v>0.15</v>
          </cell>
        </row>
        <row r="4775">
          <cell r="D4775">
            <v>1208007747</v>
          </cell>
          <cell r="E4775" t="str">
            <v>BONITA BUTLER</v>
          </cell>
          <cell r="F4775" t="str">
            <v>D (MD)</v>
          </cell>
          <cell r="G4775">
            <v>357816</v>
          </cell>
          <cell r="H4775" t="str">
            <v>Mayday</v>
          </cell>
          <cell r="I4775">
            <v>0.60416666666666663</v>
          </cell>
          <cell r="J4775">
            <v>0.85416666666666663</v>
          </cell>
          <cell r="K4775">
            <v>5.6666666670000003</v>
          </cell>
          <cell r="L4775">
            <v>182.98</v>
          </cell>
          <cell r="O4775" t="str">
            <v>Y</v>
          </cell>
          <cell r="P4775" t="str">
            <v>N</v>
          </cell>
          <cell r="Q4775" t="str">
            <v>Extra Capacity</v>
          </cell>
          <cell r="S4775">
            <v>0.15</v>
          </cell>
        </row>
        <row r="4776">
          <cell r="D4776">
            <v>1208007464</v>
          </cell>
          <cell r="E4776" t="str">
            <v>BONNIE TWALA</v>
          </cell>
          <cell r="F4776" t="str">
            <v>D (Amb)</v>
          </cell>
          <cell r="G4776">
            <v>774246</v>
          </cell>
          <cell r="H4776" t="str">
            <v>Ambition</v>
          </cell>
          <cell r="I4776">
            <v>0.8125</v>
          </cell>
          <cell r="J4776">
            <v>0.33333333333333331</v>
          </cell>
          <cell r="K4776">
            <v>11.83333333</v>
          </cell>
          <cell r="L4776">
            <v>601.49</v>
          </cell>
          <cell r="O4776" t="str">
            <v>Y</v>
          </cell>
          <cell r="P4776" t="str">
            <v>N</v>
          </cell>
          <cell r="Q4776" t="str">
            <v>Extra Capacity</v>
          </cell>
          <cell r="S4776">
            <v>0.32</v>
          </cell>
        </row>
        <row r="4777">
          <cell r="D4777">
            <v>1208006447</v>
          </cell>
          <cell r="E4777" t="str">
            <v>BRENDA GWEKWERERE</v>
          </cell>
          <cell r="F4777" t="str">
            <v>D (Ch)</v>
          </cell>
          <cell r="G4777">
            <v>17947</v>
          </cell>
          <cell r="H4777" t="str">
            <v>Choice</v>
          </cell>
          <cell r="I4777">
            <v>0.3125</v>
          </cell>
          <cell r="J4777">
            <v>0.85416666666666663</v>
          </cell>
          <cell r="K4777">
            <v>12.33333333</v>
          </cell>
          <cell r="L4777">
            <v>300.56</v>
          </cell>
          <cell r="O4777" t="str">
            <v>Y</v>
          </cell>
          <cell r="P4777" t="str">
            <v>N</v>
          </cell>
          <cell r="Q4777" t="str">
            <v>Vacancy</v>
          </cell>
          <cell r="S4777">
            <v>0.33</v>
          </cell>
        </row>
        <row r="4778">
          <cell r="D4778">
            <v>109001326</v>
          </cell>
          <cell r="E4778" t="str">
            <v>CHARLOTTE TAYLOR</v>
          </cell>
          <cell r="F4778" t="str">
            <v>D/5 (PS)</v>
          </cell>
          <cell r="H4778" t="str">
            <v>Pinnacle Staffing</v>
          </cell>
          <cell r="I4778">
            <v>0.88541666666666663</v>
          </cell>
          <cell r="J4778">
            <v>0.30208333333333331</v>
          </cell>
          <cell r="K4778">
            <v>9</v>
          </cell>
          <cell r="L4778">
            <v>198.78</v>
          </cell>
          <cell r="O4778" t="str">
            <v>Y</v>
          </cell>
          <cell r="P4778" t="str">
            <v>N</v>
          </cell>
          <cell r="Q4778" t="str">
            <v>Extra Capacity</v>
          </cell>
          <cell r="S4778">
            <v>0.24</v>
          </cell>
        </row>
        <row r="4779">
          <cell r="D4779">
            <v>1208004780</v>
          </cell>
          <cell r="E4779" t="str">
            <v>CHRIS STULAR</v>
          </cell>
          <cell r="F4779" t="str">
            <v>D General (Orio</v>
          </cell>
          <cell r="G4779" t="str">
            <v>Invsd Smt checked</v>
          </cell>
          <cell r="H4779" t="str">
            <v>Orion</v>
          </cell>
          <cell r="I4779">
            <v>0.33333333333333331</v>
          </cell>
          <cell r="J4779">
            <v>0.75</v>
          </cell>
          <cell r="K4779">
            <v>9.5</v>
          </cell>
          <cell r="L4779">
            <v>172.14</v>
          </cell>
          <cell r="O4779" t="str">
            <v>Y</v>
          </cell>
          <cell r="P4779" t="str">
            <v>N</v>
          </cell>
          <cell r="Q4779" t="str">
            <v>Backfill</v>
          </cell>
          <cell r="S4779">
            <v>0.25</v>
          </cell>
        </row>
        <row r="4780">
          <cell r="D4780">
            <v>1208005377</v>
          </cell>
          <cell r="E4780" t="str">
            <v>CYNTHIA DELMO</v>
          </cell>
          <cell r="F4780" t="str">
            <v>D (Ch)</v>
          </cell>
          <cell r="H4780" t="str">
            <v>Choice</v>
          </cell>
          <cell r="I4780">
            <v>0.5625</v>
          </cell>
          <cell r="J4780">
            <v>0.85416666666666663</v>
          </cell>
          <cell r="K4780">
            <v>6.6666666670000003</v>
          </cell>
          <cell r="L4780">
            <v>162.47</v>
          </cell>
          <cell r="O4780" t="str">
            <v>Y</v>
          </cell>
          <cell r="P4780" t="str">
            <v>N</v>
          </cell>
          <cell r="Q4780" t="str">
            <v>Transfer</v>
          </cell>
          <cell r="S4780">
            <v>0.18</v>
          </cell>
        </row>
        <row r="4781">
          <cell r="D4781">
            <v>109001551</v>
          </cell>
          <cell r="E4781" t="str">
            <v>DEBBIE HARRIS</v>
          </cell>
          <cell r="F4781" t="str">
            <v>5 Gen (All)</v>
          </cell>
          <cell r="G4781">
            <v>357596</v>
          </cell>
          <cell r="H4781" t="str">
            <v>Mayday</v>
          </cell>
          <cell r="I4781">
            <v>0.83333333333333337</v>
          </cell>
          <cell r="J4781">
            <v>0.33333333333333331</v>
          </cell>
          <cell r="K4781">
            <v>11</v>
          </cell>
          <cell r="L4781">
            <v>257.11</v>
          </cell>
          <cell r="O4781" t="str">
            <v>Y</v>
          </cell>
          <cell r="P4781" t="str">
            <v>N</v>
          </cell>
          <cell r="Q4781" t="str">
            <v>Extra Capacity</v>
          </cell>
          <cell r="S4781">
            <v>0.28999999999999998</v>
          </cell>
        </row>
        <row r="4782">
          <cell r="D4782">
            <v>109001111</v>
          </cell>
          <cell r="E4782" t="str">
            <v>DELLTY PAPPACHAN</v>
          </cell>
          <cell r="F4782" t="str">
            <v>D (Amb)</v>
          </cell>
          <cell r="G4782">
            <v>774192</v>
          </cell>
          <cell r="H4782" t="str">
            <v>Ambition</v>
          </cell>
          <cell r="I4782">
            <v>0.84375</v>
          </cell>
          <cell r="J4782">
            <v>0.33333333333333331</v>
          </cell>
          <cell r="K4782">
            <v>10.75</v>
          </cell>
          <cell r="L4782">
            <v>546.41999999999996</v>
          </cell>
          <cell r="O4782" t="str">
            <v>Y</v>
          </cell>
          <cell r="P4782" t="str">
            <v>N</v>
          </cell>
          <cell r="Q4782" t="str">
            <v>Short Term Sick</v>
          </cell>
          <cell r="S4782">
            <v>0.28999999999999998</v>
          </cell>
        </row>
        <row r="4783">
          <cell r="D4783">
            <v>1208007714</v>
          </cell>
          <cell r="E4783" t="str">
            <v>DESIREE DOMINGO</v>
          </cell>
          <cell r="F4783" t="str">
            <v>D (Amb)</v>
          </cell>
          <cell r="H4783" t="str">
            <v>Ambition</v>
          </cell>
          <cell r="I4783">
            <v>0.3125</v>
          </cell>
          <cell r="J4783">
            <v>0.60416666666666663</v>
          </cell>
          <cell r="K4783">
            <v>6.6666666670000003</v>
          </cell>
          <cell r="L4783">
            <v>260.67</v>
          </cell>
          <cell r="O4783" t="str">
            <v>Y</v>
          </cell>
          <cell r="P4783" t="str">
            <v>N</v>
          </cell>
          <cell r="Q4783" t="str">
            <v>Extra Capacity</v>
          </cell>
          <cell r="S4783">
            <v>0.18</v>
          </cell>
        </row>
        <row r="4784">
          <cell r="D4784">
            <v>1208005367</v>
          </cell>
          <cell r="E4784" t="str">
            <v>DOROTHY MUTEMWA</v>
          </cell>
          <cell r="F4784" t="str">
            <v>A (Ch)</v>
          </cell>
          <cell r="H4784" t="str">
            <v>Choice</v>
          </cell>
          <cell r="I4784">
            <v>0.3125</v>
          </cell>
          <cell r="J4784">
            <v>0.5625</v>
          </cell>
          <cell r="K4784">
            <v>5.6666666670000003</v>
          </cell>
          <cell r="L4784">
            <v>62.84</v>
          </cell>
          <cell r="O4784" t="str">
            <v>Y</v>
          </cell>
          <cell r="P4784" t="str">
            <v>N</v>
          </cell>
          <cell r="Q4784" t="str">
            <v>Annual Leave</v>
          </cell>
          <cell r="S4784">
            <v>0.15</v>
          </cell>
        </row>
        <row r="4785">
          <cell r="D4785">
            <v>1208005381</v>
          </cell>
          <cell r="E4785" t="str">
            <v>DOROTHY MUTEMWA</v>
          </cell>
          <cell r="F4785" t="str">
            <v>A (Ch)</v>
          </cell>
          <cell r="H4785" t="str">
            <v>Choice</v>
          </cell>
          <cell r="I4785">
            <v>0.5625</v>
          </cell>
          <cell r="J4785">
            <v>0.85416666666666663</v>
          </cell>
          <cell r="K4785">
            <v>6.6666666670000003</v>
          </cell>
          <cell r="L4785">
            <v>73.930000000000007</v>
          </cell>
          <cell r="O4785" t="str">
            <v>Y</v>
          </cell>
          <cell r="P4785" t="str">
            <v>N</v>
          </cell>
          <cell r="Q4785" t="str">
            <v>Annual Leave</v>
          </cell>
          <cell r="S4785">
            <v>0.18</v>
          </cell>
        </row>
        <row r="4786">
          <cell r="D4786">
            <v>1208007749</v>
          </cell>
          <cell r="E4786" t="str">
            <v>ELLEN HALCROW</v>
          </cell>
          <cell r="F4786" t="str">
            <v>D (Amb)</v>
          </cell>
          <cell r="G4786">
            <v>774185</v>
          </cell>
          <cell r="H4786" t="str">
            <v>Ambition</v>
          </cell>
          <cell r="I4786">
            <v>0.60416666666666663</v>
          </cell>
          <cell r="J4786">
            <v>0.85416666666666663</v>
          </cell>
          <cell r="K4786">
            <v>5.6666666670000003</v>
          </cell>
          <cell r="L4786">
            <v>221.57</v>
          </cell>
          <cell r="O4786" t="str">
            <v>Y</v>
          </cell>
          <cell r="P4786" t="str">
            <v>N</v>
          </cell>
          <cell r="Q4786" t="str">
            <v>Extra Capacity</v>
          </cell>
          <cell r="S4786">
            <v>0.15</v>
          </cell>
        </row>
        <row r="4787">
          <cell r="D4787">
            <v>1208007494</v>
          </cell>
          <cell r="E4787" t="str">
            <v>EUNICE ADEBANJO</v>
          </cell>
          <cell r="F4787" t="str">
            <v>D (Ch)</v>
          </cell>
          <cell r="G4787">
            <v>17944</v>
          </cell>
          <cell r="H4787" t="str">
            <v>Choice</v>
          </cell>
          <cell r="I4787">
            <v>0.8125</v>
          </cell>
          <cell r="J4787">
            <v>0.33333333333333331</v>
          </cell>
          <cell r="K4787">
            <v>11.83333333</v>
          </cell>
          <cell r="L4787">
            <v>374.89</v>
          </cell>
          <cell r="O4787" t="str">
            <v>Y</v>
          </cell>
          <cell r="P4787" t="str">
            <v>N</v>
          </cell>
          <cell r="Q4787" t="str">
            <v>Extra Capacity</v>
          </cell>
          <cell r="S4787">
            <v>0.32</v>
          </cell>
        </row>
        <row r="4788">
          <cell r="D4788">
            <v>1208006471</v>
          </cell>
          <cell r="E4788" t="str">
            <v>EVELYN PANESA</v>
          </cell>
          <cell r="F4788" t="str">
            <v>D (Ch)</v>
          </cell>
          <cell r="G4788">
            <v>17867</v>
          </cell>
          <cell r="H4788" t="str">
            <v>Choice</v>
          </cell>
          <cell r="I4788">
            <v>0.3125</v>
          </cell>
          <cell r="J4788">
            <v>0.85416666666666663</v>
          </cell>
          <cell r="K4788">
            <v>12.33333333</v>
          </cell>
          <cell r="L4788">
            <v>300.56</v>
          </cell>
          <cell r="O4788" t="str">
            <v>Y</v>
          </cell>
          <cell r="P4788" t="str">
            <v>N</v>
          </cell>
          <cell r="Q4788" t="str">
            <v>Vacancy</v>
          </cell>
          <cell r="S4788">
            <v>0.33</v>
          </cell>
        </row>
        <row r="4789">
          <cell r="D4789">
            <v>1208007770</v>
          </cell>
          <cell r="E4789" t="str">
            <v>FATIMA UMARU</v>
          </cell>
          <cell r="F4789" t="str">
            <v>D (MD)</v>
          </cell>
          <cell r="G4789">
            <v>357855</v>
          </cell>
          <cell r="H4789" t="str">
            <v>Mayday</v>
          </cell>
          <cell r="I4789">
            <v>0.83333333333333337</v>
          </cell>
          <cell r="J4789">
            <v>0.33333333333333331</v>
          </cell>
          <cell r="K4789">
            <v>11.33333333</v>
          </cell>
          <cell r="L4789">
            <v>475.74</v>
          </cell>
          <cell r="O4789" t="str">
            <v>Y</v>
          </cell>
          <cell r="P4789" t="str">
            <v>N</v>
          </cell>
          <cell r="Q4789" t="str">
            <v>Extra Capacity</v>
          </cell>
          <cell r="S4789">
            <v>0.3</v>
          </cell>
        </row>
        <row r="4790">
          <cell r="D4790">
            <v>1208004385</v>
          </cell>
          <cell r="E4790" t="str">
            <v>FIONA DURKIN-GREER</v>
          </cell>
          <cell r="F4790" t="str">
            <v>D (MD)</v>
          </cell>
          <cell r="G4790">
            <v>358998</v>
          </cell>
          <cell r="H4790" t="str">
            <v>Mayday</v>
          </cell>
          <cell r="I4790">
            <v>0.5625</v>
          </cell>
          <cell r="J4790">
            <v>0.85416666666666663</v>
          </cell>
          <cell r="K4790">
            <v>6.6666666670000003</v>
          </cell>
          <cell r="L4790">
            <v>215.27</v>
          </cell>
          <cell r="O4790" t="str">
            <v>Y</v>
          </cell>
          <cell r="P4790" t="str">
            <v>N</v>
          </cell>
          <cell r="Q4790" t="str">
            <v>Extra Capacity</v>
          </cell>
          <cell r="S4790">
            <v>0.18</v>
          </cell>
        </row>
        <row r="4791">
          <cell r="D4791">
            <v>109001327</v>
          </cell>
          <cell r="E4791" t="str">
            <v>FLORENCE DLAMINI</v>
          </cell>
          <cell r="F4791" t="str">
            <v>D (MD)</v>
          </cell>
          <cell r="G4791">
            <v>359109</v>
          </cell>
          <cell r="H4791" t="str">
            <v>Mayday</v>
          </cell>
          <cell r="I4791">
            <v>0.88541666666666663</v>
          </cell>
          <cell r="J4791">
            <v>0.30208333333333331</v>
          </cell>
          <cell r="K4791">
            <v>9</v>
          </cell>
          <cell r="L4791">
            <v>377.79</v>
          </cell>
          <cell r="O4791" t="str">
            <v>Y</v>
          </cell>
          <cell r="P4791" t="str">
            <v>N</v>
          </cell>
          <cell r="Q4791" t="str">
            <v>Extra Capacity</v>
          </cell>
          <cell r="S4791">
            <v>0.24</v>
          </cell>
        </row>
        <row r="4792">
          <cell r="D4792">
            <v>1208005366</v>
          </cell>
          <cell r="E4792" t="str">
            <v>GEORGE MALETE</v>
          </cell>
          <cell r="F4792" t="str">
            <v>A (Ch)</v>
          </cell>
          <cell r="G4792">
            <v>17849</v>
          </cell>
          <cell r="H4792" t="str">
            <v>Choice</v>
          </cell>
          <cell r="I4792">
            <v>0.3125</v>
          </cell>
          <cell r="J4792">
            <v>0.5625</v>
          </cell>
          <cell r="K4792">
            <v>5.6666666670000003</v>
          </cell>
          <cell r="L4792">
            <v>62.84</v>
          </cell>
          <cell r="M4792">
            <v>61</v>
          </cell>
          <cell r="O4792" t="str">
            <v>Y</v>
          </cell>
          <cell r="P4792" t="str">
            <v>N</v>
          </cell>
          <cell r="Q4792" t="str">
            <v>Under Established</v>
          </cell>
          <cell r="S4792">
            <v>0.15</v>
          </cell>
        </row>
        <row r="4793">
          <cell r="D4793">
            <v>1208007773</v>
          </cell>
          <cell r="E4793" t="str">
            <v>HILDA SHANGE</v>
          </cell>
          <cell r="F4793" t="str">
            <v>D (Ch)</v>
          </cell>
          <cell r="G4793">
            <v>17915</v>
          </cell>
          <cell r="H4793" t="str">
            <v>Choice</v>
          </cell>
          <cell r="I4793">
            <v>0.83333333333333337</v>
          </cell>
          <cell r="J4793">
            <v>0.33333333333333331</v>
          </cell>
          <cell r="K4793">
            <v>11.33333333</v>
          </cell>
          <cell r="L4793">
            <v>359.05</v>
          </cell>
          <cell r="O4793" t="str">
            <v>Y</v>
          </cell>
          <cell r="P4793" t="str">
            <v>N</v>
          </cell>
          <cell r="Q4793" t="str">
            <v>Extra Capacity</v>
          </cell>
          <cell r="S4793">
            <v>0.3</v>
          </cell>
        </row>
        <row r="4794">
          <cell r="D4794">
            <v>109001024</v>
          </cell>
          <cell r="E4794" t="str">
            <v>JAKE BROOKES</v>
          </cell>
          <cell r="F4794" t="str">
            <v>D General (Orio</v>
          </cell>
          <cell r="G4794" t="str">
            <v>Invsd Smt checked</v>
          </cell>
          <cell r="H4794" t="str">
            <v>Orion</v>
          </cell>
          <cell r="I4794">
            <v>0.33333333333333331</v>
          </cell>
          <cell r="J4794">
            <v>0.75</v>
          </cell>
          <cell r="K4794">
            <v>9.6666666669999994</v>
          </cell>
          <cell r="L4794">
            <v>175.16</v>
          </cell>
          <cell r="O4794" t="str">
            <v>Y</v>
          </cell>
          <cell r="P4794" t="str">
            <v>N</v>
          </cell>
          <cell r="Q4794" t="str">
            <v>Long Term Sick</v>
          </cell>
          <cell r="S4794">
            <v>0.26</v>
          </cell>
        </row>
        <row r="4795">
          <cell r="D4795">
            <v>1208007443</v>
          </cell>
          <cell r="E4795" t="str">
            <v>JAMES MCCLEMENTS</v>
          </cell>
          <cell r="F4795" t="str">
            <v>D (MD)</v>
          </cell>
          <cell r="G4795">
            <v>359000</v>
          </cell>
          <cell r="H4795" t="str">
            <v>Mayday</v>
          </cell>
          <cell r="I4795">
            <v>0.3125</v>
          </cell>
          <cell r="J4795">
            <v>0.54166666666666663</v>
          </cell>
          <cell r="K4795">
            <v>5.5</v>
          </cell>
          <cell r="L4795">
            <v>177.59</v>
          </cell>
          <cell r="O4795" t="str">
            <v>Y</v>
          </cell>
          <cell r="P4795" t="str">
            <v>N</v>
          </cell>
          <cell r="Q4795" t="str">
            <v>Extra Capacity</v>
          </cell>
          <cell r="S4795">
            <v>0.15</v>
          </cell>
        </row>
        <row r="4796">
          <cell r="D4796">
            <v>1208007444</v>
          </cell>
          <cell r="E4796" t="str">
            <v>JAMES MCCLEMENTS</v>
          </cell>
          <cell r="F4796" t="str">
            <v>D (MD)</v>
          </cell>
          <cell r="G4796">
            <v>359000</v>
          </cell>
          <cell r="H4796" t="str">
            <v>Mayday</v>
          </cell>
          <cell r="I4796">
            <v>0.54166666666666663</v>
          </cell>
          <cell r="J4796">
            <v>0.83333333333333337</v>
          </cell>
          <cell r="K4796">
            <v>6.6666666670000003</v>
          </cell>
          <cell r="L4796">
            <v>215.27</v>
          </cell>
          <cell r="O4796" t="str">
            <v>Y</v>
          </cell>
          <cell r="P4796" t="str">
            <v>N</v>
          </cell>
          <cell r="Q4796" t="str">
            <v>Extra Capacity</v>
          </cell>
          <cell r="S4796">
            <v>0.18</v>
          </cell>
        </row>
        <row r="4797">
          <cell r="D4797">
            <v>1208005999</v>
          </cell>
          <cell r="E4797" t="str">
            <v>JASON WENT</v>
          </cell>
          <cell r="F4797" t="str">
            <v>D / 5 General (</v>
          </cell>
          <cell r="G4797" t="str">
            <v>604-164568</v>
          </cell>
          <cell r="H4797" t="str">
            <v>Blue Arrow</v>
          </cell>
          <cell r="I4797">
            <v>0.82291666666666663</v>
          </cell>
          <cell r="J4797">
            <v>0.34375</v>
          </cell>
          <cell r="K4797">
            <v>11.5</v>
          </cell>
          <cell r="L4797">
            <v>252.36</v>
          </cell>
          <cell r="O4797" t="str">
            <v>Y</v>
          </cell>
          <cell r="P4797" t="str">
            <v>N</v>
          </cell>
          <cell r="Q4797" t="str">
            <v>Vacancy</v>
          </cell>
          <cell r="S4797">
            <v>0.31</v>
          </cell>
        </row>
        <row r="4798">
          <cell r="D4798">
            <v>1208006494</v>
          </cell>
          <cell r="E4798" t="str">
            <v>JEAN NGONA</v>
          </cell>
          <cell r="F4798" t="str">
            <v>D (MD)</v>
          </cell>
          <cell r="G4798">
            <v>358991</v>
          </cell>
          <cell r="H4798" t="str">
            <v>Mayday</v>
          </cell>
          <cell r="I4798">
            <v>0.3125</v>
          </cell>
          <cell r="J4798">
            <v>0.64583333333333337</v>
          </cell>
          <cell r="K4798">
            <v>7.5</v>
          </cell>
          <cell r="L4798">
            <v>242.17</v>
          </cell>
          <cell r="O4798" t="str">
            <v>Y</v>
          </cell>
          <cell r="P4798" t="str">
            <v>N</v>
          </cell>
          <cell r="Q4798" t="str">
            <v>Vacancy</v>
          </cell>
          <cell r="S4798">
            <v>0.2</v>
          </cell>
        </row>
        <row r="4799">
          <cell r="D4799">
            <v>109000501</v>
          </cell>
          <cell r="E4799" t="str">
            <v>JILL HAMPSON</v>
          </cell>
          <cell r="F4799" t="str">
            <v>A/2 (PS)</v>
          </cell>
          <cell r="H4799" t="str">
            <v>Pinnacle Staffing</v>
          </cell>
          <cell r="I4799">
            <v>0.32291666666666669</v>
          </cell>
          <cell r="J4799">
            <v>0.54166666666666663</v>
          </cell>
          <cell r="K4799">
            <v>5.25</v>
          </cell>
          <cell r="L4799">
            <v>49.25</v>
          </cell>
          <cell r="O4799" t="str">
            <v>Y</v>
          </cell>
          <cell r="P4799" t="str">
            <v>N</v>
          </cell>
          <cell r="Q4799" t="str">
            <v>Vacancy</v>
          </cell>
          <cell r="S4799">
            <v>0.14000000000000001</v>
          </cell>
        </row>
        <row r="4800">
          <cell r="D4800">
            <v>1108006425</v>
          </cell>
          <cell r="E4800" t="str">
            <v>JOAN LEWIS</v>
          </cell>
          <cell r="F4800" t="str">
            <v>D (MD)</v>
          </cell>
          <cell r="G4800">
            <v>358986</v>
          </cell>
          <cell r="H4800" t="str">
            <v>Mayday</v>
          </cell>
          <cell r="I4800">
            <v>0.5625</v>
          </cell>
          <cell r="J4800">
            <v>0.85416666666666663</v>
          </cell>
          <cell r="K4800">
            <v>6.6666666670000003</v>
          </cell>
          <cell r="L4800">
            <v>215.27</v>
          </cell>
          <cell r="O4800" t="str">
            <v>Y</v>
          </cell>
          <cell r="P4800" t="str">
            <v>N</v>
          </cell>
          <cell r="Q4800" t="str">
            <v>Vacancy</v>
          </cell>
          <cell r="S4800">
            <v>0.18</v>
          </cell>
        </row>
        <row r="4801">
          <cell r="D4801">
            <v>1208008180</v>
          </cell>
          <cell r="E4801" t="str">
            <v>JOANNE DUCKER</v>
          </cell>
          <cell r="F4801" t="str">
            <v>D / 5 General (</v>
          </cell>
          <cell r="G4801" t="str">
            <v>604-164569</v>
          </cell>
          <cell r="H4801" t="str">
            <v>Medacs</v>
          </cell>
          <cell r="I4801">
            <v>0.64583333333333337</v>
          </cell>
          <cell r="J4801">
            <v>0.85416666666666663</v>
          </cell>
          <cell r="K4801">
            <v>5</v>
          </cell>
          <cell r="L4801">
            <v>84.4</v>
          </cell>
          <cell r="O4801" t="str">
            <v>Y</v>
          </cell>
          <cell r="P4801" t="str">
            <v>N</v>
          </cell>
          <cell r="Q4801" t="str">
            <v>Short Term Sick</v>
          </cell>
          <cell r="S4801">
            <v>0.13</v>
          </cell>
        </row>
        <row r="4802">
          <cell r="D4802">
            <v>109001549</v>
          </cell>
          <cell r="E4802" t="str">
            <v>KATH BURTON</v>
          </cell>
          <cell r="F4802" t="str">
            <v>D (MD)</v>
          </cell>
          <cell r="G4802">
            <v>357590</v>
          </cell>
          <cell r="H4802" t="str">
            <v>Mayday</v>
          </cell>
          <cell r="I4802">
            <v>0.3125</v>
          </cell>
          <cell r="J4802">
            <v>0.64583333333333337</v>
          </cell>
          <cell r="K4802">
            <v>7.5</v>
          </cell>
          <cell r="L4802">
            <v>242.17</v>
          </cell>
          <cell r="O4802" t="str">
            <v>Y</v>
          </cell>
          <cell r="P4802" t="str">
            <v>N</v>
          </cell>
          <cell r="Q4802" t="str">
            <v>Extra Capacity</v>
          </cell>
          <cell r="S4802">
            <v>0.2</v>
          </cell>
        </row>
        <row r="4803">
          <cell r="D4803">
            <v>109001555</v>
          </cell>
          <cell r="E4803" t="str">
            <v>LISA LANDICHIO</v>
          </cell>
          <cell r="F4803" t="str">
            <v>D (MD)</v>
          </cell>
          <cell r="G4803">
            <v>358985</v>
          </cell>
          <cell r="H4803" t="str">
            <v>Mayday</v>
          </cell>
          <cell r="I4803">
            <v>0.3125</v>
          </cell>
          <cell r="J4803">
            <v>0.85416666666666663</v>
          </cell>
          <cell r="K4803">
            <v>12.33333333</v>
          </cell>
          <cell r="L4803">
            <v>398.24</v>
          </cell>
          <cell r="O4803" t="str">
            <v>Y</v>
          </cell>
          <cell r="P4803" t="str">
            <v>N</v>
          </cell>
          <cell r="Q4803" t="str">
            <v>Extra Capacity</v>
          </cell>
          <cell r="S4803">
            <v>0.33</v>
          </cell>
        </row>
        <row r="4804">
          <cell r="D4804">
            <v>109001521</v>
          </cell>
          <cell r="E4804" t="str">
            <v>MABEL MNISI</v>
          </cell>
          <cell r="F4804" t="str">
            <v>D (MD)</v>
          </cell>
          <cell r="G4804">
            <v>357861</v>
          </cell>
          <cell r="H4804" t="str">
            <v>Mayday</v>
          </cell>
          <cell r="I4804">
            <v>0.83333333333333337</v>
          </cell>
          <cell r="J4804">
            <v>0.33333333333333331</v>
          </cell>
          <cell r="K4804">
            <v>11.33333333</v>
          </cell>
          <cell r="L4804">
            <v>475.74</v>
          </cell>
          <cell r="O4804" t="str">
            <v>Y</v>
          </cell>
          <cell r="P4804" t="str">
            <v>N</v>
          </cell>
          <cell r="Q4804" t="str">
            <v>Extra Capacity</v>
          </cell>
          <cell r="S4804">
            <v>0.3</v>
          </cell>
        </row>
        <row r="4805">
          <cell r="D4805">
            <v>109001767</v>
          </cell>
          <cell r="E4805" t="str">
            <v>MERCY SIBANDA</v>
          </cell>
          <cell r="F4805" t="str">
            <v>A (Ch)</v>
          </cell>
          <cell r="G4805">
            <v>17849</v>
          </cell>
          <cell r="H4805" t="str">
            <v>Choice</v>
          </cell>
          <cell r="I4805">
            <v>0.75</v>
          </cell>
          <cell r="J4805">
            <v>0.85416666666666663</v>
          </cell>
          <cell r="K4805">
            <v>2.5</v>
          </cell>
          <cell r="L4805">
            <v>27.73</v>
          </cell>
          <cell r="M4805">
            <v>72.09</v>
          </cell>
          <cell r="O4805" t="str">
            <v>Y</v>
          </cell>
          <cell r="P4805" t="str">
            <v>N</v>
          </cell>
          <cell r="Q4805" t="str">
            <v>Extra Capacity</v>
          </cell>
          <cell r="S4805">
            <v>7.0000000000000007E-2</v>
          </cell>
        </row>
        <row r="4806">
          <cell r="D4806">
            <v>109001520</v>
          </cell>
          <cell r="E4806" t="str">
            <v>METTA SUNDAY</v>
          </cell>
          <cell r="F4806" t="str">
            <v>D (MD)</v>
          </cell>
          <cell r="G4806">
            <v>357850</v>
          </cell>
          <cell r="H4806" t="str">
            <v>Mayday</v>
          </cell>
          <cell r="I4806">
            <v>0.83333333333333337</v>
          </cell>
          <cell r="J4806">
            <v>0.33333333333333331</v>
          </cell>
          <cell r="K4806">
            <v>11.33333333</v>
          </cell>
          <cell r="L4806">
            <v>475.74</v>
          </cell>
          <cell r="O4806" t="str">
            <v>Y</v>
          </cell>
          <cell r="P4806" t="str">
            <v>N</v>
          </cell>
          <cell r="Q4806" t="str">
            <v>Extra Capacity</v>
          </cell>
          <cell r="S4806">
            <v>0.3</v>
          </cell>
        </row>
        <row r="4807">
          <cell r="D4807">
            <v>109001522</v>
          </cell>
          <cell r="E4807" t="str">
            <v>MIRIAM MUCHDNJE</v>
          </cell>
          <cell r="F4807" t="str">
            <v>D (Amb)</v>
          </cell>
          <cell r="H4807" t="str">
            <v>Ambition</v>
          </cell>
          <cell r="I4807">
            <v>0.83333333333333337</v>
          </cell>
          <cell r="J4807">
            <v>0.33333333333333331</v>
          </cell>
          <cell r="K4807">
            <v>11.33333333</v>
          </cell>
          <cell r="L4807">
            <v>576.07000000000005</v>
          </cell>
          <cell r="O4807" t="str">
            <v>Y</v>
          </cell>
          <cell r="P4807" t="str">
            <v>N</v>
          </cell>
          <cell r="Q4807" t="str">
            <v>Extra Capacity</v>
          </cell>
          <cell r="S4807">
            <v>0.3</v>
          </cell>
        </row>
        <row r="4808">
          <cell r="D4808">
            <v>109001557</v>
          </cell>
          <cell r="E4808" t="str">
            <v>MZUKISI SPEELMAN</v>
          </cell>
          <cell r="F4808" t="str">
            <v>A (Ch)</v>
          </cell>
          <cell r="G4808">
            <v>17849</v>
          </cell>
          <cell r="H4808" t="str">
            <v>Choice</v>
          </cell>
          <cell r="I4808">
            <v>0.58333333333333337</v>
          </cell>
          <cell r="J4808">
            <v>0.85416666666666663</v>
          </cell>
          <cell r="K4808">
            <v>6.1666666670000003</v>
          </cell>
          <cell r="L4808">
            <v>68.39</v>
          </cell>
          <cell r="M4808">
            <v>55.45</v>
          </cell>
          <cell r="O4808" t="str">
            <v>Y</v>
          </cell>
          <cell r="P4808" t="str">
            <v>N</v>
          </cell>
          <cell r="Q4808" t="str">
            <v>Extra Capacity</v>
          </cell>
          <cell r="S4808">
            <v>0.16</v>
          </cell>
        </row>
        <row r="4809">
          <cell r="D4809">
            <v>1208005368</v>
          </cell>
          <cell r="E4809" t="str">
            <v>MZUKISI SPEELMAN</v>
          </cell>
          <cell r="F4809" t="str">
            <v>A (Ch)</v>
          </cell>
          <cell r="G4809">
            <v>17849</v>
          </cell>
          <cell r="H4809" t="str">
            <v>Choice</v>
          </cell>
          <cell r="I4809">
            <v>0.3125</v>
          </cell>
          <cell r="J4809">
            <v>0.5625</v>
          </cell>
          <cell r="K4809">
            <v>5.6666666670000003</v>
          </cell>
          <cell r="L4809">
            <v>62.84</v>
          </cell>
          <cell r="M4809">
            <v>55.45</v>
          </cell>
          <cell r="O4809" t="str">
            <v>Y</v>
          </cell>
          <cell r="P4809" t="str">
            <v>N</v>
          </cell>
          <cell r="Q4809" t="str">
            <v>Transfer</v>
          </cell>
          <cell r="S4809">
            <v>0.15</v>
          </cell>
        </row>
        <row r="4810">
          <cell r="D4810">
            <v>1208006429</v>
          </cell>
          <cell r="E4810" t="str">
            <v>NEIL WYLD</v>
          </cell>
          <cell r="F4810" t="str">
            <v>D (Amb)</v>
          </cell>
          <cell r="G4810">
            <v>774272</v>
          </cell>
          <cell r="H4810" t="str">
            <v>Ambition</v>
          </cell>
          <cell r="I4810">
            <v>0.875</v>
          </cell>
          <cell r="J4810">
            <v>0.32291666666666669</v>
          </cell>
          <cell r="K4810">
            <v>10</v>
          </cell>
          <cell r="L4810">
            <v>508.3</v>
          </cell>
          <cell r="O4810" t="str">
            <v>Y</v>
          </cell>
          <cell r="P4810" t="str">
            <v>N</v>
          </cell>
          <cell r="Q4810" t="str">
            <v>Specials</v>
          </cell>
          <cell r="S4810">
            <v>0.27</v>
          </cell>
        </row>
        <row r="4811">
          <cell r="D4811">
            <v>1208005372</v>
          </cell>
          <cell r="E4811" t="str">
            <v>PEGGY MAPOGO</v>
          </cell>
          <cell r="F4811" t="str">
            <v>D (Ch)</v>
          </cell>
          <cell r="H4811" t="str">
            <v>Choice</v>
          </cell>
          <cell r="I4811">
            <v>0.3125</v>
          </cell>
          <cell r="J4811">
            <v>0.5625</v>
          </cell>
          <cell r="K4811">
            <v>5.6666666670000003</v>
          </cell>
          <cell r="L4811">
            <v>138.1</v>
          </cell>
          <cell r="O4811" t="str">
            <v>Y</v>
          </cell>
          <cell r="P4811" t="str">
            <v>N</v>
          </cell>
          <cell r="Q4811" t="str">
            <v>Under Established</v>
          </cell>
          <cell r="S4811">
            <v>0.15</v>
          </cell>
        </row>
        <row r="4812">
          <cell r="D4812">
            <v>1208005378</v>
          </cell>
          <cell r="E4812" t="str">
            <v>PEGGY MAPOGO</v>
          </cell>
          <cell r="F4812" t="str">
            <v>D (Ch)</v>
          </cell>
          <cell r="H4812" t="str">
            <v>Choice</v>
          </cell>
          <cell r="I4812">
            <v>0.5625</v>
          </cell>
          <cell r="J4812">
            <v>0.85416666666666663</v>
          </cell>
          <cell r="K4812">
            <v>6.6666666670000003</v>
          </cell>
          <cell r="L4812">
            <v>162.47</v>
          </cell>
          <cell r="O4812" t="str">
            <v>Y</v>
          </cell>
          <cell r="P4812" t="str">
            <v>N</v>
          </cell>
          <cell r="Q4812" t="str">
            <v>Under Established</v>
          </cell>
          <cell r="S4812">
            <v>0.18</v>
          </cell>
        </row>
        <row r="4813">
          <cell r="D4813">
            <v>1208006478</v>
          </cell>
          <cell r="E4813" t="str">
            <v>PHILILE NDLANGAMANDLA</v>
          </cell>
          <cell r="F4813" t="str">
            <v>D (Ch)</v>
          </cell>
          <cell r="H4813" t="str">
            <v>Choice</v>
          </cell>
          <cell r="I4813">
            <v>0.83333333333333337</v>
          </cell>
          <cell r="J4813">
            <v>0.33333333333333331</v>
          </cell>
          <cell r="K4813">
            <v>11.33333333</v>
          </cell>
          <cell r="L4813">
            <v>359.05</v>
          </cell>
          <cell r="O4813" t="str">
            <v>Y</v>
          </cell>
          <cell r="P4813" t="str">
            <v>N</v>
          </cell>
          <cell r="Q4813" t="str">
            <v>Vacancy</v>
          </cell>
          <cell r="S4813">
            <v>0.3</v>
          </cell>
        </row>
        <row r="4814">
          <cell r="D4814">
            <v>109001096</v>
          </cell>
          <cell r="E4814" t="str">
            <v>PRUDENCE MAJOZI</v>
          </cell>
          <cell r="F4814" t="str">
            <v>D (MD)</v>
          </cell>
          <cell r="G4814">
            <v>357820</v>
          </cell>
          <cell r="H4814" t="str">
            <v>Mayday</v>
          </cell>
          <cell r="I4814">
            <v>0.29166666666666669</v>
          </cell>
          <cell r="J4814">
            <v>0.625</v>
          </cell>
          <cell r="K4814">
            <v>7.6666666670000003</v>
          </cell>
          <cell r="L4814">
            <v>247.56</v>
          </cell>
          <cell r="O4814" t="str">
            <v>Y</v>
          </cell>
          <cell r="P4814" t="str">
            <v>N</v>
          </cell>
          <cell r="Q4814" t="str">
            <v>Specials</v>
          </cell>
          <cell r="S4814">
            <v>0.2</v>
          </cell>
        </row>
        <row r="4815">
          <cell r="D4815">
            <v>109001537</v>
          </cell>
          <cell r="E4815" t="str">
            <v>PRUDENCE MAJOZI</v>
          </cell>
          <cell r="F4815" t="str">
            <v>D (MD)</v>
          </cell>
          <cell r="G4815">
            <v>357820</v>
          </cell>
          <cell r="H4815" t="str">
            <v>Mayday</v>
          </cell>
          <cell r="I4815">
            <v>0.625</v>
          </cell>
          <cell r="J4815">
            <v>0.88541666666666663</v>
          </cell>
          <cell r="K4815">
            <v>5.9166666670000003</v>
          </cell>
          <cell r="L4815">
            <v>191.05</v>
          </cell>
          <cell r="O4815" t="str">
            <v>Y</v>
          </cell>
          <cell r="P4815" t="str">
            <v>N</v>
          </cell>
          <cell r="Q4815" t="str">
            <v>Specials</v>
          </cell>
          <cell r="S4815">
            <v>0.16</v>
          </cell>
        </row>
        <row r="4816">
          <cell r="D4816">
            <v>109001556</v>
          </cell>
          <cell r="E4816" t="str">
            <v>RACHEL OBERDOFF</v>
          </cell>
          <cell r="F4816" t="str">
            <v>D (MD)</v>
          </cell>
          <cell r="G4816">
            <v>358987</v>
          </cell>
          <cell r="H4816" t="str">
            <v>Mayday</v>
          </cell>
          <cell r="I4816">
            <v>0.52083333333333337</v>
          </cell>
          <cell r="J4816">
            <v>0.85416666666666663</v>
          </cell>
          <cell r="K4816">
            <v>7.5</v>
          </cell>
          <cell r="L4816">
            <v>242.17</v>
          </cell>
          <cell r="O4816" t="str">
            <v>Y</v>
          </cell>
          <cell r="P4816" t="str">
            <v>N</v>
          </cell>
          <cell r="Q4816" t="str">
            <v>Extra Capacity</v>
          </cell>
          <cell r="S4816">
            <v>0.2</v>
          </cell>
        </row>
        <row r="4817">
          <cell r="D4817">
            <v>109001509</v>
          </cell>
          <cell r="E4817" t="str">
            <v>RAY THWALA</v>
          </cell>
          <cell r="F4817" t="str">
            <v>A (Ch)</v>
          </cell>
          <cell r="G4817">
            <v>17856</v>
          </cell>
          <cell r="H4817" t="str">
            <v>Choice</v>
          </cell>
          <cell r="I4817">
            <v>0.83333333333333337</v>
          </cell>
          <cell r="J4817">
            <v>0.33333333333333331</v>
          </cell>
          <cell r="K4817">
            <v>11.33333333</v>
          </cell>
          <cell r="L4817">
            <v>167.58</v>
          </cell>
          <cell r="M4817">
            <v>160.16</v>
          </cell>
          <cell r="O4817" t="str">
            <v>Y</v>
          </cell>
          <cell r="P4817" t="str">
            <v>N</v>
          </cell>
          <cell r="Q4817" t="str">
            <v>Extra Capacity</v>
          </cell>
          <cell r="S4817">
            <v>0.3</v>
          </cell>
        </row>
        <row r="4818">
          <cell r="D4818">
            <v>1208005370</v>
          </cell>
          <cell r="E4818" t="str">
            <v>RICCA PARADA</v>
          </cell>
          <cell r="F4818" t="str">
            <v>D (Ch)</v>
          </cell>
          <cell r="G4818">
            <v>17849</v>
          </cell>
          <cell r="H4818" t="str">
            <v>Choice</v>
          </cell>
          <cell r="I4818">
            <v>0.3125</v>
          </cell>
          <cell r="J4818">
            <v>0.5625</v>
          </cell>
          <cell r="K4818">
            <v>5.6666666670000003</v>
          </cell>
          <cell r="L4818">
            <v>138.1</v>
          </cell>
          <cell r="M4818">
            <v>268.07</v>
          </cell>
          <cell r="O4818" t="str">
            <v>Y</v>
          </cell>
          <cell r="P4818" t="str">
            <v>N</v>
          </cell>
          <cell r="Q4818" t="str">
            <v>Transfer</v>
          </cell>
          <cell r="S4818">
            <v>0.15</v>
          </cell>
        </row>
        <row r="4819">
          <cell r="D4819">
            <v>1208007774</v>
          </cell>
          <cell r="E4819" t="str">
            <v>RODA RAMERIZ</v>
          </cell>
          <cell r="F4819" t="str">
            <v>D (Ch)</v>
          </cell>
          <cell r="H4819" t="str">
            <v>Choice</v>
          </cell>
          <cell r="I4819">
            <v>0.83333333333333337</v>
          </cell>
          <cell r="J4819">
            <v>0.33333333333333331</v>
          </cell>
          <cell r="K4819">
            <v>11.33333333</v>
          </cell>
          <cell r="L4819">
            <v>359.05</v>
          </cell>
          <cell r="O4819" t="str">
            <v>Y</v>
          </cell>
          <cell r="P4819" t="str">
            <v>N</v>
          </cell>
          <cell r="Q4819" t="str">
            <v>Extra Capacity</v>
          </cell>
          <cell r="S4819">
            <v>0.3</v>
          </cell>
        </row>
        <row r="4820">
          <cell r="D4820">
            <v>1208007943</v>
          </cell>
          <cell r="E4820" t="str">
            <v>SAM KELEM</v>
          </cell>
          <cell r="F4820" t="str">
            <v>D (Ch)</v>
          </cell>
          <cell r="G4820">
            <v>17853</v>
          </cell>
          <cell r="H4820" t="str">
            <v>Choice</v>
          </cell>
          <cell r="I4820">
            <v>0.83333333333333337</v>
          </cell>
          <cell r="J4820">
            <v>0.33333333333333331</v>
          </cell>
          <cell r="K4820">
            <v>11.33333333</v>
          </cell>
          <cell r="L4820">
            <v>359.05</v>
          </cell>
          <cell r="O4820" t="str">
            <v>Y</v>
          </cell>
          <cell r="P4820" t="str">
            <v>N</v>
          </cell>
          <cell r="Q4820" t="str">
            <v>Acuity</v>
          </cell>
          <cell r="S4820">
            <v>0.3</v>
          </cell>
        </row>
        <row r="4821">
          <cell r="D4821">
            <v>109001538</v>
          </cell>
          <cell r="E4821" t="str">
            <v>SARAH MAKOTORE</v>
          </cell>
          <cell r="F4821" t="str">
            <v>D (Ch)</v>
          </cell>
          <cell r="H4821" t="str">
            <v>Choice</v>
          </cell>
          <cell r="I4821">
            <v>0.88541666666666663</v>
          </cell>
          <cell r="J4821">
            <v>0.3125</v>
          </cell>
          <cell r="K4821">
            <v>9.25</v>
          </cell>
          <cell r="L4821">
            <v>293.05</v>
          </cell>
          <cell r="O4821" t="str">
            <v>Y</v>
          </cell>
          <cell r="P4821" t="str">
            <v>N</v>
          </cell>
          <cell r="Q4821" t="str">
            <v>Specials</v>
          </cell>
          <cell r="S4821">
            <v>0.25</v>
          </cell>
        </row>
        <row r="4822">
          <cell r="D4822">
            <v>109001330</v>
          </cell>
          <cell r="E4822" t="str">
            <v>SEREELETSO MAITIYO</v>
          </cell>
          <cell r="F4822" t="str">
            <v>D (Ch)</v>
          </cell>
          <cell r="G4822">
            <v>17867</v>
          </cell>
          <cell r="H4822" t="str">
            <v>Choice</v>
          </cell>
          <cell r="I4822">
            <v>0.3125</v>
          </cell>
          <cell r="J4822">
            <v>0.60416666666666663</v>
          </cell>
          <cell r="K4822">
            <v>6.6666666670000003</v>
          </cell>
          <cell r="L4822">
            <v>162.47</v>
          </cell>
          <cell r="O4822" t="str">
            <v>Y</v>
          </cell>
          <cell r="P4822" t="str">
            <v>N</v>
          </cell>
          <cell r="Q4822" t="str">
            <v>Vacancy</v>
          </cell>
          <cell r="S4822">
            <v>0.18</v>
          </cell>
        </row>
        <row r="4823">
          <cell r="D4823">
            <v>1208007771</v>
          </cell>
          <cell r="E4823" t="str">
            <v>TAEL MHANGO</v>
          </cell>
          <cell r="F4823" t="str">
            <v>D (Ch)</v>
          </cell>
          <cell r="G4823">
            <v>17856</v>
          </cell>
          <cell r="H4823" t="str">
            <v>Choice</v>
          </cell>
          <cell r="I4823">
            <v>0.83333333333333337</v>
          </cell>
          <cell r="J4823">
            <v>0.33333333333333331</v>
          </cell>
          <cell r="K4823">
            <v>11.33333333</v>
          </cell>
          <cell r="L4823">
            <v>359.05</v>
          </cell>
          <cell r="M4823">
            <v>297.88</v>
          </cell>
          <cell r="O4823" t="str">
            <v>Y</v>
          </cell>
          <cell r="P4823" t="str">
            <v>N</v>
          </cell>
          <cell r="Q4823" t="str">
            <v>Extra Capacity</v>
          </cell>
          <cell r="S4823">
            <v>0.3</v>
          </cell>
        </row>
        <row r="4824">
          <cell r="D4824">
            <v>1208006448</v>
          </cell>
          <cell r="E4824" t="str">
            <v>THEMBA CEBEKHULU</v>
          </cell>
          <cell r="F4824" t="str">
            <v>D (Ch)</v>
          </cell>
          <cell r="G4824">
            <v>17867</v>
          </cell>
          <cell r="H4824" t="str">
            <v>Choice</v>
          </cell>
          <cell r="I4824">
            <v>0.58333333333333337</v>
          </cell>
          <cell r="J4824">
            <v>0.85416666666666663</v>
          </cell>
          <cell r="K4824">
            <v>6.1666666670000003</v>
          </cell>
          <cell r="L4824">
            <v>150.28</v>
          </cell>
          <cell r="O4824" t="str">
            <v>Y</v>
          </cell>
          <cell r="P4824" t="str">
            <v>N</v>
          </cell>
          <cell r="Q4824" t="str">
            <v>Vacancy</v>
          </cell>
          <cell r="S4824">
            <v>0.16</v>
          </cell>
        </row>
        <row r="4825">
          <cell r="D4825">
            <v>109001508</v>
          </cell>
          <cell r="E4825" t="str">
            <v>TRUST CHIWUNDURA</v>
          </cell>
          <cell r="F4825" t="str">
            <v>A (Ch)</v>
          </cell>
          <cell r="G4825">
            <v>17852</v>
          </cell>
          <cell r="H4825" t="str">
            <v>Choice</v>
          </cell>
          <cell r="I4825">
            <v>0.83333333333333337</v>
          </cell>
          <cell r="J4825">
            <v>0.33333333333333331</v>
          </cell>
          <cell r="K4825">
            <v>11.33333333</v>
          </cell>
          <cell r="L4825">
            <v>167.58</v>
          </cell>
          <cell r="O4825" t="str">
            <v>Y</v>
          </cell>
          <cell r="P4825" t="str">
            <v>N</v>
          </cell>
          <cell r="Q4825" t="str">
            <v>Extra Capacity</v>
          </cell>
          <cell r="S4825">
            <v>0.3</v>
          </cell>
        </row>
        <row r="4826">
          <cell r="D4826">
            <v>109002739</v>
          </cell>
          <cell r="E4826" t="str">
            <v>VIDA OTUO-ACHEAMPONG</v>
          </cell>
          <cell r="F4826" t="str">
            <v>D (Amb)</v>
          </cell>
          <cell r="G4826">
            <v>774724</v>
          </cell>
          <cell r="H4826" t="str">
            <v>Ambition</v>
          </cell>
          <cell r="I4826">
            <v>0.83333333333333337</v>
          </cell>
          <cell r="J4826">
            <v>0.33333333333333331</v>
          </cell>
          <cell r="K4826">
            <v>11</v>
          </cell>
          <cell r="L4826">
            <v>559.13</v>
          </cell>
          <cell r="O4826" t="str">
            <v>Y</v>
          </cell>
          <cell r="P4826" t="str">
            <v>N</v>
          </cell>
          <cell r="Q4826" t="str">
            <v>Acuity</v>
          </cell>
          <cell r="S4826">
            <v>0.28999999999999998</v>
          </cell>
        </row>
        <row r="4827">
          <cell r="D4827">
            <v>1208006747</v>
          </cell>
          <cell r="E4827" t="str">
            <v xml:space="preserve"> NJIE ROHEYATOU NDOW</v>
          </cell>
          <cell r="F4827" t="str">
            <v>D (Ch)</v>
          </cell>
          <cell r="H4827" t="str">
            <v>Choice</v>
          </cell>
          <cell r="I4827">
            <v>0.3125</v>
          </cell>
          <cell r="J4827">
            <v>0.5625</v>
          </cell>
          <cell r="K4827">
            <v>5.6666666670000003</v>
          </cell>
          <cell r="L4827">
            <v>138.1</v>
          </cell>
          <cell r="O4827" t="str">
            <v>Y</v>
          </cell>
          <cell r="P4827" t="str">
            <v>N</v>
          </cell>
          <cell r="Q4827" t="str">
            <v>Annual Leave</v>
          </cell>
          <cell r="S4827">
            <v>0.15</v>
          </cell>
        </row>
        <row r="4828">
          <cell r="D4828">
            <v>1208007720</v>
          </cell>
          <cell r="E4828" t="str">
            <v>ALAN ROWLATT-HARROD</v>
          </cell>
          <cell r="F4828" t="str">
            <v>D (Amb)</v>
          </cell>
          <cell r="G4828">
            <v>777088</v>
          </cell>
          <cell r="H4828" t="str">
            <v>Ambition</v>
          </cell>
          <cell r="I4828">
            <v>0.3125</v>
          </cell>
          <cell r="J4828">
            <v>0.60416666666666663</v>
          </cell>
          <cell r="K4828">
            <v>6.6666666670000003</v>
          </cell>
          <cell r="L4828">
            <v>260.67</v>
          </cell>
          <cell r="O4828" t="str">
            <v>Y</v>
          </cell>
          <cell r="P4828" t="str">
            <v>N</v>
          </cell>
          <cell r="Q4828" t="str">
            <v>Extra Capacity</v>
          </cell>
          <cell r="S4828">
            <v>0.18</v>
          </cell>
        </row>
        <row r="4829">
          <cell r="D4829">
            <v>1208007751</v>
          </cell>
          <cell r="E4829" t="str">
            <v>ALAN ROWLATT-HARROD</v>
          </cell>
          <cell r="F4829" t="str">
            <v>D (Amb)</v>
          </cell>
          <cell r="G4829">
            <v>777088</v>
          </cell>
          <cell r="H4829" t="str">
            <v>Ambition</v>
          </cell>
          <cell r="I4829">
            <v>0.60416666666666663</v>
          </cell>
          <cell r="J4829">
            <v>0.85416666666666663</v>
          </cell>
          <cell r="K4829">
            <v>5.6666666670000003</v>
          </cell>
          <cell r="L4829">
            <v>221.57</v>
          </cell>
          <cell r="O4829" t="str">
            <v>Y</v>
          </cell>
          <cell r="P4829" t="str">
            <v>N</v>
          </cell>
          <cell r="Q4829" t="str">
            <v>Extra Capacity</v>
          </cell>
          <cell r="S4829">
            <v>0.15</v>
          </cell>
        </row>
        <row r="4830">
          <cell r="D4830">
            <v>109002753</v>
          </cell>
          <cell r="E4830" t="str">
            <v>ANTHONY OGOEGBUNAN</v>
          </cell>
          <cell r="F4830" t="str">
            <v>D (MD)</v>
          </cell>
          <cell r="G4830">
            <v>358999</v>
          </cell>
          <cell r="H4830" t="str">
            <v>Mayday</v>
          </cell>
          <cell r="I4830">
            <v>0.83333333333333337</v>
          </cell>
          <cell r="J4830">
            <v>0.33333333333333331</v>
          </cell>
          <cell r="K4830">
            <v>11</v>
          </cell>
          <cell r="L4830">
            <v>461.75</v>
          </cell>
          <cell r="O4830" t="str">
            <v>Y</v>
          </cell>
          <cell r="P4830" t="str">
            <v>N</v>
          </cell>
          <cell r="Q4830" t="str">
            <v>Extra Capacity</v>
          </cell>
          <cell r="S4830">
            <v>0.28999999999999998</v>
          </cell>
        </row>
        <row r="4831">
          <cell r="D4831">
            <v>109003118</v>
          </cell>
          <cell r="E4831" t="str">
            <v>BERNADETTE SHINYA-NDUNUWANI</v>
          </cell>
          <cell r="F4831" t="str">
            <v>D (MD)</v>
          </cell>
          <cell r="G4831">
            <v>357638</v>
          </cell>
          <cell r="H4831" t="str">
            <v>Mayday</v>
          </cell>
          <cell r="I4831">
            <v>0.3125</v>
          </cell>
          <cell r="J4831">
            <v>0.64583333333333337</v>
          </cell>
          <cell r="K4831">
            <v>7.6666666670000003</v>
          </cell>
          <cell r="L4831">
            <v>247.56</v>
          </cell>
          <cell r="O4831" t="str">
            <v>Y</v>
          </cell>
          <cell r="P4831" t="str">
            <v>N</v>
          </cell>
          <cell r="Q4831" t="str">
            <v>Nurse Moved</v>
          </cell>
          <cell r="S4831">
            <v>0.2</v>
          </cell>
        </row>
        <row r="4832">
          <cell r="D4832">
            <v>1208007750</v>
          </cell>
          <cell r="E4832" t="str">
            <v>BONITA BUTLER</v>
          </cell>
          <cell r="F4832" t="str">
            <v>D (MD)</v>
          </cell>
          <cell r="G4832">
            <v>357817</v>
          </cell>
          <cell r="H4832" t="str">
            <v>Mayday</v>
          </cell>
          <cell r="I4832">
            <v>0.60416666666666663</v>
          </cell>
          <cell r="J4832">
            <v>0.85416666666666663</v>
          </cell>
          <cell r="K4832">
            <v>5.6666666670000003</v>
          </cell>
          <cell r="L4832">
            <v>182.98</v>
          </cell>
          <cell r="O4832" t="str">
            <v>Y</v>
          </cell>
          <cell r="P4832" t="str">
            <v>N</v>
          </cell>
          <cell r="Q4832" t="str">
            <v>Extra Capacity</v>
          </cell>
          <cell r="S4832">
            <v>0.15</v>
          </cell>
        </row>
        <row r="4833">
          <cell r="D4833">
            <v>1208004781</v>
          </cell>
          <cell r="E4833" t="str">
            <v>CHRIS STULAR</v>
          </cell>
          <cell r="F4833" t="str">
            <v>D General (Orio</v>
          </cell>
          <cell r="G4833" t="str">
            <v>Invsd Smt checked</v>
          </cell>
          <cell r="H4833" t="str">
            <v>Orion</v>
          </cell>
          <cell r="I4833">
            <v>0.33333333333333331</v>
          </cell>
          <cell r="J4833">
            <v>0.75</v>
          </cell>
          <cell r="K4833">
            <v>9.5</v>
          </cell>
          <cell r="L4833">
            <v>172.14</v>
          </cell>
          <cell r="O4833" t="str">
            <v>Y</v>
          </cell>
          <cell r="P4833" t="str">
            <v>N</v>
          </cell>
          <cell r="Q4833" t="str">
            <v>Backfill</v>
          </cell>
          <cell r="S4833">
            <v>0.25</v>
          </cell>
        </row>
        <row r="4834">
          <cell r="D4834">
            <v>109003648</v>
          </cell>
          <cell r="E4834" t="str">
            <v>COLLETTE ALKAN</v>
          </cell>
          <cell r="F4834" t="str">
            <v>D (Amb)</v>
          </cell>
          <cell r="G4834">
            <v>774388</v>
          </cell>
          <cell r="H4834" t="str">
            <v>Ambition</v>
          </cell>
          <cell r="I4834">
            <v>0.3125</v>
          </cell>
          <cell r="J4834">
            <v>0.625</v>
          </cell>
          <cell r="K4834">
            <v>7.5</v>
          </cell>
          <cell r="L4834">
            <v>293.25</v>
          </cell>
          <cell r="O4834" t="str">
            <v>Y</v>
          </cell>
          <cell r="P4834" t="str">
            <v>N</v>
          </cell>
          <cell r="Q4834" t="str">
            <v>Short Term Sick</v>
          </cell>
          <cell r="S4834">
            <v>0.2</v>
          </cell>
        </row>
        <row r="4835">
          <cell r="D4835">
            <v>1208007775</v>
          </cell>
          <cell r="E4835" t="str">
            <v>CYNTHIA DELMO</v>
          </cell>
          <cell r="F4835" t="str">
            <v>D (Ch)</v>
          </cell>
          <cell r="G4835">
            <v>17852</v>
          </cell>
          <cell r="H4835" t="str">
            <v>Choice</v>
          </cell>
          <cell r="I4835">
            <v>0.83333333333333337</v>
          </cell>
          <cell r="J4835">
            <v>0.33333333333333331</v>
          </cell>
          <cell r="K4835">
            <v>11.33333333</v>
          </cell>
          <cell r="L4835">
            <v>359.05</v>
          </cell>
          <cell r="O4835" t="str">
            <v>Y</v>
          </cell>
          <cell r="P4835" t="str">
            <v>N</v>
          </cell>
          <cell r="Q4835" t="str">
            <v>Extra Capacity</v>
          </cell>
          <cell r="S4835">
            <v>0.3</v>
          </cell>
        </row>
        <row r="4836">
          <cell r="D4836">
            <v>109000811</v>
          </cell>
          <cell r="E4836" t="str">
            <v>DAMILOLA AIKI</v>
          </cell>
          <cell r="F4836" t="str">
            <v>A (Ch)</v>
          </cell>
          <cell r="H4836" t="str">
            <v>Choice</v>
          </cell>
          <cell r="I4836">
            <v>0.625</v>
          </cell>
          <cell r="J4836">
            <v>0.85416666666666663</v>
          </cell>
          <cell r="K4836">
            <v>5.5</v>
          </cell>
          <cell r="L4836">
            <v>60.99</v>
          </cell>
          <cell r="O4836" t="str">
            <v>Y</v>
          </cell>
          <cell r="P4836" t="str">
            <v>N</v>
          </cell>
          <cell r="Q4836" t="str">
            <v>Short Term Sick</v>
          </cell>
          <cell r="S4836">
            <v>0.15</v>
          </cell>
        </row>
        <row r="4837">
          <cell r="D4837">
            <v>109003605</v>
          </cell>
          <cell r="E4837" t="str">
            <v>DEBBIE HARRIS</v>
          </cell>
          <cell r="F4837" t="str">
            <v>D (MD)</v>
          </cell>
          <cell r="G4837">
            <v>357597</v>
          </cell>
          <cell r="H4837" t="str">
            <v>Mayday</v>
          </cell>
          <cell r="I4837">
            <v>0.83333333333333337</v>
          </cell>
          <cell r="J4837">
            <v>0.33333333333333331</v>
          </cell>
          <cell r="K4837">
            <v>11.33333333</v>
          </cell>
          <cell r="L4837">
            <v>475.74</v>
          </cell>
          <cell r="O4837" t="str">
            <v>Y</v>
          </cell>
          <cell r="P4837" t="str">
            <v>N</v>
          </cell>
          <cell r="Q4837" t="str">
            <v>Vacancy</v>
          </cell>
          <cell r="S4837">
            <v>0.3</v>
          </cell>
        </row>
        <row r="4838">
          <cell r="D4838">
            <v>1208007779</v>
          </cell>
          <cell r="E4838" t="str">
            <v>DENNIS HEBRON</v>
          </cell>
          <cell r="F4838" t="str">
            <v>D (Ch)</v>
          </cell>
          <cell r="G4838">
            <v>17876</v>
          </cell>
          <cell r="H4838" t="str">
            <v>Choice</v>
          </cell>
          <cell r="I4838">
            <v>0.83333333333333337</v>
          </cell>
          <cell r="J4838">
            <v>0.33333333333333331</v>
          </cell>
          <cell r="K4838">
            <v>11.33333333</v>
          </cell>
          <cell r="L4838">
            <v>359.05</v>
          </cell>
          <cell r="M4838">
            <v>284.33999999999997</v>
          </cell>
          <cell r="O4838" t="str">
            <v>Y</v>
          </cell>
          <cell r="P4838" t="str">
            <v>N</v>
          </cell>
          <cell r="Q4838" t="str">
            <v>Extra Capacity</v>
          </cell>
          <cell r="S4838">
            <v>0.3</v>
          </cell>
        </row>
        <row r="4839">
          <cell r="D4839">
            <v>1208008185</v>
          </cell>
          <cell r="E4839" t="str">
            <v>DONALD YANZA</v>
          </cell>
          <cell r="F4839" t="str">
            <v>D (Ch)</v>
          </cell>
          <cell r="G4839">
            <v>17857</v>
          </cell>
          <cell r="H4839" t="str">
            <v>Choice</v>
          </cell>
          <cell r="I4839">
            <v>0.83333333333333337</v>
          </cell>
          <cell r="J4839">
            <v>0.33333333333333331</v>
          </cell>
          <cell r="K4839">
            <v>11.33333333</v>
          </cell>
          <cell r="L4839">
            <v>359.05</v>
          </cell>
          <cell r="O4839" t="str">
            <v>Y</v>
          </cell>
          <cell r="P4839" t="str">
            <v>N</v>
          </cell>
          <cell r="Q4839" t="str">
            <v>Short Term Sick</v>
          </cell>
          <cell r="S4839">
            <v>0.3</v>
          </cell>
        </row>
        <row r="4840">
          <cell r="D4840">
            <v>109001517</v>
          </cell>
          <cell r="E4840" t="str">
            <v>DORICA MUNJERI</v>
          </cell>
          <cell r="F4840" t="str">
            <v>A (Ch)</v>
          </cell>
          <cell r="G4840">
            <v>17876</v>
          </cell>
          <cell r="H4840" t="str">
            <v>Choice</v>
          </cell>
          <cell r="I4840">
            <v>0.3125</v>
          </cell>
          <cell r="J4840">
            <v>0.60416666666666663</v>
          </cell>
          <cell r="K4840">
            <v>6.6666666670000003</v>
          </cell>
          <cell r="L4840">
            <v>73.930000000000007</v>
          </cell>
          <cell r="M4840">
            <v>121.99</v>
          </cell>
          <cell r="O4840" t="str">
            <v>Y</v>
          </cell>
          <cell r="P4840" t="str">
            <v>N</v>
          </cell>
          <cell r="Q4840" t="str">
            <v>Extra Capacity</v>
          </cell>
          <cell r="S4840">
            <v>0.18</v>
          </cell>
        </row>
        <row r="4841">
          <cell r="D4841">
            <v>1208005396</v>
          </cell>
          <cell r="E4841" t="str">
            <v>DOROTHY MUTEMWA</v>
          </cell>
          <cell r="F4841" t="str">
            <v>A (Ch)</v>
          </cell>
          <cell r="H4841" t="str">
            <v>Choice</v>
          </cell>
          <cell r="I4841">
            <v>0.5625</v>
          </cell>
          <cell r="J4841">
            <v>0.85416666666666663</v>
          </cell>
          <cell r="K4841">
            <v>6.6666666670000003</v>
          </cell>
          <cell r="L4841">
            <v>73.930000000000007</v>
          </cell>
          <cell r="O4841" t="str">
            <v>Y</v>
          </cell>
          <cell r="P4841" t="str">
            <v>N</v>
          </cell>
          <cell r="Q4841" t="str">
            <v>Under Established</v>
          </cell>
          <cell r="S4841">
            <v>0.18</v>
          </cell>
        </row>
        <row r="4842">
          <cell r="D4842">
            <v>109001532</v>
          </cell>
          <cell r="E4842" t="str">
            <v>EUNICE ADEBANJO</v>
          </cell>
          <cell r="F4842" t="str">
            <v>D (Ch)</v>
          </cell>
          <cell r="G4842">
            <v>17948</v>
          </cell>
          <cell r="H4842" t="str">
            <v>Choice</v>
          </cell>
          <cell r="I4842">
            <v>0.83333333333333337</v>
          </cell>
          <cell r="J4842">
            <v>0.33333333333333331</v>
          </cell>
          <cell r="K4842">
            <v>11.33333333</v>
          </cell>
          <cell r="L4842">
            <v>359.05</v>
          </cell>
          <cell r="O4842" t="str">
            <v>Y</v>
          </cell>
          <cell r="P4842" t="str">
            <v>N</v>
          </cell>
          <cell r="Q4842" t="str">
            <v>Extra Capacity</v>
          </cell>
          <cell r="S4842">
            <v>0.3</v>
          </cell>
        </row>
        <row r="4843">
          <cell r="D4843">
            <v>109001519</v>
          </cell>
          <cell r="E4843" t="str">
            <v>EVE IKOLOUT</v>
          </cell>
          <cell r="F4843" t="str">
            <v>A (Ch)</v>
          </cell>
          <cell r="G4843">
            <v>17956</v>
          </cell>
          <cell r="H4843" t="str">
            <v>Choice</v>
          </cell>
          <cell r="I4843">
            <v>0.3125</v>
          </cell>
          <cell r="J4843">
            <v>0.60416666666666663</v>
          </cell>
          <cell r="K4843">
            <v>6.6666666670000003</v>
          </cell>
          <cell r="L4843">
            <v>73.930000000000007</v>
          </cell>
          <cell r="O4843" t="str">
            <v>Y</v>
          </cell>
          <cell r="P4843" t="str">
            <v>N</v>
          </cell>
          <cell r="Q4843" t="str">
            <v>Extra Capacity</v>
          </cell>
          <cell r="S4843">
            <v>0.18</v>
          </cell>
        </row>
        <row r="4844">
          <cell r="D4844">
            <v>1208003021</v>
          </cell>
          <cell r="E4844" t="str">
            <v>EVE IKOLOUT</v>
          </cell>
          <cell r="F4844" t="str">
            <v>A (Ch)</v>
          </cell>
          <cell r="G4844">
            <v>17956</v>
          </cell>
          <cell r="H4844" t="str">
            <v>Choice</v>
          </cell>
          <cell r="I4844">
            <v>0.625</v>
          </cell>
          <cell r="J4844">
            <v>0.875</v>
          </cell>
          <cell r="K4844">
            <v>5.75</v>
          </cell>
          <cell r="L4844">
            <v>63.77</v>
          </cell>
          <cell r="O4844" t="str">
            <v>Y</v>
          </cell>
          <cell r="P4844" t="str">
            <v>N</v>
          </cell>
          <cell r="Q4844" t="str">
            <v>Long Term Sick</v>
          </cell>
          <cell r="S4844">
            <v>0.15</v>
          </cell>
        </row>
        <row r="4845">
          <cell r="D4845">
            <v>1208007778</v>
          </cell>
          <cell r="E4845" t="str">
            <v>FATIMA UMARU</v>
          </cell>
          <cell r="F4845" t="str">
            <v>D (MD)</v>
          </cell>
          <cell r="G4845">
            <v>357856</v>
          </cell>
          <cell r="H4845" t="str">
            <v>Mayday</v>
          </cell>
          <cell r="I4845">
            <v>0.83333333333333337</v>
          </cell>
          <cell r="J4845">
            <v>0.33333333333333331</v>
          </cell>
          <cell r="K4845">
            <v>11.33333333</v>
          </cell>
          <cell r="L4845">
            <v>475.74</v>
          </cell>
          <cell r="O4845" t="str">
            <v>Y</v>
          </cell>
          <cell r="P4845" t="str">
            <v>N</v>
          </cell>
          <cell r="Q4845" t="str">
            <v>Extra Capacity</v>
          </cell>
          <cell r="S4845">
            <v>0.3</v>
          </cell>
        </row>
        <row r="4846">
          <cell r="D4846">
            <v>109001329</v>
          </cell>
          <cell r="E4846" t="str">
            <v>FLORENCE DLAMINI</v>
          </cell>
          <cell r="F4846" t="str">
            <v>D (MD)</v>
          </cell>
          <cell r="G4846">
            <v>359108</v>
          </cell>
          <cell r="H4846" t="str">
            <v>Mayday</v>
          </cell>
          <cell r="I4846">
            <v>0.88541666666666663</v>
          </cell>
          <cell r="J4846">
            <v>0.30208333333333331</v>
          </cell>
          <cell r="K4846">
            <v>9</v>
          </cell>
          <cell r="L4846">
            <v>377.79</v>
          </cell>
          <cell r="O4846" t="str">
            <v>Y</v>
          </cell>
          <cell r="P4846" t="str">
            <v>N</v>
          </cell>
          <cell r="Q4846" t="str">
            <v>Extra Capacity</v>
          </cell>
          <cell r="S4846">
            <v>0.24</v>
          </cell>
        </row>
        <row r="4847">
          <cell r="D4847">
            <v>1208005389</v>
          </cell>
          <cell r="E4847" t="str">
            <v>GEORGE MALETE</v>
          </cell>
          <cell r="F4847" t="str">
            <v>A (Ch)</v>
          </cell>
          <cell r="G4847">
            <v>17849</v>
          </cell>
          <cell r="H4847" t="str">
            <v>Choice</v>
          </cell>
          <cell r="I4847">
            <v>0.3125</v>
          </cell>
          <cell r="J4847">
            <v>0.5625</v>
          </cell>
          <cell r="K4847">
            <v>5.6666666670000003</v>
          </cell>
          <cell r="L4847">
            <v>62.84</v>
          </cell>
          <cell r="M4847">
            <v>127.54</v>
          </cell>
          <cell r="O4847" t="str">
            <v>Y</v>
          </cell>
          <cell r="P4847" t="str">
            <v>N</v>
          </cell>
          <cell r="Q4847" t="str">
            <v>Under Established</v>
          </cell>
          <cell r="S4847">
            <v>0.15</v>
          </cell>
        </row>
        <row r="4848">
          <cell r="D4848">
            <v>1208007777</v>
          </cell>
          <cell r="E4848" t="str">
            <v>GERTHY ALBANO</v>
          </cell>
          <cell r="F4848" t="str">
            <v>D (Ch)</v>
          </cell>
          <cell r="H4848" t="str">
            <v>Choice</v>
          </cell>
          <cell r="I4848">
            <v>0.83333333333333337</v>
          </cell>
          <cell r="J4848">
            <v>0.33333333333333331</v>
          </cell>
          <cell r="K4848">
            <v>11.33333333</v>
          </cell>
          <cell r="L4848">
            <v>359.05</v>
          </cell>
          <cell r="O4848" t="str">
            <v>Y</v>
          </cell>
          <cell r="P4848" t="str">
            <v>N</v>
          </cell>
          <cell r="Q4848" t="str">
            <v>Extra Capacity</v>
          </cell>
          <cell r="S4848">
            <v>0.3</v>
          </cell>
        </row>
        <row r="4849">
          <cell r="D4849">
            <v>109003121</v>
          </cell>
          <cell r="E4849" t="str">
            <v>GLENDA RONA</v>
          </cell>
          <cell r="F4849" t="str">
            <v>D (Ch)</v>
          </cell>
          <cell r="G4849">
            <v>17948</v>
          </cell>
          <cell r="H4849" t="str">
            <v>Choice</v>
          </cell>
          <cell r="I4849">
            <v>0.8125</v>
          </cell>
          <cell r="J4849">
            <v>0.33333333333333331</v>
          </cell>
          <cell r="K4849">
            <v>11.83333333</v>
          </cell>
          <cell r="L4849">
            <v>374.89</v>
          </cell>
          <cell r="O4849" t="str">
            <v>Y</v>
          </cell>
          <cell r="P4849" t="str">
            <v>N</v>
          </cell>
          <cell r="Q4849" t="str">
            <v>Nurse Moved</v>
          </cell>
          <cell r="S4849">
            <v>0.32</v>
          </cell>
        </row>
        <row r="4850">
          <cell r="D4850">
            <v>109001026</v>
          </cell>
          <cell r="E4850" t="str">
            <v>JAKE BROOKES</v>
          </cell>
          <cell r="F4850" t="str">
            <v>D General (Orio</v>
          </cell>
          <cell r="G4850" t="str">
            <v>Invsd Smt checked</v>
          </cell>
          <cell r="H4850" t="str">
            <v>Orion</v>
          </cell>
          <cell r="I4850">
            <v>0.33333333333333331</v>
          </cell>
          <cell r="J4850">
            <v>0.75</v>
          </cell>
          <cell r="K4850">
            <v>9.6666666669999994</v>
          </cell>
          <cell r="L4850">
            <v>175.16</v>
          </cell>
          <cell r="O4850" t="str">
            <v>Y</v>
          </cell>
          <cell r="P4850" t="str">
            <v>N</v>
          </cell>
          <cell r="Q4850" t="str">
            <v>Long Term Sick</v>
          </cell>
          <cell r="S4850">
            <v>0.26</v>
          </cell>
        </row>
        <row r="4851">
          <cell r="D4851">
            <v>1208007955</v>
          </cell>
          <cell r="E4851" t="str">
            <v>JAMES MCCLEMENTS</v>
          </cell>
          <cell r="F4851" t="str">
            <v>D (MD)</v>
          </cell>
          <cell r="G4851">
            <v>359000</v>
          </cell>
          <cell r="H4851" t="str">
            <v>Mayday</v>
          </cell>
          <cell r="I4851">
            <v>0.3125</v>
          </cell>
          <cell r="J4851">
            <v>0.54166666666666663</v>
          </cell>
          <cell r="K4851">
            <v>5.5</v>
          </cell>
          <cell r="L4851">
            <v>177.59</v>
          </cell>
          <cell r="O4851" t="str">
            <v>Y</v>
          </cell>
          <cell r="P4851" t="str">
            <v>N</v>
          </cell>
          <cell r="Q4851" t="str">
            <v>Acuity</v>
          </cell>
          <cell r="S4851">
            <v>0.15</v>
          </cell>
        </row>
        <row r="4852">
          <cell r="D4852">
            <v>1208007957</v>
          </cell>
          <cell r="E4852" t="str">
            <v>JAMES MCCLEMENTS</v>
          </cell>
          <cell r="F4852" t="str">
            <v>D (MD)</v>
          </cell>
          <cell r="G4852">
            <v>359000</v>
          </cell>
          <cell r="H4852" t="str">
            <v>Mayday</v>
          </cell>
          <cell r="I4852">
            <v>0.54166666666666663</v>
          </cell>
          <cell r="J4852">
            <v>0.83333333333333337</v>
          </cell>
          <cell r="K4852">
            <v>6.6666666670000003</v>
          </cell>
          <cell r="L4852">
            <v>215.27</v>
          </cell>
          <cell r="O4852" t="str">
            <v>Y</v>
          </cell>
          <cell r="P4852" t="str">
            <v>N</v>
          </cell>
          <cell r="Q4852" t="str">
            <v>Acuity</v>
          </cell>
          <cell r="S4852">
            <v>0.18</v>
          </cell>
        </row>
        <row r="4853">
          <cell r="D4853">
            <v>1208006476</v>
          </cell>
          <cell r="E4853" t="str">
            <v>JASON WENT</v>
          </cell>
          <cell r="F4853" t="str">
            <v>D / 5 General (</v>
          </cell>
          <cell r="G4853" t="str">
            <v>604-164630</v>
          </cell>
          <cell r="H4853" t="str">
            <v>Blue Arrow</v>
          </cell>
          <cell r="I4853">
            <v>0.83333333333333337</v>
          </cell>
          <cell r="J4853">
            <v>0.33333333333333331</v>
          </cell>
          <cell r="K4853">
            <v>11.33333333</v>
          </cell>
          <cell r="L4853">
            <v>248.7</v>
          </cell>
          <cell r="O4853" t="str">
            <v>Y</v>
          </cell>
          <cell r="P4853" t="str">
            <v>N</v>
          </cell>
          <cell r="Q4853" t="str">
            <v>Vacancy</v>
          </cell>
          <cell r="S4853">
            <v>0.3</v>
          </cell>
        </row>
        <row r="4854">
          <cell r="D4854">
            <v>1208006002</v>
          </cell>
          <cell r="E4854" t="str">
            <v>JILL HAMPSON</v>
          </cell>
          <cell r="F4854" t="str">
            <v>A/2 (PS)</v>
          </cell>
          <cell r="H4854" t="str">
            <v>Pinnacle Staffing</v>
          </cell>
          <cell r="I4854">
            <v>0.32291666666666669</v>
          </cell>
          <cell r="J4854">
            <v>0.54166666666666663</v>
          </cell>
          <cell r="K4854">
            <v>5.25</v>
          </cell>
          <cell r="L4854">
            <v>49.25</v>
          </cell>
          <cell r="O4854" t="str">
            <v>Y</v>
          </cell>
          <cell r="P4854" t="str">
            <v>N</v>
          </cell>
          <cell r="Q4854" t="str">
            <v>Vacancy</v>
          </cell>
          <cell r="S4854">
            <v>0.14000000000000001</v>
          </cell>
        </row>
        <row r="4855">
          <cell r="D4855">
            <v>1208006500</v>
          </cell>
          <cell r="E4855" t="str">
            <v>JOANNE BUSS</v>
          </cell>
          <cell r="F4855" t="str">
            <v>D (MD)</v>
          </cell>
          <cell r="G4855">
            <v>358994</v>
          </cell>
          <cell r="H4855" t="str">
            <v>Mayday</v>
          </cell>
          <cell r="I4855">
            <v>0.3125</v>
          </cell>
          <cell r="J4855">
            <v>0.64583333333333337</v>
          </cell>
          <cell r="K4855">
            <v>7.5</v>
          </cell>
          <cell r="L4855">
            <v>242.17</v>
          </cell>
          <cell r="O4855" t="str">
            <v>Y</v>
          </cell>
          <cell r="P4855" t="str">
            <v>N</v>
          </cell>
          <cell r="Q4855" t="str">
            <v>Vacancy</v>
          </cell>
          <cell r="S4855">
            <v>0.2</v>
          </cell>
        </row>
        <row r="4856">
          <cell r="D4856">
            <v>109002285</v>
          </cell>
          <cell r="E4856" t="str">
            <v>JOHANA VELASCO</v>
          </cell>
          <cell r="F4856" t="str">
            <v>D (Ch)</v>
          </cell>
          <cell r="G4856">
            <v>17871</v>
          </cell>
          <cell r="H4856" t="str">
            <v>Choice</v>
          </cell>
          <cell r="I4856">
            <v>0.88541666666666663</v>
          </cell>
          <cell r="J4856">
            <v>0.3125</v>
          </cell>
          <cell r="K4856">
            <v>9.25</v>
          </cell>
          <cell r="L4856">
            <v>293.05</v>
          </cell>
          <cell r="O4856" t="str">
            <v>Y</v>
          </cell>
          <cell r="P4856" t="str">
            <v>N</v>
          </cell>
          <cell r="Q4856" t="str">
            <v>Short Term Sick</v>
          </cell>
          <cell r="S4856">
            <v>0.25</v>
          </cell>
        </row>
        <row r="4857">
          <cell r="D4857">
            <v>109003120</v>
          </cell>
          <cell r="E4857" t="str">
            <v>JOHANNA AISH</v>
          </cell>
          <cell r="F4857" t="str">
            <v>D (Amb)</v>
          </cell>
          <cell r="G4857">
            <v>774242</v>
          </cell>
          <cell r="H4857" t="str">
            <v>Ambition</v>
          </cell>
          <cell r="I4857">
            <v>0.3125</v>
          </cell>
          <cell r="J4857">
            <v>0.83333333333333337</v>
          </cell>
          <cell r="K4857">
            <v>11.83333333</v>
          </cell>
          <cell r="L4857">
            <v>462.68</v>
          </cell>
          <cell r="O4857" t="str">
            <v>Y</v>
          </cell>
          <cell r="P4857" t="str">
            <v>N</v>
          </cell>
          <cell r="Q4857" t="str">
            <v>Nurse Moved</v>
          </cell>
          <cell r="S4857">
            <v>0.32</v>
          </cell>
        </row>
        <row r="4858">
          <cell r="D4858">
            <v>109002743</v>
          </cell>
          <cell r="E4858" t="str">
            <v>KATH BURTON</v>
          </cell>
          <cell r="F4858" t="str">
            <v>D (MD)</v>
          </cell>
          <cell r="G4858">
            <v>358768</v>
          </cell>
          <cell r="H4858" t="str">
            <v>Mayday</v>
          </cell>
          <cell r="I4858">
            <v>0.3125</v>
          </cell>
          <cell r="J4858">
            <v>0.625</v>
          </cell>
          <cell r="K4858">
            <v>7.5</v>
          </cell>
          <cell r="L4858">
            <v>242.17</v>
          </cell>
          <cell r="O4858" t="str">
            <v>Y</v>
          </cell>
          <cell r="P4858" t="str">
            <v>N</v>
          </cell>
          <cell r="Q4858" t="str">
            <v>Short Term Sick</v>
          </cell>
          <cell r="S4858">
            <v>0.2</v>
          </cell>
        </row>
        <row r="4859">
          <cell r="D4859">
            <v>109002263</v>
          </cell>
          <cell r="E4859" t="str">
            <v>KRISTINA PALENIKOVA</v>
          </cell>
          <cell r="F4859" t="str">
            <v>A /2 General (M</v>
          </cell>
          <cell r="G4859" t="str">
            <v>604-164882</v>
          </cell>
          <cell r="H4859" t="str">
            <v>Medacs</v>
          </cell>
          <cell r="I4859">
            <v>0.83333333333333337</v>
          </cell>
          <cell r="J4859">
            <v>0.33333333333333331</v>
          </cell>
          <cell r="K4859">
            <v>11.33333333</v>
          </cell>
          <cell r="L4859">
            <v>147.33000000000001</v>
          </cell>
          <cell r="O4859" t="str">
            <v>Y</v>
          </cell>
          <cell r="P4859" t="str">
            <v>N</v>
          </cell>
          <cell r="Q4859" t="str">
            <v>Short Term Sick</v>
          </cell>
          <cell r="S4859">
            <v>0.3</v>
          </cell>
        </row>
        <row r="4860">
          <cell r="D4860">
            <v>1208006100</v>
          </cell>
          <cell r="E4860" t="str">
            <v>LETECIA MENIANO</v>
          </cell>
          <cell r="F4860" t="str">
            <v>D (MD)</v>
          </cell>
          <cell r="G4860">
            <v>359115</v>
          </cell>
          <cell r="H4860" t="str">
            <v>Mayday</v>
          </cell>
          <cell r="I4860">
            <v>0.8125</v>
          </cell>
          <cell r="J4860">
            <v>0.33333333333333331</v>
          </cell>
          <cell r="K4860">
            <v>11.5</v>
          </cell>
          <cell r="L4860">
            <v>482.74</v>
          </cell>
          <cell r="O4860" t="str">
            <v>Y</v>
          </cell>
          <cell r="P4860" t="str">
            <v>N</v>
          </cell>
          <cell r="Q4860" t="str">
            <v>Vacancy</v>
          </cell>
          <cell r="S4860">
            <v>0.31</v>
          </cell>
        </row>
        <row r="4861">
          <cell r="D4861">
            <v>1208007168</v>
          </cell>
          <cell r="E4861" t="str">
            <v>LISA LANDICHIO</v>
          </cell>
          <cell r="F4861" t="str">
            <v>D (MD)</v>
          </cell>
          <cell r="G4861">
            <v>358985</v>
          </cell>
          <cell r="H4861" t="str">
            <v>Mayday</v>
          </cell>
          <cell r="I4861">
            <v>0.8125</v>
          </cell>
          <cell r="J4861">
            <v>0.33333333333333331</v>
          </cell>
          <cell r="K4861">
            <v>11.83333333</v>
          </cell>
          <cell r="L4861">
            <v>496.73</v>
          </cell>
          <cell r="O4861" t="str">
            <v>Y</v>
          </cell>
          <cell r="P4861" t="str">
            <v>N</v>
          </cell>
          <cell r="Q4861" t="str">
            <v>Extra Capacity</v>
          </cell>
          <cell r="S4861">
            <v>0.32</v>
          </cell>
        </row>
        <row r="4862">
          <cell r="D4862">
            <v>109003604</v>
          </cell>
          <cell r="E4862" t="str">
            <v>LOUISE SEYMOUR</v>
          </cell>
          <cell r="F4862" t="str">
            <v>D (MD)</v>
          </cell>
          <cell r="G4862">
            <v>357584</v>
          </cell>
          <cell r="H4862" t="str">
            <v>Mayday</v>
          </cell>
          <cell r="I4862">
            <v>0.83333333333333337</v>
          </cell>
          <cell r="J4862">
            <v>0.33333333333333331</v>
          </cell>
          <cell r="K4862">
            <v>11.33333333</v>
          </cell>
          <cell r="L4862">
            <v>475.74</v>
          </cell>
          <cell r="O4862" t="str">
            <v>Y</v>
          </cell>
          <cell r="P4862" t="str">
            <v>N</v>
          </cell>
          <cell r="Q4862" t="str">
            <v>Vacancy</v>
          </cell>
          <cell r="S4862">
            <v>0.3</v>
          </cell>
        </row>
        <row r="4863">
          <cell r="D4863">
            <v>1208007313</v>
          </cell>
          <cell r="E4863" t="str">
            <v>LOUISE SEYMOUR</v>
          </cell>
          <cell r="F4863" t="str">
            <v>D (MD)</v>
          </cell>
          <cell r="H4863" t="str">
            <v>Mayday</v>
          </cell>
          <cell r="I4863">
            <v>0.8125</v>
          </cell>
          <cell r="J4863">
            <v>0.33333333333333331</v>
          </cell>
          <cell r="K4863">
            <v>11.83333333</v>
          </cell>
          <cell r="L4863">
            <v>496.73</v>
          </cell>
          <cell r="O4863" t="str">
            <v>Y</v>
          </cell>
          <cell r="P4863" t="str">
            <v>N</v>
          </cell>
          <cell r="Q4863" t="str">
            <v>Extra Capacity</v>
          </cell>
          <cell r="S4863">
            <v>0.32</v>
          </cell>
        </row>
        <row r="4864">
          <cell r="D4864">
            <v>109002029</v>
          </cell>
          <cell r="E4864" t="str">
            <v>MABEL MNISI</v>
          </cell>
          <cell r="F4864" t="str">
            <v>D (MD)</v>
          </cell>
          <cell r="G4864">
            <v>357592</v>
          </cell>
          <cell r="H4864" t="str">
            <v>Mayday</v>
          </cell>
          <cell r="I4864">
            <v>0.83333333333333337</v>
          </cell>
          <cell r="J4864">
            <v>0.33333333333333331</v>
          </cell>
          <cell r="K4864">
            <v>11.33333333</v>
          </cell>
          <cell r="L4864">
            <v>475.74</v>
          </cell>
          <cell r="O4864" t="str">
            <v>Y</v>
          </cell>
          <cell r="P4864" t="str">
            <v>N</v>
          </cell>
          <cell r="Q4864" t="str">
            <v>Short Term Sick</v>
          </cell>
          <cell r="S4864">
            <v>0.3</v>
          </cell>
        </row>
        <row r="4865">
          <cell r="D4865">
            <v>109001516</v>
          </cell>
          <cell r="E4865" t="str">
            <v>MARIA MACEIRAS</v>
          </cell>
          <cell r="F4865" t="str">
            <v>A (Ch)</v>
          </cell>
          <cell r="H4865" t="str">
            <v>Choice</v>
          </cell>
          <cell r="I4865">
            <v>0.3125</v>
          </cell>
          <cell r="J4865">
            <v>0.60416666666666663</v>
          </cell>
          <cell r="K4865">
            <v>6.6666666670000003</v>
          </cell>
          <cell r="L4865">
            <v>73.930000000000007</v>
          </cell>
          <cell r="O4865" t="str">
            <v>Y</v>
          </cell>
          <cell r="P4865" t="str">
            <v>N</v>
          </cell>
          <cell r="Q4865" t="str">
            <v>Extra Capacity</v>
          </cell>
          <cell r="S4865">
            <v>0.18</v>
          </cell>
        </row>
        <row r="4866">
          <cell r="D4866">
            <v>109001531</v>
          </cell>
          <cell r="E4866" t="str">
            <v>MERCY AFELE</v>
          </cell>
          <cell r="F4866" t="str">
            <v>D (MD)</v>
          </cell>
          <cell r="G4866">
            <v>357826</v>
          </cell>
          <cell r="H4866" t="str">
            <v>Mayday</v>
          </cell>
          <cell r="I4866">
            <v>0.83333333333333337</v>
          </cell>
          <cell r="J4866">
            <v>0.33333333333333331</v>
          </cell>
          <cell r="K4866">
            <v>11.33333333</v>
          </cell>
          <cell r="L4866">
            <v>475.74</v>
          </cell>
          <cell r="O4866" t="str">
            <v>Y</v>
          </cell>
          <cell r="P4866" t="str">
            <v>N</v>
          </cell>
          <cell r="Q4866" t="str">
            <v>Extra Capacity</v>
          </cell>
          <cell r="S4866">
            <v>0.3</v>
          </cell>
        </row>
        <row r="4867">
          <cell r="D4867">
            <v>109001518</v>
          </cell>
          <cell r="E4867" t="str">
            <v>MERCY SIBANDA</v>
          </cell>
          <cell r="F4867" t="str">
            <v>A (Ch)</v>
          </cell>
          <cell r="H4867" t="str">
            <v>Choice</v>
          </cell>
          <cell r="I4867">
            <v>0.3125</v>
          </cell>
          <cell r="J4867">
            <v>0.60416666666666663</v>
          </cell>
          <cell r="K4867">
            <v>6.6666666670000003</v>
          </cell>
          <cell r="L4867">
            <v>73.930000000000007</v>
          </cell>
          <cell r="O4867" t="str">
            <v>Y</v>
          </cell>
          <cell r="P4867" t="str">
            <v>N</v>
          </cell>
          <cell r="Q4867" t="str">
            <v>Extra Capacity</v>
          </cell>
          <cell r="S4867">
            <v>0.18</v>
          </cell>
        </row>
        <row r="4868">
          <cell r="D4868">
            <v>109001328</v>
          </cell>
          <cell r="E4868" t="str">
            <v>METTA SUNDAY</v>
          </cell>
          <cell r="F4868" t="str">
            <v>D (MD)</v>
          </cell>
          <cell r="G4868">
            <v>357852</v>
          </cell>
          <cell r="H4868" t="str">
            <v>Mayday</v>
          </cell>
          <cell r="I4868">
            <v>0.88541666666666663</v>
          </cell>
          <cell r="J4868">
            <v>0.30208333333333331</v>
          </cell>
          <cell r="K4868">
            <v>9</v>
          </cell>
          <cell r="L4868">
            <v>377.79</v>
          </cell>
          <cell r="O4868" t="str">
            <v>Y</v>
          </cell>
          <cell r="P4868" t="str">
            <v>N</v>
          </cell>
          <cell r="Q4868" t="str">
            <v>Extra Capacity</v>
          </cell>
          <cell r="S4868">
            <v>0.24</v>
          </cell>
        </row>
        <row r="4869">
          <cell r="D4869">
            <v>109001515</v>
          </cell>
          <cell r="E4869" t="str">
            <v>MICHAEL OKE</v>
          </cell>
          <cell r="F4869" t="str">
            <v>A (Ch)</v>
          </cell>
          <cell r="G4869">
            <v>17876</v>
          </cell>
          <cell r="H4869" t="str">
            <v>Choice</v>
          </cell>
          <cell r="I4869">
            <v>0.3125</v>
          </cell>
          <cell r="J4869">
            <v>0.60416666666666663</v>
          </cell>
          <cell r="K4869">
            <v>6.6666666670000003</v>
          </cell>
          <cell r="L4869">
            <v>73.930000000000007</v>
          </cell>
          <cell r="M4869">
            <v>121.99</v>
          </cell>
          <cell r="O4869" t="str">
            <v>Y</v>
          </cell>
          <cell r="P4869" t="str">
            <v>N</v>
          </cell>
          <cell r="Q4869" t="str">
            <v>Extra Capacity</v>
          </cell>
          <cell r="S4869">
            <v>0.18</v>
          </cell>
        </row>
        <row r="4870">
          <cell r="D4870">
            <v>1208007953</v>
          </cell>
          <cell r="E4870" t="str">
            <v>MZUKISI SPEELMAN</v>
          </cell>
          <cell r="F4870" t="str">
            <v>A (Ch)</v>
          </cell>
          <cell r="G4870">
            <v>17853</v>
          </cell>
          <cell r="H4870" t="str">
            <v>Choice</v>
          </cell>
          <cell r="I4870">
            <v>0.3125</v>
          </cell>
          <cell r="J4870">
            <v>0.54166666666666663</v>
          </cell>
          <cell r="K4870">
            <v>5.5</v>
          </cell>
          <cell r="L4870">
            <v>60.99</v>
          </cell>
          <cell r="O4870" t="str">
            <v>Y</v>
          </cell>
          <cell r="P4870" t="str">
            <v>N</v>
          </cell>
          <cell r="Q4870" t="str">
            <v>Acuity</v>
          </cell>
          <cell r="S4870">
            <v>0.15</v>
          </cell>
        </row>
        <row r="4871">
          <cell r="D4871">
            <v>1208007959</v>
          </cell>
          <cell r="E4871" t="str">
            <v>MZUKISI SPEELMAN</v>
          </cell>
          <cell r="F4871" t="str">
            <v>A (Ch)</v>
          </cell>
          <cell r="G4871">
            <v>17853</v>
          </cell>
          <cell r="H4871" t="str">
            <v>Choice</v>
          </cell>
          <cell r="I4871">
            <v>0.54166666666666663</v>
          </cell>
          <cell r="J4871">
            <v>0.83333333333333337</v>
          </cell>
          <cell r="K4871">
            <v>6.6666666670000003</v>
          </cell>
          <cell r="L4871">
            <v>73.930000000000007</v>
          </cell>
          <cell r="O4871" t="str">
            <v>Y</v>
          </cell>
          <cell r="P4871" t="str">
            <v>N</v>
          </cell>
          <cell r="Q4871" t="str">
            <v>Acuity</v>
          </cell>
          <cell r="S4871">
            <v>0.18</v>
          </cell>
        </row>
        <row r="4872">
          <cell r="D4872">
            <v>109001539</v>
          </cell>
          <cell r="E4872" t="str">
            <v>PATRICIA BENNETT</v>
          </cell>
          <cell r="F4872" t="str">
            <v>D (Amb)</v>
          </cell>
          <cell r="G4872">
            <v>774177</v>
          </cell>
          <cell r="H4872" t="str">
            <v>Ambition</v>
          </cell>
          <cell r="I4872">
            <v>0.29166666666666669</v>
          </cell>
          <cell r="J4872">
            <v>0.625</v>
          </cell>
          <cell r="K4872">
            <v>7.6666666670000003</v>
          </cell>
          <cell r="L4872">
            <v>299.77</v>
          </cell>
          <cell r="O4872" t="str">
            <v>Y</v>
          </cell>
          <cell r="P4872" t="str">
            <v>N</v>
          </cell>
          <cell r="Q4872" t="str">
            <v>Specials</v>
          </cell>
          <cell r="S4872">
            <v>0.2</v>
          </cell>
        </row>
        <row r="4873">
          <cell r="D4873">
            <v>1208006479</v>
          </cell>
          <cell r="E4873" t="str">
            <v>PHILILE NDLANGAMANDLA</v>
          </cell>
          <cell r="F4873" t="str">
            <v>D (Ch)</v>
          </cell>
          <cell r="H4873" t="str">
            <v>Choice</v>
          </cell>
          <cell r="I4873">
            <v>0.83333333333333337</v>
          </cell>
          <cell r="J4873">
            <v>0.33333333333333331</v>
          </cell>
          <cell r="K4873">
            <v>11.33333333</v>
          </cell>
          <cell r="L4873">
            <v>359.05</v>
          </cell>
          <cell r="O4873" t="str">
            <v>Y</v>
          </cell>
          <cell r="P4873" t="str">
            <v>N</v>
          </cell>
          <cell r="Q4873" t="str">
            <v>Vacancy</v>
          </cell>
          <cell r="S4873">
            <v>0.3</v>
          </cell>
        </row>
        <row r="4874">
          <cell r="D4874">
            <v>1208005386</v>
          </cell>
          <cell r="E4874" t="str">
            <v>RICCA PARADA</v>
          </cell>
          <cell r="F4874" t="str">
            <v>D (Ch)</v>
          </cell>
          <cell r="G4874">
            <v>17849</v>
          </cell>
          <cell r="H4874" t="str">
            <v>Choice</v>
          </cell>
          <cell r="I4874">
            <v>0.3125</v>
          </cell>
          <cell r="J4874">
            <v>0.5625</v>
          </cell>
          <cell r="K4874">
            <v>5.6666666670000003</v>
          </cell>
          <cell r="L4874">
            <v>138.1</v>
          </cell>
          <cell r="O4874" t="str">
            <v>Y</v>
          </cell>
          <cell r="P4874" t="str">
            <v>N</v>
          </cell>
          <cell r="Q4874" t="str">
            <v>Transfer</v>
          </cell>
          <cell r="S4874">
            <v>0.15</v>
          </cell>
        </row>
        <row r="4875">
          <cell r="D4875">
            <v>1208005390</v>
          </cell>
          <cell r="E4875" t="str">
            <v>RICCA PARADA</v>
          </cell>
          <cell r="F4875" t="str">
            <v>D (Ch)</v>
          </cell>
          <cell r="G4875">
            <v>17849</v>
          </cell>
          <cell r="H4875" t="str">
            <v>Choice</v>
          </cell>
          <cell r="I4875">
            <v>0.5625</v>
          </cell>
          <cell r="J4875">
            <v>0.85416666666666663</v>
          </cell>
          <cell r="K4875">
            <v>6.6666666670000003</v>
          </cell>
          <cell r="L4875">
            <v>162.47</v>
          </cell>
          <cell r="O4875" t="str">
            <v>Y</v>
          </cell>
          <cell r="P4875" t="str">
            <v>N</v>
          </cell>
          <cell r="Q4875" t="str">
            <v>Under Established</v>
          </cell>
          <cell r="S4875">
            <v>0.18</v>
          </cell>
        </row>
        <row r="4876">
          <cell r="D4876">
            <v>1208005391</v>
          </cell>
          <cell r="E4876" t="str">
            <v>ROHEYATOU NDOW-NJIE</v>
          </cell>
          <cell r="F4876" t="str">
            <v>D (Ch)</v>
          </cell>
          <cell r="G4876">
            <v>17926</v>
          </cell>
          <cell r="H4876" t="str">
            <v>Choice</v>
          </cell>
          <cell r="I4876">
            <v>0.5625</v>
          </cell>
          <cell r="J4876">
            <v>0.85416666666666663</v>
          </cell>
          <cell r="K4876">
            <v>6.6666666670000003</v>
          </cell>
          <cell r="L4876">
            <v>162.47</v>
          </cell>
          <cell r="O4876" t="str">
            <v>Y</v>
          </cell>
          <cell r="P4876" t="str">
            <v>N</v>
          </cell>
          <cell r="Q4876" t="str">
            <v>Under Established</v>
          </cell>
          <cell r="S4876">
            <v>0.18</v>
          </cell>
        </row>
        <row r="4877">
          <cell r="D4877">
            <v>109001530</v>
          </cell>
          <cell r="E4877" t="str">
            <v>RUTH NDEGWA</v>
          </cell>
          <cell r="F4877" t="str">
            <v>D (MD)</v>
          </cell>
          <cell r="G4877">
            <v>357827</v>
          </cell>
          <cell r="H4877" t="str">
            <v>Mayday</v>
          </cell>
          <cell r="I4877">
            <v>0.83333333333333337</v>
          </cell>
          <cell r="J4877">
            <v>0.33333333333333331</v>
          </cell>
          <cell r="K4877">
            <v>11.33333333</v>
          </cell>
          <cell r="L4877">
            <v>475.74</v>
          </cell>
          <cell r="O4877" t="str">
            <v>Y</v>
          </cell>
          <cell r="P4877" t="str">
            <v>N</v>
          </cell>
          <cell r="Q4877" t="str">
            <v>Extra Capacity</v>
          </cell>
          <cell r="S4877">
            <v>0.3</v>
          </cell>
        </row>
        <row r="4878">
          <cell r="D4878">
            <v>1208005398</v>
          </cell>
          <cell r="E4878" t="str">
            <v>SAM KELEM</v>
          </cell>
          <cell r="F4878" t="str">
            <v>D (Ch)</v>
          </cell>
          <cell r="G4878">
            <v>17853</v>
          </cell>
          <cell r="H4878" t="str">
            <v>Choice</v>
          </cell>
          <cell r="I4878">
            <v>0.83333333333333337</v>
          </cell>
          <cell r="J4878">
            <v>0.33333333333333331</v>
          </cell>
          <cell r="K4878">
            <v>11.33333333</v>
          </cell>
          <cell r="L4878">
            <v>359.05</v>
          </cell>
          <cell r="O4878" t="str">
            <v>Y</v>
          </cell>
          <cell r="P4878" t="str">
            <v>N</v>
          </cell>
          <cell r="Q4878" t="str">
            <v>Annual Leave</v>
          </cell>
          <cell r="S4878">
            <v>0.3</v>
          </cell>
        </row>
        <row r="4879">
          <cell r="D4879">
            <v>1208007312</v>
          </cell>
          <cell r="E4879" t="str">
            <v>SAMSON BARACENA</v>
          </cell>
          <cell r="F4879" t="str">
            <v>D (Ch)</v>
          </cell>
          <cell r="G4879">
            <v>17941</v>
          </cell>
          <cell r="H4879" t="str">
            <v>Choice</v>
          </cell>
          <cell r="I4879">
            <v>0.8125</v>
          </cell>
          <cell r="J4879">
            <v>0.33333333333333331</v>
          </cell>
          <cell r="K4879">
            <v>11.83333333</v>
          </cell>
          <cell r="L4879">
            <v>374.89</v>
          </cell>
          <cell r="O4879" t="str">
            <v>Y</v>
          </cell>
          <cell r="P4879" t="str">
            <v>N</v>
          </cell>
          <cell r="Q4879" t="str">
            <v>Extra Capacity</v>
          </cell>
          <cell r="S4879">
            <v>0.32</v>
          </cell>
        </row>
        <row r="4880">
          <cell r="D4880">
            <v>1208006451</v>
          </cell>
          <cell r="E4880" t="str">
            <v>SELINAH BAKASA</v>
          </cell>
          <cell r="F4880" t="str">
            <v>D (Ch)</v>
          </cell>
          <cell r="G4880">
            <v>17867</v>
          </cell>
          <cell r="H4880" t="str">
            <v>Choice</v>
          </cell>
          <cell r="I4880">
            <v>0.3125</v>
          </cell>
          <cell r="J4880">
            <v>0.85416666666666663</v>
          </cell>
          <cell r="K4880">
            <v>12.33333333</v>
          </cell>
          <cell r="L4880">
            <v>300.56</v>
          </cell>
          <cell r="O4880" t="str">
            <v>Y</v>
          </cell>
          <cell r="P4880" t="str">
            <v>N</v>
          </cell>
          <cell r="Q4880" t="str">
            <v>Vacancy</v>
          </cell>
          <cell r="S4880">
            <v>0.33</v>
          </cell>
        </row>
        <row r="4881">
          <cell r="D4881">
            <v>1208007752</v>
          </cell>
          <cell r="E4881" t="str">
            <v>SHAUN MCKEE</v>
          </cell>
          <cell r="F4881" t="str">
            <v>D (Amb)</v>
          </cell>
          <cell r="G4881">
            <v>774207</v>
          </cell>
          <cell r="H4881" t="str">
            <v>Ambition</v>
          </cell>
          <cell r="I4881">
            <v>0.60416666666666663</v>
          </cell>
          <cell r="J4881">
            <v>0.85416666666666663</v>
          </cell>
          <cell r="K4881">
            <v>5.6666666670000003</v>
          </cell>
          <cell r="L4881">
            <v>221.57</v>
          </cell>
          <cell r="O4881" t="str">
            <v>Y</v>
          </cell>
          <cell r="P4881" t="str">
            <v>N</v>
          </cell>
          <cell r="Q4881" t="str">
            <v>Extra Capacity</v>
          </cell>
          <cell r="S4881">
            <v>0.15</v>
          </cell>
        </row>
        <row r="4882">
          <cell r="D4882">
            <v>1208007961</v>
          </cell>
          <cell r="E4882" t="str">
            <v>TAEL MHANGO</v>
          </cell>
          <cell r="F4882" t="str">
            <v>D (Ch)</v>
          </cell>
          <cell r="G4882">
            <v>17853</v>
          </cell>
          <cell r="H4882" t="str">
            <v>Choice</v>
          </cell>
          <cell r="I4882">
            <v>0.83333333333333337</v>
          </cell>
          <cell r="J4882">
            <v>0.33333333333333331</v>
          </cell>
          <cell r="K4882">
            <v>11.33333333</v>
          </cell>
          <cell r="L4882">
            <v>359.05</v>
          </cell>
          <cell r="O4882" t="str">
            <v>Y</v>
          </cell>
          <cell r="P4882" t="str">
            <v>N</v>
          </cell>
          <cell r="Q4882" t="str">
            <v>Acuity</v>
          </cell>
          <cell r="S4882">
            <v>0.3</v>
          </cell>
        </row>
        <row r="4883">
          <cell r="D4883">
            <v>1208006452</v>
          </cell>
          <cell r="E4883" t="str">
            <v>THEMBA CEBEKHULU</v>
          </cell>
          <cell r="F4883" t="str">
            <v>D (Ch)</v>
          </cell>
          <cell r="G4883">
            <v>17867</v>
          </cell>
          <cell r="H4883" t="str">
            <v>Choice</v>
          </cell>
          <cell r="I4883">
            <v>0.3125</v>
          </cell>
          <cell r="J4883">
            <v>0.85416666666666663</v>
          </cell>
          <cell r="K4883">
            <v>12.33333333</v>
          </cell>
          <cell r="L4883">
            <v>300.56</v>
          </cell>
          <cell r="O4883" t="str">
            <v>Y</v>
          </cell>
          <cell r="P4883" t="str">
            <v>N</v>
          </cell>
          <cell r="Q4883" t="str">
            <v>Vacancy</v>
          </cell>
          <cell r="S4883">
            <v>0.33</v>
          </cell>
        </row>
        <row r="4884">
          <cell r="D4884">
            <v>109002744</v>
          </cell>
          <cell r="E4884" t="str">
            <v>VIDA OTUO-ACHEAMPONG</v>
          </cell>
          <cell r="F4884" t="str">
            <v>D (Amb)</v>
          </cell>
          <cell r="G4884">
            <v>774724</v>
          </cell>
          <cell r="H4884" t="str">
            <v>Ambition</v>
          </cell>
          <cell r="I4884">
            <v>0.83333333333333337</v>
          </cell>
          <cell r="J4884">
            <v>0.33333333333333331</v>
          </cell>
          <cell r="K4884">
            <v>11</v>
          </cell>
          <cell r="L4884">
            <v>559.13</v>
          </cell>
          <cell r="O4884" t="str">
            <v>Y</v>
          </cell>
          <cell r="P4884" t="str">
            <v>N</v>
          </cell>
          <cell r="Q4884" t="str">
            <v>Acuity</v>
          </cell>
          <cell r="S4884">
            <v>0.28999999999999998</v>
          </cell>
        </row>
        <row r="4885">
          <cell r="D4885">
            <v>109002043</v>
          </cell>
          <cell r="E4885" t="str">
            <v>VIJAY PANDYA</v>
          </cell>
          <cell r="F4885" t="str">
            <v>D (MD)</v>
          </cell>
          <cell r="G4885">
            <v>359001</v>
          </cell>
          <cell r="H4885" t="str">
            <v>Mayday</v>
          </cell>
          <cell r="I4885">
            <v>0.83333333333333337</v>
          </cell>
          <cell r="J4885">
            <v>0.33333333333333331</v>
          </cell>
          <cell r="K4885">
            <v>11.33333333</v>
          </cell>
          <cell r="L4885">
            <v>475.74</v>
          </cell>
          <cell r="O4885" t="str">
            <v>Y</v>
          </cell>
          <cell r="P4885" t="str">
            <v>N</v>
          </cell>
          <cell r="Q4885" t="str">
            <v>Extra Capacity</v>
          </cell>
          <cell r="S4885">
            <v>0.3</v>
          </cell>
        </row>
        <row r="4886">
          <cell r="D4886">
            <v>109003122</v>
          </cell>
          <cell r="E4886" t="str">
            <v>ZOE SALVEFEN</v>
          </cell>
          <cell r="F4886" t="str">
            <v>D (MD)</v>
          </cell>
          <cell r="G4886">
            <v>359150</v>
          </cell>
          <cell r="H4886" t="str">
            <v>Mayday</v>
          </cell>
          <cell r="I4886">
            <v>0.8125</v>
          </cell>
          <cell r="J4886">
            <v>0.33333333333333331</v>
          </cell>
          <cell r="K4886">
            <v>11.83333333</v>
          </cell>
          <cell r="L4886">
            <v>496.73</v>
          </cell>
          <cell r="O4886" t="str">
            <v>Y</v>
          </cell>
          <cell r="P4886" t="str">
            <v>N</v>
          </cell>
          <cell r="Q4886" t="str">
            <v>Nurse Moved</v>
          </cell>
          <cell r="S4886">
            <v>0.32</v>
          </cell>
        </row>
        <row r="4887">
          <cell r="D4887">
            <v>1108006435</v>
          </cell>
          <cell r="E4887" t="str">
            <v xml:space="preserve"> NJIE ROHEYATOU NDOW</v>
          </cell>
          <cell r="F4887" t="str">
            <v>D (Ch)</v>
          </cell>
          <cell r="G4887">
            <v>17939</v>
          </cell>
          <cell r="H4887" t="str">
            <v>Choice</v>
          </cell>
          <cell r="I4887">
            <v>0.3125</v>
          </cell>
          <cell r="J4887">
            <v>0.5625</v>
          </cell>
          <cell r="K4887">
            <v>5.6666666670000003</v>
          </cell>
          <cell r="L4887">
            <v>138.1</v>
          </cell>
          <cell r="O4887" t="str">
            <v>Y</v>
          </cell>
          <cell r="P4887" t="str">
            <v>N</v>
          </cell>
          <cell r="Q4887" t="str">
            <v>Vacancy</v>
          </cell>
          <cell r="S4887">
            <v>0.15</v>
          </cell>
        </row>
        <row r="4888">
          <cell r="D4888">
            <v>109002247</v>
          </cell>
          <cell r="E4888" t="str">
            <v>ALAN CURTIS</v>
          </cell>
          <cell r="F4888" t="str">
            <v>D (MD)</v>
          </cell>
          <cell r="G4888">
            <v>359151</v>
          </cell>
          <cell r="H4888" t="str">
            <v>Mayday</v>
          </cell>
          <cell r="I4888">
            <v>0.3125</v>
          </cell>
          <cell r="J4888">
            <v>0.83333333333333337</v>
          </cell>
          <cell r="K4888">
            <v>11.83333333</v>
          </cell>
          <cell r="L4888">
            <v>382.1</v>
          </cell>
          <cell r="O4888" t="str">
            <v>Y</v>
          </cell>
          <cell r="P4888" t="str">
            <v>N</v>
          </cell>
          <cell r="Q4888" t="str">
            <v>Extra Capacity</v>
          </cell>
          <cell r="S4888">
            <v>0.32</v>
          </cell>
        </row>
        <row r="4889">
          <cell r="D4889">
            <v>1208007725</v>
          </cell>
          <cell r="E4889" t="str">
            <v>ALAN ROWLATT-HARROD</v>
          </cell>
          <cell r="F4889" t="str">
            <v>D (Amb)</v>
          </cell>
          <cell r="G4889">
            <v>774211</v>
          </cell>
          <cell r="H4889" t="str">
            <v>Ambition</v>
          </cell>
          <cell r="I4889">
            <v>0.3125</v>
          </cell>
          <cell r="J4889">
            <v>0.60416666666666663</v>
          </cell>
          <cell r="K4889">
            <v>6.6666666670000003</v>
          </cell>
          <cell r="L4889">
            <v>260.67</v>
          </cell>
          <cell r="O4889" t="str">
            <v>Y</v>
          </cell>
          <cell r="P4889" t="str">
            <v>N</v>
          </cell>
          <cell r="Q4889" t="str">
            <v>Extra Capacity</v>
          </cell>
          <cell r="S4889">
            <v>0.18</v>
          </cell>
        </row>
        <row r="4890">
          <cell r="D4890">
            <v>1208007754</v>
          </cell>
          <cell r="E4890" t="str">
            <v>ALAN ROWLATT-HARROD</v>
          </cell>
          <cell r="F4890" t="str">
            <v>D (Amb)</v>
          </cell>
          <cell r="G4890">
            <v>774211</v>
          </cell>
          <cell r="H4890" t="str">
            <v>Ambition</v>
          </cell>
          <cell r="I4890">
            <v>0.60416666666666663</v>
          </cell>
          <cell r="J4890">
            <v>0.85416666666666663</v>
          </cell>
          <cell r="K4890">
            <v>5.6666666670000003</v>
          </cell>
          <cell r="L4890">
            <v>221.57</v>
          </cell>
          <cell r="O4890" t="str">
            <v>Y</v>
          </cell>
          <cell r="P4890" t="str">
            <v>N</v>
          </cell>
          <cell r="Q4890" t="str">
            <v>Extra Capacity</v>
          </cell>
          <cell r="S4890">
            <v>0.15</v>
          </cell>
        </row>
        <row r="4891">
          <cell r="D4891">
            <v>109000006</v>
          </cell>
          <cell r="E4891" t="str">
            <v>ATINUKE OKE-OLATUNDE</v>
          </cell>
          <cell r="F4891" t="str">
            <v>D (MD)</v>
          </cell>
          <cell r="G4891">
            <v>362919</v>
          </cell>
          <cell r="H4891" t="str">
            <v>Mayday</v>
          </cell>
          <cell r="I4891">
            <v>0.83333333333333337</v>
          </cell>
          <cell r="J4891">
            <v>0.33333333333333331</v>
          </cell>
          <cell r="K4891">
            <v>11.33333333</v>
          </cell>
          <cell r="L4891">
            <v>475.74</v>
          </cell>
          <cell r="O4891" t="str">
            <v>Y</v>
          </cell>
          <cell r="P4891" t="str">
            <v>N</v>
          </cell>
          <cell r="Q4891" t="str">
            <v>Under Established</v>
          </cell>
          <cell r="S4891">
            <v>0.3</v>
          </cell>
        </row>
        <row r="4892">
          <cell r="D4892">
            <v>1208007727</v>
          </cell>
          <cell r="E4892" t="str">
            <v>AUGUSTA ONWUSONYE</v>
          </cell>
          <cell r="F4892" t="str">
            <v>D (Amb)</v>
          </cell>
          <cell r="G4892">
            <v>774191</v>
          </cell>
          <cell r="H4892" t="str">
            <v>Ambition</v>
          </cell>
          <cell r="I4892">
            <v>0.3125</v>
          </cell>
          <cell r="J4892">
            <v>0.60416666666666663</v>
          </cell>
          <cell r="K4892">
            <v>6.6666666670000003</v>
          </cell>
          <cell r="L4892">
            <v>260.67</v>
          </cell>
          <cell r="O4892" t="str">
            <v>Y</v>
          </cell>
          <cell r="P4892" t="str">
            <v>N</v>
          </cell>
          <cell r="Q4892" t="str">
            <v>Extra Capacity</v>
          </cell>
          <cell r="S4892">
            <v>0.18</v>
          </cell>
        </row>
        <row r="4893">
          <cell r="D4893">
            <v>1208007780</v>
          </cell>
          <cell r="E4893" t="str">
            <v>BEAUTY NGIDI</v>
          </cell>
          <cell r="F4893" t="str">
            <v>D (MD)</v>
          </cell>
          <cell r="G4893">
            <v>359093</v>
          </cell>
          <cell r="H4893" t="str">
            <v>Mayday</v>
          </cell>
          <cell r="I4893">
            <v>0.83333333333333337</v>
          </cell>
          <cell r="J4893">
            <v>0.33333333333333331</v>
          </cell>
          <cell r="K4893">
            <v>11.33333333</v>
          </cell>
          <cell r="L4893">
            <v>475.74</v>
          </cell>
          <cell r="O4893" t="str">
            <v>Y</v>
          </cell>
          <cell r="P4893" t="str">
            <v>N</v>
          </cell>
          <cell r="Q4893" t="str">
            <v>Extra Capacity</v>
          </cell>
          <cell r="S4893">
            <v>0.3</v>
          </cell>
        </row>
        <row r="4894">
          <cell r="D4894">
            <v>1208007784</v>
          </cell>
          <cell r="E4894" t="str">
            <v>BONITA BUTLER</v>
          </cell>
          <cell r="F4894" t="str">
            <v>D (MD)</v>
          </cell>
          <cell r="G4894">
            <v>357849</v>
          </cell>
          <cell r="H4894" t="str">
            <v>Mayday</v>
          </cell>
          <cell r="I4894">
            <v>0.83333333333333337</v>
          </cell>
          <cell r="J4894">
            <v>0.33333333333333331</v>
          </cell>
          <cell r="K4894">
            <v>11.33333333</v>
          </cell>
          <cell r="L4894">
            <v>475.74</v>
          </cell>
          <cell r="O4894" t="str">
            <v>Y</v>
          </cell>
          <cell r="P4894" t="str">
            <v>N</v>
          </cell>
          <cell r="Q4894" t="str">
            <v>Extra Capacity</v>
          </cell>
          <cell r="S4894">
            <v>0.3</v>
          </cell>
        </row>
        <row r="4895">
          <cell r="D4895">
            <v>109003123</v>
          </cell>
          <cell r="E4895" t="str">
            <v>BRENDA GWEKWERERE</v>
          </cell>
          <cell r="F4895" t="str">
            <v>D (Ch)</v>
          </cell>
          <cell r="G4895">
            <v>17944</v>
          </cell>
          <cell r="H4895" t="str">
            <v>Choice</v>
          </cell>
          <cell r="I4895">
            <v>0.3125</v>
          </cell>
          <cell r="J4895">
            <v>0.83333333333333337</v>
          </cell>
          <cell r="K4895">
            <v>11.83333333</v>
          </cell>
          <cell r="L4895">
            <v>288.38</v>
          </cell>
          <cell r="O4895" t="str">
            <v>Y</v>
          </cell>
          <cell r="P4895" t="str">
            <v>N</v>
          </cell>
          <cell r="Q4895" t="str">
            <v>Nurse Moved</v>
          </cell>
          <cell r="S4895">
            <v>0.32</v>
          </cell>
        </row>
        <row r="4896">
          <cell r="D4896">
            <v>1208007980</v>
          </cell>
          <cell r="E4896" t="str">
            <v>CATH CHIDAVAYENZI</v>
          </cell>
          <cell r="F4896" t="str">
            <v>D (Ch)</v>
          </cell>
          <cell r="G4896">
            <v>17853</v>
          </cell>
          <cell r="H4896" t="str">
            <v>Choice</v>
          </cell>
          <cell r="I4896">
            <v>0.83333333333333337</v>
          </cell>
          <cell r="J4896">
            <v>0.33333333333333331</v>
          </cell>
          <cell r="K4896">
            <v>11.33333333</v>
          </cell>
          <cell r="L4896">
            <v>359.05</v>
          </cell>
          <cell r="O4896" t="str">
            <v>Y</v>
          </cell>
          <cell r="P4896" t="str">
            <v>N</v>
          </cell>
          <cell r="Q4896" t="str">
            <v>Acuity</v>
          </cell>
          <cell r="S4896">
            <v>0.3</v>
          </cell>
        </row>
        <row r="4897">
          <cell r="D4897">
            <v>109003692</v>
          </cell>
          <cell r="E4897" t="str">
            <v>CECILIA TIPPA</v>
          </cell>
          <cell r="F4897" t="str">
            <v>D (MD)</v>
          </cell>
          <cell r="G4897">
            <v>359088</v>
          </cell>
          <cell r="H4897" t="str">
            <v>Mayday</v>
          </cell>
          <cell r="I4897">
            <v>0.8125</v>
          </cell>
          <cell r="J4897">
            <v>0.33333333333333331</v>
          </cell>
          <cell r="K4897">
            <v>11.83333333</v>
          </cell>
          <cell r="L4897">
            <v>496.73</v>
          </cell>
          <cell r="O4897" t="str">
            <v>Y</v>
          </cell>
          <cell r="P4897" t="str">
            <v>N</v>
          </cell>
          <cell r="Q4897" t="str">
            <v>Short Term Sick</v>
          </cell>
          <cell r="S4897">
            <v>0.32</v>
          </cell>
        </row>
        <row r="4898">
          <cell r="D4898">
            <v>1208006480</v>
          </cell>
          <cell r="E4898" t="str">
            <v>CYNTHIA DELMO</v>
          </cell>
          <cell r="F4898" t="str">
            <v>D (Ch)</v>
          </cell>
          <cell r="G4898">
            <v>17867</v>
          </cell>
          <cell r="H4898" t="str">
            <v>Choice</v>
          </cell>
          <cell r="I4898">
            <v>0.83333333333333337</v>
          </cell>
          <cell r="J4898">
            <v>0.33333333333333331</v>
          </cell>
          <cell r="K4898">
            <v>11.33333333</v>
          </cell>
          <cell r="L4898">
            <v>359.05</v>
          </cell>
          <cell r="O4898" t="str">
            <v>Y</v>
          </cell>
          <cell r="P4898" t="str">
            <v>N</v>
          </cell>
          <cell r="Q4898" t="str">
            <v>Vacancy</v>
          </cell>
          <cell r="S4898">
            <v>0.3</v>
          </cell>
        </row>
        <row r="4899">
          <cell r="D4899">
            <v>1208005402</v>
          </cell>
          <cell r="E4899" t="str">
            <v>DAMILOLA AIKI</v>
          </cell>
          <cell r="F4899" t="str">
            <v>A (Ch)</v>
          </cell>
          <cell r="H4899" t="str">
            <v>Choice</v>
          </cell>
          <cell r="I4899">
            <v>0.3125</v>
          </cell>
          <cell r="J4899">
            <v>0.5625</v>
          </cell>
          <cell r="K4899">
            <v>5.6666666670000003</v>
          </cell>
          <cell r="L4899">
            <v>62.84</v>
          </cell>
          <cell r="O4899" t="str">
            <v>Y</v>
          </cell>
          <cell r="P4899" t="str">
            <v>N</v>
          </cell>
          <cell r="Q4899" t="str">
            <v>Transfer</v>
          </cell>
          <cell r="S4899">
            <v>0.15</v>
          </cell>
        </row>
        <row r="4900">
          <cell r="D4900">
            <v>109002047</v>
          </cell>
          <cell r="E4900" t="str">
            <v>DEBBIE MVERCHENA</v>
          </cell>
          <cell r="F4900" t="str">
            <v>5 Mental (Advan</v>
          </cell>
          <cell r="G4900">
            <v>1418527</v>
          </cell>
          <cell r="H4900" t="str">
            <v>Advantage</v>
          </cell>
          <cell r="I4900">
            <v>0.83333333333333337</v>
          </cell>
          <cell r="J4900">
            <v>0.33333333333333331</v>
          </cell>
          <cell r="K4900">
            <v>11.33333333</v>
          </cell>
          <cell r="L4900">
            <v>260.77999999999997</v>
          </cell>
          <cell r="O4900" t="str">
            <v>Y</v>
          </cell>
          <cell r="P4900" t="str">
            <v>N</v>
          </cell>
          <cell r="Q4900" t="str">
            <v>Extra Capacity</v>
          </cell>
          <cell r="S4900">
            <v>0.3</v>
          </cell>
        </row>
        <row r="4901">
          <cell r="D4901">
            <v>1208007783</v>
          </cell>
          <cell r="E4901" t="str">
            <v>DONALD YANZA</v>
          </cell>
          <cell r="F4901" t="str">
            <v>D (Ch)</v>
          </cell>
          <cell r="G4901">
            <v>17855</v>
          </cell>
          <cell r="H4901" t="str">
            <v>Choice</v>
          </cell>
          <cell r="I4901">
            <v>0.83333333333333337</v>
          </cell>
          <cell r="J4901">
            <v>0.33333333333333331</v>
          </cell>
          <cell r="K4901">
            <v>11.33333333</v>
          </cell>
          <cell r="L4901">
            <v>359.05</v>
          </cell>
          <cell r="O4901" t="str">
            <v>Y</v>
          </cell>
          <cell r="P4901" t="str">
            <v>N</v>
          </cell>
          <cell r="Q4901" t="str">
            <v>Extra Capacity</v>
          </cell>
          <cell r="S4901">
            <v>0.3</v>
          </cell>
        </row>
        <row r="4902">
          <cell r="D4902">
            <v>1208005816</v>
          </cell>
          <cell r="E4902" t="str">
            <v>ELENOR PARAZO</v>
          </cell>
          <cell r="F4902" t="str">
            <v>D (MD)</v>
          </cell>
          <cell r="G4902">
            <v>359082</v>
          </cell>
          <cell r="H4902" t="str">
            <v>Mayday</v>
          </cell>
          <cell r="I4902">
            <v>0.88541666666666663</v>
          </cell>
          <cell r="J4902">
            <v>0.30208333333333331</v>
          </cell>
          <cell r="K4902">
            <v>9.6666666669999994</v>
          </cell>
          <cell r="L4902">
            <v>405.78</v>
          </cell>
          <cell r="O4902" t="str">
            <v>Y</v>
          </cell>
          <cell r="P4902" t="str">
            <v>N</v>
          </cell>
          <cell r="Q4902" t="str">
            <v>Extra Capacity</v>
          </cell>
          <cell r="S4902">
            <v>0.26</v>
          </cell>
        </row>
        <row r="4903">
          <cell r="D4903">
            <v>1208005800</v>
          </cell>
          <cell r="E4903" t="str">
            <v>EVELYN EDBIRI</v>
          </cell>
          <cell r="F4903" t="str">
            <v>D (Amb)</v>
          </cell>
          <cell r="G4903">
            <v>774216</v>
          </cell>
          <cell r="H4903" t="str">
            <v>Ambition</v>
          </cell>
          <cell r="I4903">
            <v>0.63541666666666663</v>
          </cell>
          <cell r="J4903">
            <v>0.89583333333333337</v>
          </cell>
          <cell r="K4903">
            <v>5.9166666670000003</v>
          </cell>
          <cell r="L4903">
            <v>231.34</v>
          </cell>
          <cell r="O4903" t="str">
            <v>Y</v>
          </cell>
          <cell r="P4903" t="str">
            <v>N</v>
          </cell>
          <cell r="Q4903" t="str">
            <v>Extra Capacity</v>
          </cell>
          <cell r="S4903">
            <v>0.16</v>
          </cell>
        </row>
        <row r="4904">
          <cell r="D4904">
            <v>1208007728</v>
          </cell>
          <cell r="E4904" t="str">
            <v>EVELYN EDBIRI</v>
          </cell>
          <cell r="F4904" t="str">
            <v>D (Amb)</v>
          </cell>
          <cell r="G4904">
            <v>774216</v>
          </cell>
          <cell r="H4904" t="str">
            <v>Ambition</v>
          </cell>
          <cell r="I4904">
            <v>0.3125</v>
          </cell>
          <cell r="J4904">
            <v>0.60416666666666663</v>
          </cell>
          <cell r="K4904">
            <v>6.6666666670000003</v>
          </cell>
          <cell r="L4904">
            <v>260.67</v>
          </cell>
          <cell r="O4904" t="str">
            <v>Y</v>
          </cell>
          <cell r="P4904" t="str">
            <v>N</v>
          </cell>
          <cell r="Q4904" t="str">
            <v>Extra Capacity</v>
          </cell>
          <cell r="S4904">
            <v>0.18</v>
          </cell>
        </row>
        <row r="4905">
          <cell r="D4905">
            <v>1208003025</v>
          </cell>
          <cell r="E4905" t="str">
            <v>EVELYN PANESA</v>
          </cell>
          <cell r="F4905" t="str">
            <v>D (Ch)</v>
          </cell>
          <cell r="G4905">
            <v>17866</v>
          </cell>
          <cell r="H4905" t="str">
            <v>Choice</v>
          </cell>
          <cell r="I4905">
            <v>0.29166666666666669</v>
          </cell>
          <cell r="J4905">
            <v>0.54166666666666663</v>
          </cell>
          <cell r="K4905">
            <v>5.75</v>
          </cell>
          <cell r="L4905">
            <v>140.13</v>
          </cell>
          <cell r="O4905" t="str">
            <v>Y</v>
          </cell>
          <cell r="P4905" t="str">
            <v>N</v>
          </cell>
          <cell r="Q4905" t="str">
            <v>Long Term Sick</v>
          </cell>
          <cell r="S4905">
            <v>0.15</v>
          </cell>
        </row>
        <row r="4906">
          <cell r="D4906">
            <v>1208007554</v>
          </cell>
          <cell r="E4906" t="str">
            <v>EVELYN PANESA</v>
          </cell>
          <cell r="F4906" t="str">
            <v>D (Ch)</v>
          </cell>
          <cell r="G4906">
            <v>17873</v>
          </cell>
          <cell r="H4906" t="str">
            <v>Choice</v>
          </cell>
          <cell r="I4906">
            <v>0.5625</v>
          </cell>
          <cell r="J4906">
            <v>0.89583333333333337</v>
          </cell>
          <cell r="K4906">
            <v>7.5</v>
          </cell>
          <cell r="L4906">
            <v>182.78</v>
          </cell>
          <cell r="O4906" t="str">
            <v>Y</v>
          </cell>
          <cell r="P4906" t="str">
            <v>N</v>
          </cell>
          <cell r="Q4906" t="str">
            <v>Extra Capacity</v>
          </cell>
          <cell r="S4906">
            <v>0.2</v>
          </cell>
        </row>
        <row r="4907">
          <cell r="D4907">
            <v>1208007781</v>
          </cell>
          <cell r="E4907" t="str">
            <v>FATIMA UMARU</v>
          </cell>
          <cell r="F4907" t="str">
            <v>D (MD)</v>
          </cell>
          <cell r="G4907">
            <v>357853</v>
          </cell>
          <cell r="H4907" t="str">
            <v>Mayday</v>
          </cell>
          <cell r="I4907">
            <v>0.83333333333333337</v>
          </cell>
          <cell r="J4907">
            <v>0.33333333333333331</v>
          </cell>
          <cell r="K4907">
            <v>11.33333333</v>
          </cell>
          <cell r="L4907">
            <v>475.74</v>
          </cell>
          <cell r="O4907" t="str">
            <v>Y</v>
          </cell>
          <cell r="P4907" t="str">
            <v>N</v>
          </cell>
          <cell r="Q4907" t="str">
            <v>Extra Capacity</v>
          </cell>
          <cell r="S4907">
            <v>0.3</v>
          </cell>
        </row>
        <row r="4908">
          <cell r="D4908">
            <v>1108006437</v>
          </cell>
          <cell r="E4908" t="str">
            <v>FIONA DURKIN-GREER</v>
          </cell>
          <cell r="F4908" t="str">
            <v>D (MD)</v>
          </cell>
          <cell r="G4908">
            <v>358998</v>
          </cell>
          <cell r="H4908" t="str">
            <v>Mayday</v>
          </cell>
          <cell r="I4908">
            <v>0.5625</v>
          </cell>
          <cell r="J4908">
            <v>0.85416666666666663</v>
          </cell>
          <cell r="K4908">
            <v>6.6666666670000003</v>
          </cell>
          <cell r="L4908">
            <v>215.27</v>
          </cell>
          <cell r="O4908" t="str">
            <v>Y</v>
          </cell>
          <cell r="P4908" t="str">
            <v>N</v>
          </cell>
          <cell r="Q4908" t="str">
            <v>Vacancy</v>
          </cell>
          <cell r="S4908">
            <v>0.18</v>
          </cell>
        </row>
        <row r="4909">
          <cell r="D4909">
            <v>1208005400</v>
          </cell>
          <cell r="E4909" t="str">
            <v>GEORGE MALETE</v>
          </cell>
          <cell r="F4909" t="str">
            <v>A (Ch)</v>
          </cell>
          <cell r="G4909">
            <v>17849</v>
          </cell>
          <cell r="H4909" t="str">
            <v>Choice</v>
          </cell>
          <cell r="I4909">
            <v>0.3125</v>
          </cell>
          <cell r="J4909">
            <v>0.5625</v>
          </cell>
          <cell r="K4909">
            <v>5.6666666670000003</v>
          </cell>
          <cell r="L4909">
            <v>62.84</v>
          </cell>
          <cell r="O4909" t="str">
            <v>Y</v>
          </cell>
          <cell r="P4909" t="str">
            <v>N</v>
          </cell>
          <cell r="Q4909" t="str">
            <v>Under Established</v>
          </cell>
          <cell r="S4909">
            <v>0.15</v>
          </cell>
        </row>
        <row r="4910">
          <cell r="D4910">
            <v>1208005408</v>
          </cell>
          <cell r="E4910" t="str">
            <v>GEORGE MALETE</v>
          </cell>
          <cell r="F4910" t="str">
            <v>A (Ch)</v>
          </cell>
          <cell r="G4910">
            <v>17849</v>
          </cell>
          <cell r="H4910" t="str">
            <v>Choice</v>
          </cell>
          <cell r="I4910">
            <v>0.5625</v>
          </cell>
          <cell r="J4910">
            <v>0.85416666666666663</v>
          </cell>
          <cell r="K4910">
            <v>6.6666666670000003</v>
          </cell>
          <cell r="L4910">
            <v>73.930000000000007</v>
          </cell>
          <cell r="O4910" t="str">
            <v>Y</v>
          </cell>
          <cell r="P4910" t="str">
            <v>N</v>
          </cell>
          <cell r="Q4910" t="str">
            <v>Under Established</v>
          </cell>
          <cell r="S4910">
            <v>0.18</v>
          </cell>
        </row>
        <row r="4911">
          <cell r="D4911">
            <v>1208007978</v>
          </cell>
          <cell r="E4911" t="str">
            <v>GERTHY ALBANO</v>
          </cell>
          <cell r="F4911" t="str">
            <v>D (Ch)</v>
          </cell>
          <cell r="G4911">
            <v>17853</v>
          </cell>
          <cell r="H4911" t="str">
            <v>Choice</v>
          </cell>
          <cell r="I4911">
            <v>0.83333333333333337</v>
          </cell>
          <cell r="J4911">
            <v>0.33333333333333331</v>
          </cell>
          <cell r="K4911">
            <v>11.33333333</v>
          </cell>
          <cell r="L4911">
            <v>359.05</v>
          </cell>
          <cell r="O4911" t="str">
            <v>Y</v>
          </cell>
          <cell r="P4911" t="str">
            <v>N</v>
          </cell>
          <cell r="Q4911" t="str">
            <v>Acuity</v>
          </cell>
          <cell r="S4911">
            <v>0.3</v>
          </cell>
        </row>
        <row r="4912">
          <cell r="D4912">
            <v>109003125</v>
          </cell>
          <cell r="E4912" t="str">
            <v>GLENDA RONA</v>
          </cell>
          <cell r="F4912" t="str">
            <v>D (Ch)</v>
          </cell>
          <cell r="G4912">
            <v>17944</v>
          </cell>
          <cell r="H4912" t="str">
            <v>Choice</v>
          </cell>
          <cell r="I4912">
            <v>0.8125</v>
          </cell>
          <cell r="J4912">
            <v>0.33333333333333331</v>
          </cell>
          <cell r="K4912">
            <v>11.83333333</v>
          </cell>
          <cell r="L4912">
            <v>374.89</v>
          </cell>
          <cell r="O4912" t="str">
            <v>Y</v>
          </cell>
          <cell r="P4912" t="str">
            <v>N</v>
          </cell>
          <cell r="Q4912" t="str">
            <v>Nurse Moved</v>
          </cell>
          <cell r="S4912">
            <v>0.32</v>
          </cell>
        </row>
        <row r="4913">
          <cell r="D4913">
            <v>109001032</v>
          </cell>
          <cell r="E4913" t="str">
            <v>JAKE BROOKES</v>
          </cell>
          <cell r="F4913" t="str">
            <v>D General (Orio</v>
          </cell>
          <cell r="G4913" t="str">
            <v>Invsd Smt checked</v>
          </cell>
          <cell r="H4913" t="str">
            <v>Orion</v>
          </cell>
          <cell r="I4913">
            <v>0.33333333333333331</v>
          </cell>
          <cell r="J4913">
            <v>0.75</v>
          </cell>
          <cell r="K4913">
            <v>9.6666666669999994</v>
          </cell>
          <cell r="L4913">
            <v>175.16</v>
          </cell>
          <cell r="O4913" t="str">
            <v>Y</v>
          </cell>
          <cell r="P4913" t="str">
            <v>N</v>
          </cell>
          <cell r="Q4913" t="str">
            <v>Long Term Sick</v>
          </cell>
          <cell r="S4913">
            <v>0.26</v>
          </cell>
        </row>
        <row r="4914">
          <cell r="D4914">
            <v>1208006456</v>
          </cell>
          <cell r="E4914" t="str">
            <v>JASMINE ESGUERRA</v>
          </cell>
          <cell r="F4914" t="str">
            <v>D (Ch)</v>
          </cell>
          <cell r="H4914" t="str">
            <v>Choice</v>
          </cell>
          <cell r="I4914">
            <v>0.3125</v>
          </cell>
          <cell r="J4914">
            <v>0.85416666666666663</v>
          </cell>
          <cell r="K4914">
            <v>12.33333333</v>
          </cell>
          <cell r="L4914">
            <v>300.56</v>
          </cell>
          <cell r="O4914" t="str">
            <v>Y</v>
          </cell>
          <cell r="P4914" t="str">
            <v>N</v>
          </cell>
          <cell r="Q4914" t="str">
            <v>Vacancy</v>
          </cell>
          <cell r="S4914">
            <v>0.33</v>
          </cell>
        </row>
        <row r="4915">
          <cell r="D4915">
            <v>1208006003</v>
          </cell>
          <cell r="E4915" t="str">
            <v>JASON WENT</v>
          </cell>
          <cell r="F4915" t="str">
            <v>D / 5 General (</v>
          </cell>
          <cell r="G4915" t="str">
            <v>604-164684</v>
          </cell>
          <cell r="H4915" t="str">
            <v>Blue Arrow</v>
          </cell>
          <cell r="I4915">
            <v>0.82291666666666663</v>
          </cell>
          <cell r="J4915">
            <v>0.34375</v>
          </cell>
          <cell r="K4915">
            <v>11.5</v>
          </cell>
          <cell r="L4915">
            <v>252.36</v>
          </cell>
          <cell r="O4915" t="str">
            <v>Y</v>
          </cell>
          <cell r="P4915" t="str">
            <v>N</v>
          </cell>
          <cell r="Q4915" t="str">
            <v>Maternity Leave</v>
          </cell>
          <cell r="S4915">
            <v>0.31</v>
          </cell>
        </row>
        <row r="4916">
          <cell r="D4916">
            <v>1208006507</v>
          </cell>
          <cell r="E4916" t="str">
            <v>JEAN NGONA</v>
          </cell>
          <cell r="F4916" t="str">
            <v>D (MD)</v>
          </cell>
          <cell r="G4916">
            <v>358990</v>
          </cell>
          <cell r="H4916" t="str">
            <v>Mayday</v>
          </cell>
          <cell r="I4916">
            <v>0.3125</v>
          </cell>
          <cell r="J4916">
            <v>0.64583333333333337</v>
          </cell>
          <cell r="K4916">
            <v>7.5</v>
          </cell>
          <cell r="L4916">
            <v>242.17</v>
          </cell>
          <cell r="O4916" t="str">
            <v>Y</v>
          </cell>
          <cell r="P4916" t="str">
            <v>N</v>
          </cell>
          <cell r="Q4916" t="str">
            <v>Vacancy</v>
          </cell>
          <cell r="S4916">
            <v>0.2</v>
          </cell>
        </row>
        <row r="4917">
          <cell r="D4917">
            <v>109003127</v>
          </cell>
          <cell r="E4917" t="str">
            <v>JESSICA BELLAMY</v>
          </cell>
          <cell r="F4917" t="str">
            <v>D (MD)</v>
          </cell>
          <cell r="G4917">
            <v>359868</v>
          </cell>
          <cell r="H4917" t="str">
            <v>Mayday</v>
          </cell>
          <cell r="I4917">
            <v>0.8125</v>
          </cell>
          <cell r="J4917">
            <v>0.33333333333333331</v>
          </cell>
          <cell r="K4917">
            <v>11.83333333</v>
          </cell>
          <cell r="L4917">
            <v>496.73</v>
          </cell>
          <cell r="O4917" t="str">
            <v>Y</v>
          </cell>
          <cell r="P4917" t="str">
            <v>N</v>
          </cell>
          <cell r="Q4917" t="str">
            <v>Nurse Moved</v>
          </cell>
          <cell r="S4917">
            <v>0.32</v>
          </cell>
        </row>
        <row r="4918">
          <cell r="D4918">
            <v>1208008186</v>
          </cell>
          <cell r="E4918" t="str">
            <v>JILL HAMPSON</v>
          </cell>
          <cell r="F4918" t="str">
            <v>A/2 (PS)</v>
          </cell>
          <cell r="H4918" t="str">
            <v>Pinnacle Staffing</v>
          </cell>
          <cell r="I4918">
            <v>0.3125</v>
          </cell>
          <cell r="J4918">
            <v>0.64583333333333337</v>
          </cell>
          <cell r="K4918">
            <v>7.6666666670000003</v>
          </cell>
          <cell r="L4918">
            <v>71.91</v>
          </cell>
          <cell r="O4918" t="str">
            <v>Y</v>
          </cell>
          <cell r="P4918" t="str">
            <v>N</v>
          </cell>
          <cell r="Q4918" t="str">
            <v>Short Term Sick</v>
          </cell>
          <cell r="S4918">
            <v>0.2</v>
          </cell>
        </row>
        <row r="4919">
          <cell r="D4919">
            <v>1208007724</v>
          </cell>
          <cell r="E4919" t="str">
            <v>JOAN LEWIS</v>
          </cell>
          <cell r="F4919" t="str">
            <v>D (MD)</v>
          </cell>
          <cell r="G4919">
            <v>359097</v>
          </cell>
          <cell r="H4919" t="str">
            <v>Mayday</v>
          </cell>
          <cell r="I4919">
            <v>0.3125</v>
          </cell>
          <cell r="J4919">
            <v>0.60416666666666663</v>
          </cell>
          <cell r="K4919">
            <v>6.6666666670000003</v>
          </cell>
          <cell r="L4919">
            <v>215.27</v>
          </cell>
          <cell r="O4919" t="str">
            <v>Y</v>
          </cell>
          <cell r="P4919" t="str">
            <v>N</v>
          </cell>
          <cell r="Q4919" t="str">
            <v>Extra Capacity</v>
          </cell>
          <cell r="S4919">
            <v>0.18</v>
          </cell>
        </row>
        <row r="4920">
          <cell r="D4920">
            <v>1208006505</v>
          </cell>
          <cell r="E4920" t="str">
            <v>JOANNE BUSS</v>
          </cell>
          <cell r="F4920" t="str">
            <v>D (MD)</v>
          </cell>
          <cell r="G4920">
            <v>358994</v>
          </cell>
          <cell r="H4920" t="str">
            <v>Mayday</v>
          </cell>
          <cell r="I4920">
            <v>0.3125</v>
          </cell>
          <cell r="J4920">
            <v>0.64583333333333337</v>
          </cell>
          <cell r="K4920">
            <v>7.5</v>
          </cell>
          <cell r="L4920">
            <v>242.17</v>
          </cell>
          <cell r="O4920" t="str">
            <v>Y</v>
          </cell>
          <cell r="P4920" t="str">
            <v>N</v>
          </cell>
          <cell r="Q4920" t="str">
            <v>Vacancy</v>
          </cell>
          <cell r="S4920">
            <v>0.2</v>
          </cell>
        </row>
        <row r="4921">
          <cell r="D4921">
            <v>1208007782</v>
          </cell>
          <cell r="E4921" t="str">
            <v>JOSEPH BASS</v>
          </cell>
          <cell r="F4921" t="str">
            <v>D (MD)</v>
          </cell>
          <cell r="H4921" t="str">
            <v>Mayday</v>
          </cell>
          <cell r="I4921">
            <v>0.83333333333333337</v>
          </cell>
          <cell r="J4921">
            <v>0.33333333333333331</v>
          </cell>
          <cell r="K4921">
            <v>11.33333333</v>
          </cell>
          <cell r="L4921">
            <v>475.74</v>
          </cell>
          <cell r="O4921" t="str">
            <v>Y</v>
          </cell>
          <cell r="P4921" t="str">
            <v>N</v>
          </cell>
          <cell r="Q4921" t="str">
            <v>Extra Capacity</v>
          </cell>
          <cell r="S4921">
            <v>0.3</v>
          </cell>
        </row>
        <row r="4922">
          <cell r="D4922">
            <v>1208007726</v>
          </cell>
          <cell r="E4922" t="str">
            <v>KAREN STRUDWICK</v>
          </cell>
          <cell r="F4922" t="str">
            <v>D (Amb)</v>
          </cell>
          <cell r="G4922">
            <v>774182</v>
          </cell>
          <cell r="H4922" t="str">
            <v>Ambition</v>
          </cell>
          <cell r="I4922">
            <v>0.3125</v>
          </cell>
          <cell r="J4922">
            <v>0.60416666666666663</v>
          </cell>
          <cell r="K4922">
            <v>6.6666666670000003</v>
          </cell>
          <cell r="L4922">
            <v>260.67</v>
          </cell>
          <cell r="O4922" t="str">
            <v>Y</v>
          </cell>
          <cell r="P4922" t="str">
            <v>N</v>
          </cell>
          <cell r="Q4922" t="str">
            <v>Extra Capacity</v>
          </cell>
          <cell r="S4922">
            <v>0.18</v>
          </cell>
        </row>
        <row r="4923">
          <cell r="D4923">
            <v>1208007753</v>
          </cell>
          <cell r="E4923" t="str">
            <v>KAREN STRUDWICK</v>
          </cell>
          <cell r="F4923" t="str">
            <v>D (Amb)</v>
          </cell>
          <cell r="G4923">
            <v>774182</v>
          </cell>
          <cell r="H4923" t="str">
            <v>Ambition</v>
          </cell>
          <cell r="I4923">
            <v>0.60416666666666663</v>
          </cell>
          <cell r="J4923">
            <v>0.85416666666666663</v>
          </cell>
          <cell r="K4923">
            <v>5.6666666670000003</v>
          </cell>
          <cell r="L4923">
            <v>221.57</v>
          </cell>
          <cell r="O4923" t="str">
            <v>Y</v>
          </cell>
          <cell r="P4923" t="str">
            <v>N</v>
          </cell>
          <cell r="Q4923" t="str">
            <v>Extra Capacity</v>
          </cell>
          <cell r="S4923">
            <v>0.15</v>
          </cell>
        </row>
        <row r="4924">
          <cell r="D4924">
            <v>109001658</v>
          </cell>
          <cell r="E4924" t="str">
            <v>MABEL MNISI</v>
          </cell>
          <cell r="F4924" t="str">
            <v>D (MD)</v>
          </cell>
          <cell r="G4924">
            <v>357594</v>
          </cell>
          <cell r="H4924" t="str">
            <v>Mayday</v>
          </cell>
          <cell r="I4924">
            <v>0.83333333333333337</v>
          </cell>
          <cell r="J4924">
            <v>0.33333333333333331</v>
          </cell>
          <cell r="K4924">
            <v>11.33333333</v>
          </cell>
          <cell r="L4924">
            <v>475.74</v>
          </cell>
          <cell r="O4924" t="str">
            <v>Y</v>
          </cell>
          <cell r="P4924" t="str">
            <v>N</v>
          </cell>
          <cell r="Q4924" t="str">
            <v>Short Term Sick</v>
          </cell>
          <cell r="S4924">
            <v>0.3</v>
          </cell>
        </row>
        <row r="4925">
          <cell r="D4925">
            <v>109000812</v>
          </cell>
          <cell r="E4925" t="str">
            <v>MARTHA MAGWABA</v>
          </cell>
          <cell r="F4925" t="str">
            <v>A (Ch)</v>
          </cell>
          <cell r="G4925">
            <v>17878</v>
          </cell>
          <cell r="H4925" t="str">
            <v>Choice</v>
          </cell>
          <cell r="I4925">
            <v>0.3125</v>
          </cell>
          <cell r="J4925">
            <v>0.5625</v>
          </cell>
          <cell r="K4925">
            <v>5.6666666670000003</v>
          </cell>
          <cell r="L4925">
            <v>62.84</v>
          </cell>
          <cell r="O4925" t="str">
            <v>Y</v>
          </cell>
          <cell r="P4925" t="str">
            <v>N</v>
          </cell>
          <cell r="Q4925" t="str">
            <v>Short Term Sick</v>
          </cell>
          <cell r="S4925">
            <v>0.15</v>
          </cell>
        </row>
        <row r="4926">
          <cell r="D4926">
            <v>1208006477</v>
          </cell>
          <cell r="E4926" t="str">
            <v>MERCY AFELE</v>
          </cell>
          <cell r="F4926" t="str">
            <v>D (MD)</v>
          </cell>
          <cell r="G4926">
            <v>357824</v>
          </cell>
          <cell r="H4926" t="str">
            <v>Mayday</v>
          </cell>
          <cell r="I4926">
            <v>0.83333333333333337</v>
          </cell>
          <cell r="J4926">
            <v>0.33333333333333331</v>
          </cell>
          <cell r="K4926">
            <v>11.33333333</v>
          </cell>
          <cell r="L4926">
            <v>475.74</v>
          </cell>
          <cell r="O4926" t="str">
            <v>Y</v>
          </cell>
          <cell r="P4926" t="str">
            <v>N</v>
          </cell>
          <cell r="Q4926" t="str">
            <v>Vacancy</v>
          </cell>
          <cell r="S4926">
            <v>0.3</v>
          </cell>
        </row>
        <row r="4927">
          <cell r="D4927">
            <v>1208007967</v>
          </cell>
          <cell r="E4927" t="str">
            <v>MICHAEL OKE</v>
          </cell>
          <cell r="F4927" t="str">
            <v>A (Ch)</v>
          </cell>
          <cell r="G4927">
            <v>17932</v>
          </cell>
          <cell r="H4927" t="str">
            <v>Choice</v>
          </cell>
          <cell r="I4927">
            <v>0.3125</v>
          </cell>
          <cell r="J4927">
            <v>0.54166666666666663</v>
          </cell>
          <cell r="K4927">
            <v>5.5</v>
          </cell>
          <cell r="L4927">
            <v>60.99</v>
          </cell>
          <cell r="O4927" t="str">
            <v>Y</v>
          </cell>
          <cell r="P4927" t="str">
            <v>N</v>
          </cell>
          <cell r="Q4927" t="str">
            <v>Acuity</v>
          </cell>
          <cell r="S4927">
            <v>0.15</v>
          </cell>
        </row>
        <row r="4928">
          <cell r="D4928">
            <v>1208007969</v>
          </cell>
          <cell r="E4928" t="str">
            <v>MICHAEL OKE</v>
          </cell>
          <cell r="F4928" t="str">
            <v>A (Ch)</v>
          </cell>
          <cell r="G4928">
            <v>17932</v>
          </cell>
          <cell r="H4928" t="str">
            <v>Choice</v>
          </cell>
          <cell r="I4928">
            <v>0.54166666666666663</v>
          </cell>
          <cell r="J4928">
            <v>0.83333333333333337</v>
          </cell>
          <cell r="K4928">
            <v>6.6666666670000003</v>
          </cell>
          <cell r="L4928">
            <v>73.930000000000007</v>
          </cell>
          <cell r="O4928" t="str">
            <v>Y</v>
          </cell>
          <cell r="P4928" t="str">
            <v>N</v>
          </cell>
          <cell r="Q4928" t="str">
            <v>Acuity</v>
          </cell>
          <cell r="S4928">
            <v>0.18</v>
          </cell>
        </row>
        <row r="4929">
          <cell r="D4929">
            <v>1208005401</v>
          </cell>
          <cell r="E4929" t="str">
            <v>MZUKISI SPEELMAN</v>
          </cell>
          <cell r="F4929" t="str">
            <v>A (Ch)</v>
          </cell>
          <cell r="G4929">
            <v>17849</v>
          </cell>
          <cell r="H4929" t="str">
            <v>Choice</v>
          </cell>
          <cell r="I4929">
            <v>0.3125</v>
          </cell>
          <cell r="J4929">
            <v>0.5625</v>
          </cell>
          <cell r="K4929">
            <v>5.6666666670000003</v>
          </cell>
          <cell r="L4929">
            <v>62.84</v>
          </cell>
          <cell r="O4929" t="str">
            <v>Y</v>
          </cell>
          <cell r="P4929" t="str">
            <v>N</v>
          </cell>
          <cell r="Q4929" t="str">
            <v>Under Established</v>
          </cell>
          <cell r="S4929">
            <v>0.15</v>
          </cell>
        </row>
        <row r="4930">
          <cell r="D4930">
            <v>109002757</v>
          </cell>
          <cell r="E4930" t="str">
            <v>NIKKI ANDERTON</v>
          </cell>
          <cell r="F4930" t="str">
            <v>D (MD)</v>
          </cell>
          <cell r="G4930">
            <v>357588</v>
          </cell>
          <cell r="H4930" t="str">
            <v>Mayday</v>
          </cell>
          <cell r="I4930">
            <v>0.3125</v>
          </cell>
          <cell r="J4930">
            <v>0.85416666666666663</v>
          </cell>
          <cell r="K4930">
            <v>12.33333333</v>
          </cell>
          <cell r="L4930">
            <v>398.24</v>
          </cell>
          <cell r="O4930" t="str">
            <v>Y</v>
          </cell>
          <cell r="P4930" t="str">
            <v>N</v>
          </cell>
          <cell r="Q4930" t="str">
            <v>Extra Capacity</v>
          </cell>
          <cell r="S4930">
            <v>0.33</v>
          </cell>
        </row>
        <row r="4931">
          <cell r="D4931">
            <v>1208008188</v>
          </cell>
          <cell r="E4931" t="str">
            <v>NILO DANUGO</v>
          </cell>
          <cell r="F4931" t="str">
            <v>D (Ch)</v>
          </cell>
          <cell r="G4931">
            <v>17857</v>
          </cell>
          <cell r="H4931" t="str">
            <v>Choice</v>
          </cell>
          <cell r="I4931">
            <v>0.83333333333333337</v>
          </cell>
          <cell r="J4931">
            <v>0.33333333333333331</v>
          </cell>
          <cell r="K4931">
            <v>11.33333333</v>
          </cell>
          <cell r="L4931">
            <v>359.05</v>
          </cell>
          <cell r="O4931" t="str">
            <v>Y</v>
          </cell>
          <cell r="P4931" t="str">
            <v>N</v>
          </cell>
          <cell r="Q4931" t="str">
            <v>Short Term Sick</v>
          </cell>
          <cell r="S4931">
            <v>0.3</v>
          </cell>
        </row>
        <row r="4932">
          <cell r="D4932">
            <v>109002755</v>
          </cell>
          <cell r="E4932" t="str">
            <v>RACHEL OBERDOFF</v>
          </cell>
          <cell r="F4932" t="str">
            <v>D (MD)</v>
          </cell>
          <cell r="G4932">
            <v>358987</v>
          </cell>
          <cell r="H4932" t="str">
            <v>Mayday</v>
          </cell>
          <cell r="I4932">
            <v>0.3125</v>
          </cell>
          <cell r="J4932">
            <v>0.85416666666666663</v>
          </cell>
          <cell r="K4932">
            <v>12.33333333</v>
          </cell>
          <cell r="L4932">
            <v>398.24</v>
          </cell>
          <cell r="O4932" t="str">
            <v>Y</v>
          </cell>
          <cell r="P4932" t="str">
            <v>N</v>
          </cell>
          <cell r="Q4932" t="str">
            <v>Extra Capacity</v>
          </cell>
          <cell r="S4932">
            <v>0.33</v>
          </cell>
        </row>
        <row r="4933">
          <cell r="D4933">
            <v>109003649</v>
          </cell>
          <cell r="E4933" t="str">
            <v>RAMANI THOMAS</v>
          </cell>
          <cell r="F4933" t="str">
            <v>D (MD)</v>
          </cell>
          <cell r="G4933">
            <v>360829</v>
          </cell>
          <cell r="H4933" t="str">
            <v>Mayday</v>
          </cell>
          <cell r="I4933">
            <v>0.83333333333333337</v>
          </cell>
          <cell r="J4933">
            <v>0.33333333333333331</v>
          </cell>
          <cell r="K4933">
            <v>11</v>
          </cell>
          <cell r="L4933">
            <v>461.75</v>
          </cell>
          <cell r="O4933" t="str">
            <v>Y</v>
          </cell>
          <cell r="P4933" t="str">
            <v>N</v>
          </cell>
          <cell r="Q4933" t="str">
            <v>Acuity</v>
          </cell>
          <cell r="S4933">
            <v>0.28999999999999998</v>
          </cell>
        </row>
        <row r="4934">
          <cell r="D4934">
            <v>1208005406</v>
          </cell>
          <cell r="E4934" t="str">
            <v>RICCA PARADA</v>
          </cell>
          <cell r="F4934" t="str">
            <v>D (Ch)</v>
          </cell>
          <cell r="G4934">
            <v>17860</v>
          </cell>
          <cell r="H4934" t="str">
            <v>Choice</v>
          </cell>
          <cell r="I4934">
            <v>0.5625</v>
          </cell>
          <cell r="J4934">
            <v>0.85416666666666663</v>
          </cell>
          <cell r="K4934">
            <v>6.6666666670000003</v>
          </cell>
          <cell r="L4934">
            <v>162.47</v>
          </cell>
          <cell r="O4934" t="str">
            <v>Y</v>
          </cell>
          <cell r="P4934" t="str">
            <v>N</v>
          </cell>
          <cell r="Q4934" t="str">
            <v>Under Established</v>
          </cell>
          <cell r="S4934">
            <v>0.18</v>
          </cell>
        </row>
        <row r="4935">
          <cell r="D4935">
            <v>1208006005</v>
          </cell>
          <cell r="E4935" t="str">
            <v>RICHARD JAMBAYA</v>
          </cell>
          <cell r="F4935" t="str">
            <v>A (Ch)</v>
          </cell>
          <cell r="H4935" t="str">
            <v>Choice</v>
          </cell>
          <cell r="I4935">
            <v>0.32291666666666669</v>
          </cell>
          <cell r="J4935">
            <v>0.54166666666666663</v>
          </cell>
          <cell r="K4935">
            <v>5.25</v>
          </cell>
          <cell r="L4935">
            <v>58.22</v>
          </cell>
          <cell r="O4935" t="str">
            <v>Y</v>
          </cell>
          <cell r="P4935" t="str">
            <v>N</v>
          </cell>
          <cell r="Q4935" t="str">
            <v>Vacancy</v>
          </cell>
          <cell r="S4935">
            <v>0.14000000000000001</v>
          </cell>
        </row>
        <row r="4936">
          <cell r="D4936">
            <v>1208005403</v>
          </cell>
          <cell r="E4936" t="str">
            <v>ROHEYATOU NDOW-NJIE</v>
          </cell>
          <cell r="F4936" t="str">
            <v>D (Ch)</v>
          </cell>
          <cell r="G4936">
            <v>17926</v>
          </cell>
          <cell r="H4936" t="str">
            <v>Choice</v>
          </cell>
          <cell r="I4936">
            <v>0.3125</v>
          </cell>
          <cell r="J4936">
            <v>0.5625</v>
          </cell>
          <cell r="K4936">
            <v>5.6666666670000003</v>
          </cell>
          <cell r="L4936">
            <v>138.1</v>
          </cell>
          <cell r="O4936" t="str">
            <v>Y</v>
          </cell>
          <cell r="P4936" t="str">
            <v>N</v>
          </cell>
          <cell r="Q4936" t="str">
            <v>Under Established</v>
          </cell>
          <cell r="S4936">
            <v>0.15</v>
          </cell>
        </row>
        <row r="4937">
          <cell r="D4937">
            <v>1208005793</v>
          </cell>
          <cell r="E4937" t="str">
            <v>ROSLYNE SCOTT</v>
          </cell>
          <cell r="F4937" t="str">
            <v>D (Amb)</v>
          </cell>
          <cell r="G4937">
            <v>774206</v>
          </cell>
          <cell r="H4937" t="str">
            <v>Ambition</v>
          </cell>
          <cell r="I4937">
            <v>0.59375</v>
          </cell>
          <cell r="J4937">
            <v>0.89583333333333337</v>
          </cell>
          <cell r="K4937">
            <v>6.9166666670000003</v>
          </cell>
          <cell r="L4937">
            <v>270.44</v>
          </cell>
          <cell r="O4937" t="str">
            <v>Y</v>
          </cell>
          <cell r="P4937" t="str">
            <v>N</v>
          </cell>
          <cell r="Q4937" t="str">
            <v>Extra Capacity</v>
          </cell>
          <cell r="S4937">
            <v>0.18</v>
          </cell>
        </row>
        <row r="4938">
          <cell r="D4938">
            <v>1208006199</v>
          </cell>
          <cell r="E4938" t="str">
            <v>SAM KELEM</v>
          </cell>
          <cell r="F4938" t="str">
            <v>D (Ch)</v>
          </cell>
          <cell r="H4938" t="str">
            <v>Choice</v>
          </cell>
          <cell r="I4938">
            <v>0.83333333333333337</v>
          </cell>
          <cell r="J4938">
            <v>0.33333333333333331</v>
          </cell>
          <cell r="K4938">
            <v>11.33333333</v>
          </cell>
          <cell r="L4938">
            <v>359.05</v>
          </cell>
          <cell r="O4938" t="str">
            <v>Y</v>
          </cell>
          <cell r="P4938" t="str">
            <v>N</v>
          </cell>
          <cell r="Q4938" t="str">
            <v>Backfill</v>
          </cell>
          <cell r="S4938">
            <v>0.3</v>
          </cell>
        </row>
        <row r="4939">
          <cell r="D4939">
            <v>1208006749</v>
          </cell>
          <cell r="E4939" t="str">
            <v>SELINAH BAKASA</v>
          </cell>
          <cell r="F4939" t="str">
            <v>D (Ch)</v>
          </cell>
          <cell r="G4939">
            <v>17849</v>
          </cell>
          <cell r="H4939" t="str">
            <v>Choice</v>
          </cell>
          <cell r="I4939">
            <v>0.3125</v>
          </cell>
          <cell r="J4939">
            <v>0.5625</v>
          </cell>
          <cell r="K4939">
            <v>5.6666666670000003</v>
          </cell>
          <cell r="L4939">
            <v>138.1</v>
          </cell>
          <cell r="O4939" t="str">
            <v>Y</v>
          </cell>
          <cell r="P4939" t="str">
            <v>N</v>
          </cell>
          <cell r="Q4939" t="str">
            <v>Annual Leave</v>
          </cell>
          <cell r="S4939">
            <v>0.15</v>
          </cell>
        </row>
        <row r="4940">
          <cell r="D4940">
            <v>1208006750</v>
          </cell>
          <cell r="E4940" t="str">
            <v>SELINAH BAKASA</v>
          </cell>
          <cell r="F4940" t="str">
            <v>D (Ch)</v>
          </cell>
          <cell r="G4940">
            <v>17849</v>
          </cell>
          <cell r="H4940" t="str">
            <v>Choice</v>
          </cell>
          <cell r="I4940">
            <v>0.5625</v>
          </cell>
          <cell r="J4940">
            <v>0.85416666666666663</v>
          </cell>
          <cell r="K4940">
            <v>6.6666666670000003</v>
          </cell>
          <cell r="L4940">
            <v>162.47</v>
          </cell>
          <cell r="O4940" t="str">
            <v>Y</v>
          </cell>
          <cell r="P4940" t="str">
            <v>N</v>
          </cell>
          <cell r="Q4940" t="str">
            <v>Annual Leave</v>
          </cell>
          <cell r="S4940">
            <v>0.18</v>
          </cell>
        </row>
        <row r="4941">
          <cell r="D4941">
            <v>1208005399</v>
          </cell>
          <cell r="E4941" t="str">
            <v>SHEPHERD CHIWANZA</v>
          </cell>
          <cell r="F4941" t="str">
            <v>A (Ch)</v>
          </cell>
          <cell r="G4941">
            <v>17849</v>
          </cell>
          <cell r="H4941" t="str">
            <v>Choice</v>
          </cell>
          <cell r="I4941">
            <v>0.3125</v>
          </cell>
          <cell r="J4941">
            <v>0.5625</v>
          </cell>
          <cell r="K4941">
            <v>5.6666666670000003</v>
          </cell>
          <cell r="L4941">
            <v>62.84</v>
          </cell>
          <cell r="O4941" t="str">
            <v>Y</v>
          </cell>
          <cell r="P4941" t="str">
            <v>N</v>
          </cell>
          <cell r="Q4941" t="str">
            <v>Under Established</v>
          </cell>
          <cell r="S4941">
            <v>0.15</v>
          </cell>
        </row>
        <row r="4942">
          <cell r="D4942">
            <v>1208005407</v>
          </cell>
          <cell r="E4942" t="str">
            <v>SHEPHERD CHIWANZA</v>
          </cell>
          <cell r="F4942" t="str">
            <v>A (Ch)</v>
          </cell>
          <cell r="G4942">
            <v>17849</v>
          </cell>
          <cell r="H4942" t="str">
            <v>Choice</v>
          </cell>
          <cell r="I4942">
            <v>0.5625</v>
          </cell>
          <cell r="J4942">
            <v>0.85416666666666663</v>
          </cell>
          <cell r="K4942">
            <v>6.6666666670000003</v>
          </cell>
          <cell r="L4942">
            <v>73.930000000000007</v>
          </cell>
          <cell r="O4942" t="str">
            <v>Y</v>
          </cell>
          <cell r="P4942" t="str">
            <v>N</v>
          </cell>
          <cell r="Q4942" t="str">
            <v>Under Established</v>
          </cell>
          <cell r="S4942">
            <v>0.18</v>
          </cell>
        </row>
        <row r="4943">
          <cell r="D4943">
            <v>1208007755</v>
          </cell>
          <cell r="E4943" t="str">
            <v>SIMON STUART</v>
          </cell>
          <cell r="F4943" t="str">
            <v>D (Amb)</v>
          </cell>
          <cell r="G4943">
            <v>774178</v>
          </cell>
          <cell r="H4943" t="str">
            <v>Ambition</v>
          </cell>
          <cell r="I4943">
            <v>0.60416666666666663</v>
          </cell>
          <cell r="J4943">
            <v>0.85416666666666663</v>
          </cell>
          <cell r="K4943">
            <v>5.6666666670000003</v>
          </cell>
          <cell r="L4943">
            <v>221.57</v>
          </cell>
          <cell r="O4943" t="str">
            <v>Y</v>
          </cell>
          <cell r="P4943" t="str">
            <v>N</v>
          </cell>
          <cell r="Q4943" t="str">
            <v>Extra Capacity</v>
          </cell>
          <cell r="S4943">
            <v>0.15</v>
          </cell>
        </row>
        <row r="4944">
          <cell r="D4944">
            <v>109000770</v>
          </cell>
          <cell r="E4944" t="str">
            <v>SINCENGA GULU</v>
          </cell>
          <cell r="F4944" t="str">
            <v>D (MD)</v>
          </cell>
          <cell r="G4944">
            <v>357860</v>
          </cell>
          <cell r="H4944" t="str">
            <v>Mayday</v>
          </cell>
          <cell r="I4944">
            <v>0.83333333333333337</v>
          </cell>
          <cell r="J4944">
            <v>0.33333333333333331</v>
          </cell>
          <cell r="K4944">
            <v>11.33333333</v>
          </cell>
          <cell r="L4944">
            <v>475.74</v>
          </cell>
          <cell r="O4944" t="str">
            <v>Y</v>
          </cell>
          <cell r="P4944" t="str">
            <v>N</v>
          </cell>
          <cell r="Q4944" t="str">
            <v>Vacancy</v>
          </cell>
          <cell r="S4944">
            <v>0.3</v>
          </cell>
        </row>
        <row r="4945">
          <cell r="D4945">
            <v>109000470</v>
          </cell>
          <cell r="E4945" t="str">
            <v>TARA MASSIE</v>
          </cell>
          <cell r="F4945" t="str">
            <v>D (MD)</v>
          </cell>
          <cell r="G4945">
            <v>359090</v>
          </cell>
          <cell r="H4945" t="str">
            <v>Mayday</v>
          </cell>
          <cell r="I4945">
            <v>0.33333333333333331</v>
          </cell>
          <cell r="J4945">
            <v>0.83333333333333337</v>
          </cell>
          <cell r="K4945">
            <v>11.33333333</v>
          </cell>
          <cell r="L4945">
            <v>365.95</v>
          </cell>
          <cell r="O4945" t="str">
            <v>Y</v>
          </cell>
          <cell r="P4945" t="str">
            <v>N</v>
          </cell>
          <cell r="Q4945" t="str">
            <v>Vacancy</v>
          </cell>
          <cell r="S4945">
            <v>0.3</v>
          </cell>
        </row>
        <row r="4946">
          <cell r="D4946">
            <v>1208006455</v>
          </cell>
          <cell r="E4946" t="str">
            <v>VANESSA SALAZAR</v>
          </cell>
          <cell r="F4946" t="str">
            <v>D (Ch)</v>
          </cell>
          <cell r="H4946" t="str">
            <v>Choice</v>
          </cell>
          <cell r="I4946">
            <v>0.3125</v>
          </cell>
          <cell r="J4946">
            <v>0.85416666666666663</v>
          </cell>
          <cell r="K4946">
            <v>12.33333333</v>
          </cell>
          <cell r="L4946">
            <v>300.56</v>
          </cell>
          <cell r="O4946" t="str">
            <v>Y</v>
          </cell>
          <cell r="P4946" t="str">
            <v>N</v>
          </cell>
          <cell r="Q4946" t="str">
            <v>Vacancy</v>
          </cell>
          <cell r="S4946">
            <v>0.33</v>
          </cell>
        </row>
        <row r="4947">
          <cell r="D4947">
            <v>1208005666</v>
          </cell>
          <cell r="E4947" t="str">
            <v>VICTORIA ANIKINA</v>
          </cell>
          <cell r="F4947" t="str">
            <v>D (Amb)</v>
          </cell>
          <cell r="G4947">
            <v>774208</v>
          </cell>
          <cell r="H4947" t="str">
            <v>Ambition</v>
          </cell>
          <cell r="I4947">
            <v>0.625</v>
          </cell>
          <cell r="J4947">
            <v>0.89583333333333337</v>
          </cell>
          <cell r="K4947">
            <v>6.1666666670000003</v>
          </cell>
          <cell r="L4947">
            <v>241.12</v>
          </cell>
          <cell r="O4947" t="str">
            <v>Y</v>
          </cell>
          <cell r="P4947" t="str">
            <v>N</v>
          </cell>
          <cell r="Q4947" t="str">
            <v>Vacancy</v>
          </cell>
          <cell r="S4947">
            <v>0.16</v>
          </cell>
        </row>
        <row r="4948">
          <cell r="D4948">
            <v>109002754</v>
          </cell>
          <cell r="E4948" t="str">
            <v>VIDA OTUO-ACHEAMPONG</v>
          </cell>
          <cell r="F4948" t="str">
            <v>D (Amb)</v>
          </cell>
          <cell r="G4948">
            <v>774724</v>
          </cell>
          <cell r="H4948" t="str">
            <v>Ambition</v>
          </cell>
          <cell r="I4948">
            <v>0.83333333333333337</v>
          </cell>
          <cell r="J4948">
            <v>0.33333333333333331</v>
          </cell>
          <cell r="K4948">
            <v>11</v>
          </cell>
          <cell r="L4948">
            <v>559.13</v>
          </cell>
          <cell r="O4948" t="str">
            <v>Y</v>
          </cell>
          <cell r="P4948" t="str">
            <v>N</v>
          </cell>
          <cell r="Q4948" t="str">
            <v>Acuity</v>
          </cell>
          <cell r="S4948">
            <v>0.28999999999999998</v>
          </cell>
        </row>
        <row r="4949">
          <cell r="D4949">
            <v>1208006519</v>
          </cell>
          <cell r="E4949" t="str">
            <v>ATINUKE OKE-OLATUNDE</v>
          </cell>
          <cell r="F4949" t="str">
            <v>D (MD)</v>
          </cell>
          <cell r="G4949">
            <v>362917</v>
          </cell>
          <cell r="H4949" t="str">
            <v>Mayday</v>
          </cell>
          <cell r="I4949">
            <v>0.84375</v>
          </cell>
          <cell r="J4949">
            <v>0.3125</v>
          </cell>
          <cell r="K4949">
            <v>10.25</v>
          </cell>
          <cell r="L4949">
            <v>430.26</v>
          </cell>
          <cell r="O4949" t="str">
            <v>Y</v>
          </cell>
          <cell r="P4949" t="str">
            <v>N</v>
          </cell>
          <cell r="Q4949" t="str">
            <v>Vacancy</v>
          </cell>
          <cell r="S4949">
            <v>0.27</v>
          </cell>
        </row>
        <row r="4950">
          <cell r="D4950">
            <v>1208007785</v>
          </cell>
          <cell r="E4950" t="str">
            <v>BEAUTY NGIDI</v>
          </cell>
          <cell r="F4950" t="str">
            <v>D (MD)</v>
          </cell>
          <cell r="G4950">
            <v>359092</v>
          </cell>
          <cell r="H4950" t="str">
            <v>Mayday</v>
          </cell>
          <cell r="I4950">
            <v>0.83333333333333337</v>
          </cell>
          <cell r="J4950">
            <v>0.33333333333333331</v>
          </cell>
          <cell r="K4950">
            <v>11.33333333</v>
          </cell>
          <cell r="L4950">
            <v>475.74</v>
          </cell>
          <cell r="O4950" t="str">
            <v>Y</v>
          </cell>
          <cell r="P4950" t="str">
            <v>N</v>
          </cell>
          <cell r="Q4950" t="str">
            <v>Extra Capacity</v>
          </cell>
          <cell r="S4950">
            <v>0.3</v>
          </cell>
        </row>
        <row r="4951">
          <cell r="D4951">
            <v>1208008013</v>
          </cell>
          <cell r="E4951" t="str">
            <v>CATH CHIDAVAYENZI</v>
          </cell>
          <cell r="F4951" t="str">
            <v>D (Ch)</v>
          </cell>
          <cell r="G4951">
            <v>17853</v>
          </cell>
          <cell r="H4951" t="str">
            <v>Choice</v>
          </cell>
          <cell r="I4951">
            <v>0.83333333333333337</v>
          </cell>
          <cell r="J4951">
            <v>0.33333333333333331</v>
          </cell>
          <cell r="K4951">
            <v>11.33333333</v>
          </cell>
          <cell r="L4951">
            <v>359.05</v>
          </cell>
          <cell r="O4951" t="str">
            <v>Y</v>
          </cell>
          <cell r="P4951" t="str">
            <v>N</v>
          </cell>
          <cell r="Q4951" t="str">
            <v>Acuity</v>
          </cell>
          <cell r="S4951">
            <v>0.3</v>
          </cell>
        </row>
        <row r="4952">
          <cell r="D4952">
            <v>1208006432</v>
          </cell>
          <cell r="E4952" t="str">
            <v>CHRISTINA CHIKHI</v>
          </cell>
          <cell r="F4952" t="str">
            <v>6 Mental (Advan</v>
          </cell>
          <cell r="G4952">
            <v>1418523</v>
          </cell>
          <cell r="H4952" t="str">
            <v>Advantage</v>
          </cell>
          <cell r="I4952">
            <v>0.875</v>
          </cell>
          <cell r="J4952">
            <v>0.32291666666666669</v>
          </cell>
          <cell r="K4952">
            <v>10</v>
          </cell>
          <cell r="L4952">
            <v>247.91</v>
          </cell>
          <cell r="O4952" t="str">
            <v>Y</v>
          </cell>
          <cell r="P4952" t="str">
            <v>N</v>
          </cell>
          <cell r="Q4952" t="str">
            <v>Specials</v>
          </cell>
          <cell r="S4952">
            <v>0.27</v>
          </cell>
        </row>
        <row r="4953">
          <cell r="D4953">
            <v>1208005428</v>
          </cell>
          <cell r="E4953" t="str">
            <v>COLLEN SIBANDA</v>
          </cell>
          <cell r="F4953" t="str">
            <v>D (Ch)</v>
          </cell>
          <cell r="G4953">
            <v>17849</v>
          </cell>
          <cell r="H4953" t="str">
            <v>Choice</v>
          </cell>
          <cell r="I4953">
            <v>0.3125</v>
          </cell>
          <cell r="J4953">
            <v>0.77083333333333337</v>
          </cell>
          <cell r="K4953">
            <v>10.66666667</v>
          </cell>
          <cell r="L4953">
            <v>259.95</v>
          </cell>
          <cell r="O4953" t="str">
            <v>Y</v>
          </cell>
          <cell r="P4953" t="str">
            <v>N</v>
          </cell>
          <cell r="Q4953" t="str">
            <v>Annual Leave</v>
          </cell>
          <cell r="S4953">
            <v>0.28000000000000003</v>
          </cell>
        </row>
        <row r="4954">
          <cell r="D4954">
            <v>1208005418</v>
          </cell>
          <cell r="E4954" t="str">
            <v>DAMILOLA AIKI</v>
          </cell>
          <cell r="F4954" t="str">
            <v>A (Ch)</v>
          </cell>
          <cell r="G4954">
            <v>17926</v>
          </cell>
          <cell r="H4954" t="str">
            <v>Choice</v>
          </cell>
          <cell r="I4954">
            <v>0.3125</v>
          </cell>
          <cell r="J4954">
            <v>0.5625</v>
          </cell>
          <cell r="K4954">
            <v>5.6666666670000003</v>
          </cell>
          <cell r="L4954">
            <v>62.84</v>
          </cell>
          <cell r="O4954" t="str">
            <v>Y</v>
          </cell>
          <cell r="P4954" t="str">
            <v>N</v>
          </cell>
          <cell r="Q4954" t="str">
            <v>Under Established</v>
          </cell>
          <cell r="S4954">
            <v>0.15</v>
          </cell>
        </row>
        <row r="4955">
          <cell r="D4955">
            <v>1208005425</v>
          </cell>
          <cell r="E4955" t="str">
            <v>DAMILOLA AIKI</v>
          </cell>
          <cell r="F4955" t="str">
            <v>A (Ch)</v>
          </cell>
          <cell r="G4955">
            <v>17926</v>
          </cell>
          <cell r="H4955" t="str">
            <v>Choice</v>
          </cell>
          <cell r="I4955">
            <v>0.5625</v>
          </cell>
          <cell r="J4955">
            <v>0.85416666666666663</v>
          </cell>
          <cell r="K4955">
            <v>6.6666666670000003</v>
          </cell>
          <cell r="L4955">
            <v>73.930000000000007</v>
          </cell>
          <cell r="O4955" t="str">
            <v>Y</v>
          </cell>
          <cell r="P4955" t="str">
            <v>N</v>
          </cell>
          <cell r="Q4955" t="str">
            <v>Under Established</v>
          </cell>
          <cell r="S4955">
            <v>0.18</v>
          </cell>
        </row>
        <row r="4956">
          <cell r="D4956">
            <v>109002748</v>
          </cell>
          <cell r="E4956" t="str">
            <v>DEBBIE HARRIS</v>
          </cell>
          <cell r="F4956" t="str">
            <v>D (MD)</v>
          </cell>
          <cell r="G4956">
            <v>357595</v>
          </cell>
          <cell r="H4956" t="str">
            <v>Mayday</v>
          </cell>
          <cell r="I4956">
            <v>0.83333333333333337</v>
          </cell>
          <cell r="J4956">
            <v>0.33333333333333331</v>
          </cell>
          <cell r="K4956">
            <v>11</v>
          </cell>
          <cell r="L4956">
            <v>461.75</v>
          </cell>
          <cell r="O4956" t="str">
            <v>Y</v>
          </cell>
          <cell r="P4956" t="str">
            <v>N</v>
          </cell>
          <cell r="Q4956" t="str">
            <v>Extra Capacity</v>
          </cell>
          <cell r="S4956">
            <v>0.28999999999999998</v>
          </cell>
        </row>
        <row r="4957">
          <cell r="D4957">
            <v>109002050</v>
          </cell>
          <cell r="E4957" t="str">
            <v>DEBBIE MVERCHENA</v>
          </cell>
          <cell r="F4957" t="str">
            <v>5 Mental (Advan</v>
          </cell>
          <cell r="G4957">
            <v>1418527</v>
          </cell>
          <cell r="H4957" t="str">
            <v>Advantage</v>
          </cell>
          <cell r="I4957">
            <v>0.83333333333333337</v>
          </cell>
          <cell r="J4957">
            <v>0.33333333333333331</v>
          </cell>
          <cell r="K4957">
            <v>11.33333333</v>
          </cell>
          <cell r="L4957">
            <v>260.77999999999997</v>
          </cell>
          <cell r="O4957" t="str">
            <v>Y</v>
          </cell>
          <cell r="P4957" t="str">
            <v>N</v>
          </cell>
          <cell r="Q4957" t="str">
            <v>Extra Capacity</v>
          </cell>
          <cell r="S4957">
            <v>0.3</v>
          </cell>
        </row>
        <row r="4958">
          <cell r="D4958">
            <v>1208007729</v>
          </cell>
          <cell r="E4958" t="str">
            <v>ELLEN HALCROW</v>
          </cell>
          <cell r="F4958" t="str">
            <v>D (Amb)</v>
          </cell>
          <cell r="G4958">
            <v>774229</v>
          </cell>
          <cell r="H4958" t="str">
            <v>Ambition</v>
          </cell>
          <cell r="I4958">
            <v>0.3125</v>
          </cell>
          <cell r="J4958">
            <v>0.60416666666666663</v>
          </cell>
          <cell r="K4958">
            <v>6.6666666670000003</v>
          </cell>
          <cell r="L4958">
            <v>260.67</v>
          </cell>
          <cell r="O4958" t="str">
            <v>Y</v>
          </cell>
          <cell r="P4958" t="str">
            <v>N</v>
          </cell>
          <cell r="Q4958" t="str">
            <v>Extra Capacity</v>
          </cell>
          <cell r="S4958">
            <v>0.18</v>
          </cell>
        </row>
        <row r="4959">
          <cell r="D4959">
            <v>1208007756</v>
          </cell>
          <cell r="E4959" t="str">
            <v>ELLEN HALCROW</v>
          </cell>
          <cell r="F4959" t="str">
            <v>D (Amb)</v>
          </cell>
          <cell r="G4959">
            <v>774229</v>
          </cell>
          <cell r="H4959" t="str">
            <v>Ambition</v>
          </cell>
          <cell r="I4959">
            <v>0.60416666666666663</v>
          </cell>
          <cell r="J4959">
            <v>0.85416666666666663</v>
          </cell>
          <cell r="K4959">
            <v>5.6666666670000003</v>
          </cell>
          <cell r="L4959">
            <v>221.57</v>
          </cell>
          <cell r="O4959" t="str">
            <v>Y</v>
          </cell>
          <cell r="P4959" t="str">
            <v>N</v>
          </cell>
          <cell r="Q4959" t="str">
            <v>Extra Capacity</v>
          </cell>
          <cell r="S4959">
            <v>0.15</v>
          </cell>
        </row>
        <row r="4960">
          <cell r="D4960">
            <v>109003134</v>
          </cell>
          <cell r="E4960" t="str">
            <v>EUNICE ADEBANJO</v>
          </cell>
          <cell r="F4960" t="str">
            <v>D (Ch)</v>
          </cell>
          <cell r="G4960">
            <v>17955</v>
          </cell>
          <cell r="H4960" t="str">
            <v>Choice</v>
          </cell>
          <cell r="I4960">
            <v>0.8125</v>
          </cell>
          <cell r="J4960">
            <v>0.33333333333333331</v>
          </cell>
          <cell r="K4960">
            <v>11.83333333</v>
          </cell>
          <cell r="L4960">
            <v>374.89</v>
          </cell>
          <cell r="O4960" t="str">
            <v>Y</v>
          </cell>
          <cell r="P4960" t="str">
            <v>N</v>
          </cell>
          <cell r="Q4960" t="str">
            <v>Nurse Moved</v>
          </cell>
          <cell r="S4960">
            <v>0.32</v>
          </cell>
        </row>
        <row r="4961">
          <cell r="D4961">
            <v>1108006452</v>
          </cell>
          <cell r="E4961" t="str">
            <v>FIONA DURKIN-GREER</v>
          </cell>
          <cell r="F4961" t="str">
            <v>D (MD)</v>
          </cell>
          <cell r="G4961">
            <v>358998</v>
          </cell>
          <cell r="H4961" t="str">
            <v>Mayday</v>
          </cell>
          <cell r="I4961">
            <v>0.5625</v>
          </cell>
          <cell r="J4961">
            <v>0.85416666666666663</v>
          </cell>
          <cell r="K4961">
            <v>6.6666666670000003</v>
          </cell>
          <cell r="L4961">
            <v>215.27</v>
          </cell>
          <cell r="O4961" t="str">
            <v>Y</v>
          </cell>
          <cell r="P4961" t="str">
            <v>N</v>
          </cell>
          <cell r="Q4961" t="str">
            <v>Vacancy</v>
          </cell>
          <cell r="S4961">
            <v>0.18</v>
          </cell>
        </row>
        <row r="4962">
          <cell r="D4962">
            <v>109003077</v>
          </cell>
          <cell r="E4962" t="str">
            <v>FLORENCE DLAMINI</v>
          </cell>
          <cell r="F4962" t="str">
            <v>D (MD)</v>
          </cell>
          <cell r="H4962" t="str">
            <v>Mayday</v>
          </cell>
          <cell r="I4962">
            <v>0.875</v>
          </cell>
          <cell r="J4962">
            <v>0.34375</v>
          </cell>
          <cell r="K4962">
            <v>10.91666667</v>
          </cell>
          <cell r="L4962">
            <v>458.25</v>
          </cell>
          <cell r="O4962" t="str">
            <v>Y</v>
          </cell>
          <cell r="P4962" t="str">
            <v>N</v>
          </cell>
          <cell r="Q4962" t="str">
            <v>Short Term Sick</v>
          </cell>
          <cell r="S4962">
            <v>0.28999999999999998</v>
          </cell>
        </row>
        <row r="4963">
          <cell r="D4963">
            <v>1208007989</v>
          </cell>
          <cell r="E4963" t="str">
            <v>FURTHERMORE MUTSINZE</v>
          </cell>
          <cell r="F4963" t="str">
            <v>A (Ch)</v>
          </cell>
          <cell r="G4963">
            <v>17853</v>
          </cell>
          <cell r="H4963" t="str">
            <v>Choice</v>
          </cell>
          <cell r="I4963">
            <v>0.3125</v>
          </cell>
          <cell r="J4963">
            <v>0.54166666666666663</v>
          </cell>
          <cell r="K4963">
            <v>5.5</v>
          </cell>
          <cell r="L4963">
            <v>60.99</v>
          </cell>
          <cell r="O4963" t="str">
            <v>Y</v>
          </cell>
          <cell r="P4963" t="str">
            <v>N</v>
          </cell>
          <cell r="Q4963" t="str">
            <v>Acuity</v>
          </cell>
          <cell r="S4963">
            <v>0.15</v>
          </cell>
        </row>
        <row r="4964">
          <cell r="D4964">
            <v>1208008007</v>
          </cell>
          <cell r="E4964" t="str">
            <v>FURTHERMORE MUTSINZE</v>
          </cell>
          <cell r="F4964" t="str">
            <v>A (Ch)</v>
          </cell>
          <cell r="G4964">
            <v>17853</v>
          </cell>
          <cell r="H4964" t="str">
            <v>Choice</v>
          </cell>
          <cell r="I4964">
            <v>0.54166666666666663</v>
          </cell>
          <cell r="J4964">
            <v>0.83333333333333337</v>
          </cell>
          <cell r="K4964">
            <v>6.6666666670000003</v>
          </cell>
          <cell r="L4964">
            <v>73.930000000000007</v>
          </cell>
          <cell r="O4964" t="str">
            <v>Y</v>
          </cell>
          <cell r="P4964" t="str">
            <v>N</v>
          </cell>
          <cell r="Q4964" t="str">
            <v>Acuity</v>
          </cell>
          <cell r="S4964">
            <v>0.18</v>
          </cell>
        </row>
        <row r="4965">
          <cell r="D4965">
            <v>109003280</v>
          </cell>
          <cell r="E4965" t="str">
            <v>GARY WILSON</v>
          </cell>
          <cell r="F4965" t="str">
            <v>D (MD)</v>
          </cell>
          <cell r="H4965" t="str">
            <v>Mayday</v>
          </cell>
          <cell r="I4965">
            <v>0.52083333333333337</v>
          </cell>
          <cell r="J4965">
            <v>0.85416666666666663</v>
          </cell>
          <cell r="K4965">
            <v>7.5</v>
          </cell>
          <cell r="L4965">
            <v>242.17</v>
          </cell>
          <cell r="O4965" t="str">
            <v>Y</v>
          </cell>
          <cell r="P4965" t="str">
            <v>N</v>
          </cell>
          <cell r="Q4965" t="str">
            <v>Extra Capacity</v>
          </cell>
          <cell r="S4965">
            <v>0.2</v>
          </cell>
        </row>
        <row r="4966">
          <cell r="D4966">
            <v>109002746</v>
          </cell>
          <cell r="E4966" t="str">
            <v>JACKIE BOWMAN</v>
          </cell>
          <cell r="F4966" t="str">
            <v>D (MD)</v>
          </cell>
          <cell r="G4966">
            <v>358997</v>
          </cell>
          <cell r="H4966" t="str">
            <v>Mayday</v>
          </cell>
          <cell r="I4966">
            <v>0.3125</v>
          </cell>
          <cell r="J4966">
            <v>0.64583333333333337</v>
          </cell>
          <cell r="K4966">
            <v>7.5</v>
          </cell>
          <cell r="L4966">
            <v>242.17</v>
          </cell>
          <cell r="O4966" t="str">
            <v>Y</v>
          </cell>
          <cell r="P4966" t="str">
            <v>N</v>
          </cell>
          <cell r="Q4966" t="str">
            <v>Extra Capacity</v>
          </cell>
          <cell r="S4966">
            <v>0.2</v>
          </cell>
        </row>
        <row r="4967">
          <cell r="D4967">
            <v>109001760</v>
          </cell>
          <cell r="E4967" t="str">
            <v>JANICE GOODWIN</v>
          </cell>
          <cell r="F4967" t="str">
            <v>D (Amb)</v>
          </cell>
          <cell r="G4967">
            <v>777094</v>
          </cell>
          <cell r="H4967" t="str">
            <v>Ambition</v>
          </cell>
          <cell r="I4967">
            <v>0.29166666666666669</v>
          </cell>
          <cell r="J4967">
            <v>0.625</v>
          </cell>
          <cell r="K4967">
            <v>7.6666666670000003</v>
          </cell>
          <cell r="L4967">
            <v>299.77</v>
          </cell>
          <cell r="O4967" t="str">
            <v>Y</v>
          </cell>
          <cell r="P4967" t="str">
            <v>N</v>
          </cell>
          <cell r="Q4967" t="str">
            <v>Hospital Training</v>
          </cell>
          <cell r="S4967">
            <v>0.2</v>
          </cell>
        </row>
        <row r="4968">
          <cell r="D4968">
            <v>1208007730</v>
          </cell>
          <cell r="E4968" t="str">
            <v>JAY RUIZ</v>
          </cell>
          <cell r="F4968" t="str">
            <v>D (Amb)</v>
          </cell>
          <cell r="G4968">
            <v>774230</v>
          </cell>
          <cell r="H4968" t="str">
            <v>Ambition</v>
          </cell>
          <cell r="I4968">
            <v>0.3125</v>
          </cell>
          <cell r="J4968">
            <v>0.60416666666666663</v>
          </cell>
          <cell r="K4968">
            <v>6.6666666670000003</v>
          </cell>
          <cell r="L4968">
            <v>260.67</v>
          </cell>
          <cell r="O4968" t="str">
            <v>Y</v>
          </cell>
          <cell r="P4968" t="str">
            <v>N</v>
          </cell>
          <cell r="Q4968" t="str">
            <v>Extra Capacity</v>
          </cell>
          <cell r="S4968">
            <v>0.18</v>
          </cell>
        </row>
        <row r="4969">
          <cell r="D4969">
            <v>1208007987</v>
          </cell>
          <cell r="E4969" t="str">
            <v>JEAN NGONA</v>
          </cell>
          <cell r="F4969" t="str">
            <v>D (MD)</v>
          </cell>
          <cell r="G4969">
            <v>358989</v>
          </cell>
          <cell r="H4969" t="str">
            <v>Mayday</v>
          </cell>
          <cell r="I4969">
            <v>0.3125</v>
          </cell>
          <cell r="J4969">
            <v>0.54166666666666663</v>
          </cell>
          <cell r="K4969">
            <v>5.5</v>
          </cell>
          <cell r="L4969">
            <v>177.59</v>
          </cell>
          <cell r="O4969" t="str">
            <v>Y</v>
          </cell>
          <cell r="P4969" t="str">
            <v>N</v>
          </cell>
          <cell r="Q4969" t="str">
            <v>Acuity</v>
          </cell>
          <cell r="S4969">
            <v>0.15</v>
          </cell>
        </row>
        <row r="4970">
          <cell r="D4970">
            <v>109003650</v>
          </cell>
          <cell r="E4970" t="str">
            <v>JENNIFER FARRAR</v>
          </cell>
          <cell r="F4970" t="str">
            <v>D (MD)</v>
          </cell>
          <cell r="G4970">
            <v>360830</v>
          </cell>
          <cell r="H4970" t="str">
            <v>Mayday</v>
          </cell>
          <cell r="I4970">
            <v>0.83333333333333337</v>
          </cell>
          <cell r="J4970">
            <v>0.33333333333333331</v>
          </cell>
          <cell r="K4970">
            <v>11</v>
          </cell>
          <cell r="L4970">
            <v>461.75</v>
          </cell>
          <cell r="O4970" t="str">
            <v>Y</v>
          </cell>
          <cell r="P4970" t="str">
            <v>N</v>
          </cell>
          <cell r="Q4970" t="str">
            <v>Acuity</v>
          </cell>
          <cell r="S4970">
            <v>0.28999999999999998</v>
          </cell>
        </row>
        <row r="4971">
          <cell r="D4971">
            <v>109003136</v>
          </cell>
          <cell r="E4971" t="str">
            <v>JESSICA BELLAMY</v>
          </cell>
          <cell r="F4971" t="str">
            <v>D (MD)</v>
          </cell>
          <cell r="G4971">
            <v>359865</v>
          </cell>
          <cell r="H4971" t="str">
            <v>Mayday</v>
          </cell>
          <cell r="I4971">
            <v>0.8125</v>
          </cell>
          <cell r="J4971">
            <v>0.33333333333333331</v>
          </cell>
          <cell r="K4971">
            <v>11.83333333</v>
          </cell>
          <cell r="L4971">
            <v>496.73</v>
          </cell>
          <cell r="O4971" t="str">
            <v>Y</v>
          </cell>
          <cell r="P4971" t="str">
            <v>N</v>
          </cell>
          <cell r="Q4971" t="str">
            <v>Nurse Moved</v>
          </cell>
          <cell r="S4971">
            <v>0.32</v>
          </cell>
        </row>
        <row r="4972">
          <cell r="D4972">
            <v>1208006518</v>
          </cell>
          <cell r="E4972" t="str">
            <v>JOANNE BUSS</v>
          </cell>
          <cell r="F4972" t="str">
            <v>D (MD)</v>
          </cell>
          <cell r="G4972">
            <v>358994</v>
          </cell>
          <cell r="H4972" t="str">
            <v>Mayday</v>
          </cell>
          <cell r="I4972">
            <v>0.64583333333333337</v>
          </cell>
          <cell r="J4972">
            <v>0.85416666666666663</v>
          </cell>
          <cell r="K4972">
            <v>5</v>
          </cell>
          <cell r="L4972">
            <v>161.44999999999999</v>
          </cell>
          <cell r="O4972" t="str">
            <v>Y</v>
          </cell>
          <cell r="P4972" t="str">
            <v>N</v>
          </cell>
          <cell r="Q4972" t="str">
            <v>Vacancy</v>
          </cell>
          <cell r="S4972">
            <v>0.13</v>
          </cell>
        </row>
        <row r="4973">
          <cell r="D4973">
            <v>109003400</v>
          </cell>
          <cell r="E4973" t="str">
            <v>JOHANNA AISH</v>
          </cell>
          <cell r="F4973" t="str">
            <v>D (Amb)</v>
          </cell>
          <cell r="G4973">
            <v>774240</v>
          </cell>
          <cell r="H4973" t="str">
            <v>Ambition</v>
          </cell>
          <cell r="I4973">
            <v>0.3125</v>
          </cell>
          <cell r="J4973">
            <v>0.83333333333333337</v>
          </cell>
          <cell r="K4973">
            <v>11.83333333</v>
          </cell>
          <cell r="L4973">
            <v>462.68</v>
          </cell>
          <cell r="O4973" t="str">
            <v>Y</v>
          </cell>
          <cell r="P4973" t="str">
            <v>N</v>
          </cell>
          <cell r="Q4973" t="str">
            <v>Nurse Moved</v>
          </cell>
          <cell r="S4973">
            <v>0.32</v>
          </cell>
        </row>
        <row r="4974">
          <cell r="D4974">
            <v>1208007787</v>
          </cell>
          <cell r="E4974" t="str">
            <v>JOSEPH BASS</v>
          </cell>
          <cell r="F4974" t="str">
            <v>D (MD)</v>
          </cell>
          <cell r="H4974" t="str">
            <v>Mayday</v>
          </cell>
          <cell r="I4974">
            <v>0.83333333333333337</v>
          </cell>
          <cell r="J4974">
            <v>0.33333333333333331</v>
          </cell>
          <cell r="K4974">
            <v>11.33333333</v>
          </cell>
          <cell r="L4974">
            <v>475.74</v>
          </cell>
          <cell r="O4974" t="str">
            <v>Y</v>
          </cell>
          <cell r="P4974" t="str">
            <v>N</v>
          </cell>
          <cell r="Q4974" t="str">
            <v>Extra Capacity</v>
          </cell>
          <cell r="S4974">
            <v>0.3</v>
          </cell>
        </row>
        <row r="4975">
          <cell r="D4975">
            <v>109002747</v>
          </cell>
          <cell r="E4975" t="str">
            <v>LOUISE SEYMOUR</v>
          </cell>
          <cell r="F4975" t="str">
            <v>D (MD)</v>
          </cell>
          <cell r="G4975">
            <v>357585</v>
          </cell>
          <cell r="H4975" t="str">
            <v>Mayday</v>
          </cell>
          <cell r="I4975">
            <v>0.3125</v>
          </cell>
          <cell r="J4975">
            <v>0.85416666666666663</v>
          </cell>
          <cell r="K4975">
            <v>12.33333333</v>
          </cell>
          <cell r="L4975">
            <v>398.24</v>
          </cell>
          <cell r="O4975" t="str">
            <v>Y</v>
          </cell>
          <cell r="P4975" t="str">
            <v>N</v>
          </cell>
          <cell r="Q4975" t="str">
            <v>Extra Capacity</v>
          </cell>
          <cell r="S4975">
            <v>0.33</v>
          </cell>
        </row>
        <row r="4976">
          <cell r="D4976">
            <v>109001681</v>
          </cell>
          <cell r="E4976" t="str">
            <v>MABEL MNISI</v>
          </cell>
          <cell r="F4976" t="str">
            <v>D (MD)</v>
          </cell>
          <cell r="G4976">
            <v>357591</v>
          </cell>
          <cell r="H4976" t="str">
            <v>Mayday</v>
          </cell>
          <cell r="I4976">
            <v>0.83333333333333337</v>
          </cell>
          <cell r="J4976">
            <v>0.33333333333333331</v>
          </cell>
          <cell r="K4976">
            <v>11.33333333</v>
          </cell>
          <cell r="L4976">
            <v>475.74</v>
          </cell>
          <cell r="O4976" t="str">
            <v>Y</v>
          </cell>
          <cell r="P4976" t="str">
            <v>N</v>
          </cell>
          <cell r="Q4976" t="str">
            <v>Short Term Sick</v>
          </cell>
          <cell r="S4976">
            <v>0.3</v>
          </cell>
        </row>
        <row r="4977">
          <cell r="D4977">
            <v>1208007786</v>
          </cell>
          <cell r="E4977" t="str">
            <v>MAGDALINE NGOMANE</v>
          </cell>
          <cell r="F4977" t="str">
            <v>D (Ch)</v>
          </cell>
          <cell r="G4977">
            <v>17867</v>
          </cell>
          <cell r="H4977" t="str">
            <v>Choice</v>
          </cell>
          <cell r="I4977">
            <v>0.83333333333333337</v>
          </cell>
          <cell r="J4977">
            <v>0.33333333333333331</v>
          </cell>
          <cell r="K4977">
            <v>11.33333333</v>
          </cell>
          <cell r="L4977">
            <v>359.05</v>
          </cell>
          <cell r="O4977" t="str">
            <v>Y</v>
          </cell>
          <cell r="P4977" t="str">
            <v>N</v>
          </cell>
          <cell r="Q4977" t="str">
            <v>Extra Capacity</v>
          </cell>
          <cell r="S4977">
            <v>0.3</v>
          </cell>
        </row>
        <row r="4978">
          <cell r="D4978">
            <v>1208008191</v>
          </cell>
          <cell r="E4978" t="str">
            <v>MARIA MACEIRAS</v>
          </cell>
          <cell r="F4978" t="str">
            <v>A (Ch)</v>
          </cell>
          <cell r="H4978" t="str">
            <v>Choice</v>
          </cell>
          <cell r="I4978">
            <v>0.64583333333333337</v>
          </cell>
          <cell r="J4978">
            <v>0.85416666666666663</v>
          </cell>
          <cell r="K4978">
            <v>5</v>
          </cell>
          <cell r="L4978">
            <v>55.45</v>
          </cell>
          <cell r="O4978" t="str">
            <v>Y</v>
          </cell>
          <cell r="P4978" t="str">
            <v>N</v>
          </cell>
          <cell r="Q4978" t="str">
            <v>Short Term Sick</v>
          </cell>
          <cell r="S4978">
            <v>0.13</v>
          </cell>
        </row>
        <row r="4979">
          <cell r="D4979">
            <v>109003131</v>
          </cell>
          <cell r="E4979" t="str">
            <v>MARIAN BRADBURY</v>
          </cell>
          <cell r="F4979" t="str">
            <v>D (Amb)</v>
          </cell>
          <cell r="G4979">
            <v>776991</v>
          </cell>
          <cell r="H4979" t="str">
            <v>Ambition</v>
          </cell>
          <cell r="I4979">
            <v>0.3125</v>
          </cell>
          <cell r="J4979">
            <v>0.83333333333333337</v>
          </cell>
          <cell r="K4979">
            <v>11.83333333</v>
          </cell>
          <cell r="L4979">
            <v>462.68</v>
          </cell>
          <cell r="O4979" t="str">
            <v>Y</v>
          </cell>
          <cell r="P4979" t="str">
            <v>N</v>
          </cell>
          <cell r="Q4979" t="str">
            <v>Nurse Moved</v>
          </cell>
          <cell r="S4979">
            <v>0.32</v>
          </cell>
        </row>
        <row r="4980">
          <cell r="D4980">
            <v>1208005421</v>
          </cell>
          <cell r="E4980" t="str">
            <v>MZUKISI SPEELMAN</v>
          </cell>
          <cell r="F4980" t="str">
            <v>A (Ch)</v>
          </cell>
          <cell r="G4980">
            <v>17849</v>
          </cell>
          <cell r="H4980" t="str">
            <v>Choice</v>
          </cell>
          <cell r="I4980">
            <v>0.3125</v>
          </cell>
          <cell r="J4980">
            <v>0.5625</v>
          </cell>
          <cell r="K4980">
            <v>5.6666666670000003</v>
          </cell>
          <cell r="L4980">
            <v>62.84</v>
          </cell>
          <cell r="O4980" t="str">
            <v>Y</v>
          </cell>
          <cell r="P4980" t="str">
            <v>N</v>
          </cell>
          <cell r="Q4980" t="str">
            <v>Under Established</v>
          </cell>
          <cell r="S4980">
            <v>0.15</v>
          </cell>
        </row>
        <row r="4981">
          <cell r="D4981">
            <v>1208008192</v>
          </cell>
          <cell r="E4981" t="str">
            <v>MZUKISI SPEELMAN</v>
          </cell>
          <cell r="F4981" t="str">
            <v>A (Ch)</v>
          </cell>
          <cell r="G4981">
            <v>18016</v>
          </cell>
          <cell r="H4981" t="str">
            <v>Choice</v>
          </cell>
          <cell r="I4981">
            <v>0.64583333333333337</v>
          </cell>
          <cell r="J4981">
            <v>0.85416666666666663</v>
          </cell>
          <cell r="K4981">
            <v>5</v>
          </cell>
          <cell r="L4981">
            <v>55.45</v>
          </cell>
          <cell r="O4981" t="str">
            <v>Y</v>
          </cell>
          <cell r="P4981" t="str">
            <v>N</v>
          </cell>
          <cell r="Q4981" t="str">
            <v>Short Term Sick</v>
          </cell>
          <cell r="S4981">
            <v>0.13</v>
          </cell>
        </row>
        <row r="4982">
          <cell r="D4982">
            <v>1208007789</v>
          </cell>
          <cell r="E4982" t="str">
            <v>NILO DANUGO</v>
          </cell>
          <cell r="F4982" t="str">
            <v>D (Ch)</v>
          </cell>
          <cell r="G4982">
            <v>17956</v>
          </cell>
          <cell r="H4982" t="str">
            <v>Choice</v>
          </cell>
          <cell r="I4982">
            <v>0.83333333333333337</v>
          </cell>
          <cell r="J4982">
            <v>0.33333333333333331</v>
          </cell>
          <cell r="K4982">
            <v>11.33333333</v>
          </cell>
          <cell r="L4982">
            <v>359.05</v>
          </cell>
          <cell r="O4982" t="str">
            <v>Y</v>
          </cell>
          <cell r="P4982" t="str">
            <v>N</v>
          </cell>
          <cell r="Q4982" t="str">
            <v>Extra Capacity</v>
          </cell>
          <cell r="S4982">
            <v>0.3</v>
          </cell>
        </row>
        <row r="4983">
          <cell r="D4983">
            <v>1208007788</v>
          </cell>
          <cell r="E4983" t="str">
            <v>NTLAI MAGWETE</v>
          </cell>
          <cell r="F4983" t="str">
            <v>D (Ch)</v>
          </cell>
          <cell r="G4983">
            <v>17856</v>
          </cell>
          <cell r="H4983" t="str">
            <v>Choice</v>
          </cell>
          <cell r="I4983">
            <v>0.83333333333333337</v>
          </cell>
          <cell r="J4983">
            <v>0.33333333333333331</v>
          </cell>
          <cell r="K4983">
            <v>11.33333333</v>
          </cell>
          <cell r="L4983">
            <v>359.05</v>
          </cell>
          <cell r="M4983">
            <v>297.88</v>
          </cell>
          <cell r="O4983" t="str">
            <v>Y</v>
          </cell>
          <cell r="P4983" t="str">
            <v>N</v>
          </cell>
          <cell r="Q4983" t="str">
            <v>Extra Capacity</v>
          </cell>
          <cell r="S4983">
            <v>0.3</v>
          </cell>
        </row>
        <row r="4984">
          <cell r="D4984">
            <v>1208005417</v>
          </cell>
          <cell r="E4984" t="str">
            <v>PEGGY MAPOGO</v>
          </cell>
          <cell r="F4984" t="str">
            <v>D (Ch)</v>
          </cell>
          <cell r="H4984" t="str">
            <v>Choice</v>
          </cell>
          <cell r="I4984">
            <v>0.3125</v>
          </cell>
          <cell r="J4984">
            <v>0.5625</v>
          </cell>
          <cell r="K4984">
            <v>5.6666666670000003</v>
          </cell>
          <cell r="L4984">
            <v>138.1</v>
          </cell>
          <cell r="O4984" t="str">
            <v>Y</v>
          </cell>
          <cell r="P4984" t="str">
            <v>N</v>
          </cell>
          <cell r="Q4984" t="str">
            <v>Transfer</v>
          </cell>
          <cell r="S4984">
            <v>0.15</v>
          </cell>
        </row>
        <row r="4985">
          <cell r="D4985">
            <v>109003303</v>
          </cell>
          <cell r="E4985" t="str">
            <v>PERPETUA MAKAYI</v>
          </cell>
          <cell r="F4985" t="str">
            <v>D (Amb)</v>
          </cell>
          <cell r="G4985">
            <v>774190</v>
          </cell>
          <cell r="H4985" t="str">
            <v>Ambition</v>
          </cell>
          <cell r="I4985">
            <v>0.82291666666666663</v>
          </cell>
          <cell r="J4985">
            <v>0.34375</v>
          </cell>
          <cell r="K4985">
            <v>11.5</v>
          </cell>
          <cell r="L4985">
            <v>584.54999999999995</v>
          </cell>
          <cell r="O4985" t="str">
            <v>Y</v>
          </cell>
          <cell r="P4985" t="str">
            <v>N</v>
          </cell>
          <cell r="Q4985" t="str">
            <v>Emergency Leave</v>
          </cell>
          <cell r="S4985">
            <v>0.31</v>
          </cell>
        </row>
        <row r="4986">
          <cell r="D4986">
            <v>1208006481</v>
          </cell>
          <cell r="E4986" t="str">
            <v>PHILILE NDLANGAMANDLA</v>
          </cell>
          <cell r="F4986" t="str">
            <v>D (Ch)</v>
          </cell>
          <cell r="H4986" t="str">
            <v>Choice</v>
          </cell>
          <cell r="I4986">
            <v>0.83333333333333337</v>
          </cell>
          <cell r="J4986">
            <v>0.33333333333333331</v>
          </cell>
          <cell r="K4986">
            <v>11.33333333</v>
          </cell>
          <cell r="L4986">
            <v>359.05</v>
          </cell>
          <cell r="O4986" t="str">
            <v>Y</v>
          </cell>
          <cell r="P4986" t="str">
            <v>N</v>
          </cell>
          <cell r="Q4986" t="str">
            <v>Vacancy</v>
          </cell>
          <cell r="S4986">
            <v>0.3</v>
          </cell>
        </row>
        <row r="4987">
          <cell r="D4987">
            <v>1208007985</v>
          </cell>
          <cell r="E4987" t="str">
            <v>PINSON MAURO</v>
          </cell>
          <cell r="F4987" t="str">
            <v>D (Ch)</v>
          </cell>
          <cell r="G4987">
            <v>17853</v>
          </cell>
          <cell r="H4987" t="str">
            <v>Choice</v>
          </cell>
          <cell r="I4987">
            <v>0.3125</v>
          </cell>
          <cell r="J4987">
            <v>0.54166666666666663</v>
          </cell>
          <cell r="K4987">
            <v>5.5</v>
          </cell>
          <cell r="L4987">
            <v>134.03</v>
          </cell>
          <cell r="O4987" t="str">
            <v>Y</v>
          </cell>
          <cell r="P4987" t="str">
            <v>N</v>
          </cell>
          <cell r="Q4987" t="str">
            <v>Acuity</v>
          </cell>
          <cell r="S4987">
            <v>0.15</v>
          </cell>
        </row>
        <row r="4988">
          <cell r="D4988">
            <v>1208007997</v>
          </cell>
          <cell r="E4988" t="str">
            <v>PINSON MAURO</v>
          </cell>
          <cell r="F4988" t="str">
            <v>D (Ch)</v>
          </cell>
          <cell r="G4988">
            <v>17853</v>
          </cell>
          <cell r="H4988" t="str">
            <v>Choice</v>
          </cell>
          <cell r="I4988">
            <v>0.54166666666666663</v>
          </cell>
          <cell r="J4988">
            <v>0.83333333333333337</v>
          </cell>
          <cell r="K4988">
            <v>6.6666666670000003</v>
          </cell>
          <cell r="L4988">
            <v>162.47</v>
          </cell>
          <cell r="O4988" t="str">
            <v>Y</v>
          </cell>
          <cell r="P4988" t="str">
            <v>N</v>
          </cell>
          <cell r="Q4988" t="str">
            <v>Acuity</v>
          </cell>
          <cell r="S4988">
            <v>0.18</v>
          </cell>
        </row>
        <row r="4989">
          <cell r="D4989">
            <v>109000007</v>
          </cell>
          <cell r="E4989" t="str">
            <v>SAM KELEM</v>
          </cell>
          <cell r="F4989" t="str">
            <v>D (Ch)</v>
          </cell>
          <cell r="G4989">
            <v>17849</v>
          </cell>
          <cell r="H4989" t="str">
            <v>Choice</v>
          </cell>
          <cell r="I4989">
            <v>0.83333333333333337</v>
          </cell>
          <cell r="J4989">
            <v>0.33333333333333331</v>
          </cell>
          <cell r="K4989">
            <v>11.33333333</v>
          </cell>
          <cell r="L4989">
            <v>359.05</v>
          </cell>
          <cell r="O4989" t="str">
            <v>Y</v>
          </cell>
          <cell r="P4989" t="str">
            <v>N</v>
          </cell>
          <cell r="Q4989" t="str">
            <v>Under Established</v>
          </cell>
          <cell r="S4989">
            <v>0.3</v>
          </cell>
        </row>
        <row r="4990">
          <cell r="D4990">
            <v>1208005415</v>
          </cell>
          <cell r="E4990" t="str">
            <v>SELINAH BAKASA</v>
          </cell>
          <cell r="F4990" t="str">
            <v>D (Ch)</v>
          </cell>
          <cell r="G4990">
            <v>17849</v>
          </cell>
          <cell r="H4990" t="str">
            <v>Choice</v>
          </cell>
          <cell r="I4990">
            <v>0.3125</v>
          </cell>
          <cell r="J4990">
            <v>0.5625</v>
          </cell>
          <cell r="K4990">
            <v>5.6666666670000003</v>
          </cell>
          <cell r="L4990">
            <v>138.1</v>
          </cell>
          <cell r="O4990" t="str">
            <v>Y</v>
          </cell>
          <cell r="P4990" t="str">
            <v>N</v>
          </cell>
          <cell r="Q4990" t="str">
            <v>Under Established</v>
          </cell>
          <cell r="S4990">
            <v>0.15</v>
          </cell>
        </row>
        <row r="4991">
          <cell r="D4991">
            <v>1208005427</v>
          </cell>
          <cell r="E4991" t="str">
            <v>SELINAH BAKASA</v>
          </cell>
          <cell r="F4991" t="str">
            <v>D (Ch)</v>
          </cell>
          <cell r="G4991">
            <v>17849</v>
          </cell>
          <cell r="H4991" t="str">
            <v>Choice</v>
          </cell>
          <cell r="I4991">
            <v>0.5625</v>
          </cell>
          <cell r="J4991">
            <v>0.85416666666666663</v>
          </cell>
          <cell r="K4991">
            <v>6.6666666670000003</v>
          </cell>
          <cell r="L4991">
            <v>162.47</v>
          </cell>
          <cell r="O4991" t="str">
            <v>Y</v>
          </cell>
          <cell r="P4991" t="str">
            <v>N</v>
          </cell>
          <cell r="Q4991" t="str">
            <v>Annual Leave</v>
          </cell>
          <cell r="S4991">
            <v>0.18</v>
          </cell>
        </row>
        <row r="4992">
          <cell r="D4992">
            <v>1208005420</v>
          </cell>
          <cell r="E4992" t="str">
            <v>SHEPHERD CHIWANZA</v>
          </cell>
          <cell r="F4992" t="str">
            <v>A (Ch)</v>
          </cell>
          <cell r="G4992">
            <v>17849</v>
          </cell>
          <cell r="H4992" t="str">
            <v>Choice</v>
          </cell>
          <cell r="I4992">
            <v>0.3125</v>
          </cell>
          <cell r="J4992">
            <v>0.5625</v>
          </cell>
          <cell r="K4992">
            <v>5.6666666670000003</v>
          </cell>
          <cell r="L4992">
            <v>62.84</v>
          </cell>
          <cell r="O4992" t="str">
            <v>Y</v>
          </cell>
          <cell r="P4992" t="str">
            <v>N</v>
          </cell>
          <cell r="Q4992" t="str">
            <v>Annual Leave</v>
          </cell>
          <cell r="S4992">
            <v>0.15</v>
          </cell>
        </row>
        <row r="4993">
          <cell r="D4993">
            <v>1208005426</v>
          </cell>
          <cell r="E4993" t="str">
            <v>SHEPHERD CHIWANZA</v>
          </cell>
          <cell r="F4993" t="str">
            <v>A (Ch)</v>
          </cell>
          <cell r="G4993">
            <v>17849</v>
          </cell>
          <cell r="H4993" t="str">
            <v>Choice</v>
          </cell>
          <cell r="I4993">
            <v>0.5625</v>
          </cell>
          <cell r="J4993">
            <v>0.85416666666666663</v>
          </cell>
          <cell r="K4993">
            <v>6.6666666670000003</v>
          </cell>
          <cell r="L4993">
            <v>73.930000000000007</v>
          </cell>
          <cell r="O4993" t="str">
            <v>Y</v>
          </cell>
          <cell r="P4993" t="str">
            <v>N</v>
          </cell>
          <cell r="Q4993" t="str">
            <v>Under Established</v>
          </cell>
          <cell r="S4993">
            <v>0.18</v>
          </cell>
        </row>
        <row r="4994">
          <cell r="D4994">
            <v>109001641</v>
          </cell>
          <cell r="E4994" t="str">
            <v>SIBONISIWE NCUBE</v>
          </cell>
          <cell r="F4994" t="str">
            <v>D (Amb)</v>
          </cell>
          <cell r="G4994">
            <v>774218</v>
          </cell>
          <cell r="H4994" t="str">
            <v>Ambition</v>
          </cell>
          <cell r="I4994">
            <v>0.3125</v>
          </cell>
          <cell r="J4994">
            <v>0.64583333333333337</v>
          </cell>
          <cell r="K4994">
            <v>7.6666666670000003</v>
          </cell>
          <cell r="L4994">
            <v>299.77</v>
          </cell>
          <cell r="O4994" t="str">
            <v>Y</v>
          </cell>
          <cell r="P4994" t="str">
            <v>N</v>
          </cell>
          <cell r="Q4994" t="str">
            <v>Vacancy</v>
          </cell>
          <cell r="S4994">
            <v>0.2</v>
          </cell>
        </row>
        <row r="4995">
          <cell r="D4995">
            <v>1208007757</v>
          </cell>
          <cell r="E4995" t="str">
            <v>SIBONISIWE NCUBE</v>
          </cell>
          <cell r="F4995" t="str">
            <v>D (Amb)</v>
          </cell>
          <cell r="G4995">
            <v>774217</v>
          </cell>
          <cell r="H4995" t="str">
            <v>Ambition</v>
          </cell>
          <cell r="I4995">
            <v>0.64583333333333337</v>
          </cell>
          <cell r="J4995">
            <v>0.85416666666666663</v>
          </cell>
          <cell r="K4995">
            <v>5</v>
          </cell>
          <cell r="L4995">
            <v>195.5</v>
          </cell>
          <cell r="O4995" t="str">
            <v>Y</v>
          </cell>
          <cell r="P4995" t="str">
            <v>N</v>
          </cell>
          <cell r="Q4995" t="str">
            <v>Extra Capacity</v>
          </cell>
          <cell r="S4995">
            <v>0.13</v>
          </cell>
        </row>
        <row r="4996">
          <cell r="D4996">
            <v>1208007731</v>
          </cell>
          <cell r="E4996" t="str">
            <v>SIPHIOISIWE NYONI</v>
          </cell>
          <cell r="F4996" t="str">
            <v>D (Amb)</v>
          </cell>
          <cell r="G4996">
            <v>774203</v>
          </cell>
          <cell r="H4996" t="str">
            <v>Ambition</v>
          </cell>
          <cell r="I4996">
            <v>0.3125</v>
          </cell>
          <cell r="J4996">
            <v>0.60416666666666663</v>
          </cell>
          <cell r="K4996">
            <v>6.6666666670000003</v>
          </cell>
          <cell r="L4996">
            <v>260.67</v>
          </cell>
          <cell r="O4996" t="str">
            <v>Y</v>
          </cell>
          <cell r="P4996" t="str">
            <v>N</v>
          </cell>
          <cell r="Q4996" t="str">
            <v>Extra Capacity</v>
          </cell>
          <cell r="S4996">
            <v>0.18</v>
          </cell>
        </row>
        <row r="4997">
          <cell r="D4997">
            <v>109002327</v>
          </cell>
          <cell r="E4997" t="str">
            <v>TAMBU JENA</v>
          </cell>
          <cell r="F4997" t="str">
            <v>D (Amb)</v>
          </cell>
          <cell r="G4997">
            <v>777071</v>
          </cell>
          <cell r="H4997" t="str">
            <v>Ambition</v>
          </cell>
          <cell r="I4997">
            <v>0.54166666666666663</v>
          </cell>
          <cell r="J4997">
            <v>0.85416666666666663</v>
          </cell>
          <cell r="K4997">
            <v>7.1666666670000003</v>
          </cell>
          <cell r="L4997">
            <v>280.22000000000003</v>
          </cell>
          <cell r="O4997" t="str">
            <v>Y</v>
          </cell>
          <cell r="P4997" t="str">
            <v>N</v>
          </cell>
          <cell r="Q4997" t="str">
            <v>Short Term Sick</v>
          </cell>
          <cell r="S4997">
            <v>0.19</v>
          </cell>
        </row>
        <row r="4998">
          <cell r="D4998">
            <v>109000483</v>
          </cell>
          <cell r="E4998" t="str">
            <v>TARA MASSIE</v>
          </cell>
          <cell r="F4998" t="str">
            <v>D (MD)</v>
          </cell>
          <cell r="G4998">
            <v>359090</v>
          </cell>
          <cell r="H4998" t="str">
            <v>Mayday</v>
          </cell>
          <cell r="I4998">
            <v>0.33333333333333331</v>
          </cell>
          <cell r="J4998">
            <v>0.83333333333333337</v>
          </cell>
          <cell r="K4998">
            <v>11.33333333</v>
          </cell>
          <cell r="L4998">
            <v>365.95</v>
          </cell>
          <cell r="O4998" t="str">
            <v>Y</v>
          </cell>
          <cell r="P4998" t="str">
            <v>N</v>
          </cell>
          <cell r="Q4998" t="str">
            <v>Vacancy</v>
          </cell>
          <cell r="S4998">
            <v>0.3</v>
          </cell>
        </row>
        <row r="4999">
          <cell r="D4999">
            <v>1208006472</v>
          </cell>
          <cell r="E4999" t="str">
            <v>THEMBA CEBEKHULU</v>
          </cell>
          <cell r="F4999" t="str">
            <v>D (Ch)</v>
          </cell>
          <cell r="G4999">
            <v>17947</v>
          </cell>
          <cell r="H4999" t="str">
            <v>Choice</v>
          </cell>
          <cell r="I4999">
            <v>0.3125</v>
          </cell>
          <cell r="J4999">
            <v>0.85416666666666663</v>
          </cell>
          <cell r="K4999">
            <v>12.33333333</v>
          </cell>
          <cell r="L4999">
            <v>300.56</v>
          </cell>
          <cell r="O4999" t="str">
            <v>Y</v>
          </cell>
          <cell r="P4999" t="str">
            <v>N</v>
          </cell>
          <cell r="Q4999" t="str">
            <v>Vacancy</v>
          </cell>
          <cell r="S4999">
            <v>0.33</v>
          </cell>
        </row>
        <row r="5000">
          <cell r="D5000">
            <v>109000020</v>
          </cell>
          <cell r="E5000" t="str">
            <v>VICTORIA ANIKINA</v>
          </cell>
          <cell r="F5000" t="str">
            <v>D (Amb)</v>
          </cell>
          <cell r="G5000">
            <v>774239</v>
          </cell>
          <cell r="H5000" t="str">
            <v>Ambition</v>
          </cell>
          <cell r="I5000">
            <v>0.3125</v>
          </cell>
          <cell r="J5000">
            <v>0.54166666666666663</v>
          </cell>
          <cell r="K5000">
            <v>5.5</v>
          </cell>
          <cell r="L5000">
            <v>215.05</v>
          </cell>
          <cell r="O5000" t="str">
            <v>Y</v>
          </cell>
          <cell r="P5000" t="str">
            <v>N</v>
          </cell>
          <cell r="Q5000" t="str">
            <v>Vacancy</v>
          </cell>
          <cell r="S5000">
            <v>0.15</v>
          </cell>
        </row>
        <row r="5001">
          <cell r="D5001">
            <v>109002714</v>
          </cell>
          <cell r="E5001" t="str">
            <v xml:space="preserve">ALEX NLEYA </v>
          </cell>
          <cell r="F5001" t="str">
            <v>Band 2 (DN)</v>
          </cell>
          <cell r="H5001" t="str">
            <v>Direct Nursing</v>
          </cell>
          <cell r="I5001">
            <v>0.3125</v>
          </cell>
          <cell r="J5001">
            <v>0.54166666666666663</v>
          </cell>
          <cell r="K5001">
            <v>5.5</v>
          </cell>
          <cell r="L5001">
            <v>72.010000000000005</v>
          </cell>
          <cell r="O5001" t="str">
            <v>Y</v>
          </cell>
          <cell r="P5001" t="str">
            <v>N</v>
          </cell>
          <cell r="Q5001" t="str">
            <v>Vacancy</v>
          </cell>
          <cell r="S5001">
            <v>0.15</v>
          </cell>
        </row>
        <row r="5002">
          <cell r="D5002">
            <v>1208006527</v>
          </cell>
          <cell r="E5002" t="str">
            <v>ATINUKE OKE-OLATUNDE</v>
          </cell>
          <cell r="F5002" t="str">
            <v>D (MD)</v>
          </cell>
          <cell r="G5002">
            <v>365294</v>
          </cell>
          <cell r="H5002" t="str">
            <v>Mayday</v>
          </cell>
          <cell r="I5002">
            <v>0.84375</v>
          </cell>
          <cell r="J5002">
            <v>0.3125</v>
          </cell>
          <cell r="K5002">
            <v>10.25</v>
          </cell>
          <cell r="L5002">
            <v>430.26</v>
          </cell>
          <cell r="O5002" t="str">
            <v>Y</v>
          </cell>
          <cell r="P5002" t="str">
            <v>N</v>
          </cell>
          <cell r="Q5002" t="str">
            <v>Vacancy</v>
          </cell>
          <cell r="S5002">
            <v>0.27</v>
          </cell>
        </row>
        <row r="5003">
          <cell r="D5003">
            <v>109002329</v>
          </cell>
          <cell r="E5003" t="str">
            <v>BERNADETTE SHINYA-NDUNUWANI</v>
          </cell>
          <cell r="F5003" t="str">
            <v>D (MD)</v>
          </cell>
          <cell r="G5003">
            <v>359997</v>
          </cell>
          <cell r="H5003" t="str">
            <v>Mayday</v>
          </cell>
          <cell r="I5003">
            <v>0.3125</v>
          </cell>
          <cell r="J5003">
            <v>0.625</v>
          </cell>
          <cell r="K5003">
            <v>7.1666666670000003</v>
          </cell>
          <cell r="L5003">
            <v>300.83999999999997</v>
          </cell>
          <cell r="O5003" t="str">
            <v>Y</v>
          </cell>
          <cell r="P5003" t="str">
            <v>N</v>
          </cell>
          <cell r="Q5003" t="str">
            <v>Short Term Sick</v>
          </cell>
          <cell r="S5003">
            <v>0.19</v>
          </cell>
        </row>
        <row r="5004">
          <cell r="D5004">
            <v>1208004613</v>
          </cell>
          <cell r="E5004" t="str">
            <v>BERNADETTE SHINYA-NDUNUWANI</v>
          </cell>
          <cell r="F5004" t="str">
            <v>D (MD)</v>
          </cell>
          <cell r="G5004">
            <v>359997</v>
          </cell>
          <cell r="H5004" t="str">
            <v>Mayday</v>
          </cell>
          <cell r="I5004">
            <v>0.625</v>
          </cell>
          <cell r="J5004">
            <v>0.85416666666666663</v>
          </cell>
          <cell r="K5004">
            <v>5.5</v>
          </cell>
          <cell r="L5004">
            <v>230.87</v>
          </cell>
          <cell r="O5004" t="str">
            <v>Y</v>
          </cell>
          <cell r="P5004" t="str">
            <v>N</v>
          </cell>
          <cell r="Q5004" t="str">
            <v>Vacancy</v>
          </cell>
          <cell r="S5004">
            <v>0.15</v>
          </cell>
        </row>
        <row r="5005">
          <cell r="D5005">
            <v>109003454</v>
          </cell>
          <cell r="E5005" t="str">
            <v>BIDDY CHAFESUKA</v>
          </cell>
          <cell r="F5005" t="str">
            <v>D (Ch)</v>
          </cell>
          <cell r="G5005">
            <v>17863</v>
          </cell>
          <cell r="H5005" t="str">
            <v>Choice</v>
          </cell>
          <cell r="I5005">
            <v>0.64583333333333337</v>
          </cell>
          <cell r="J5005">
            <v>0.85416666666666663</v>
          </cell>
          <cell r="K5005">
            <v>5</v>
          </cell>
          <cell r="L5005">
            <v>158.41</v>
          </cell>
          <cell r="O5005" t="str">
            <v>Y</v>
          </cell>
          <cell r="P5005" t="str">
            <v>N</v>
          </cell>
          <cell r="Q5005" t="str">
            <v>Short Term Sick</v>
          </cell>
          <cell r="S5005">
            <v>0.13</v>
          </cell>
        </row>
        <row r="5006">
          <cell r="D5006">
            <v>109003138</v>
          </cell>
          <cell r="E5006" t="str">
            <v>BRENDA GWEKWERERE</v>
          </cell>
          <cell r="F5006" t="str">
            <v>D (Ch)</v>
          </cell>
          <cell r="G5006">
            <v>17948</v>
          </cell>
          <cell r="H5006" t="str">
            <v>Choice</v>
          </cell>
          <cell r="I5006">
            <v>0.3125</v>
          </cell>
          <cell r="J5006">
            <v>0.83333333333333337</v>
          </cell>
          <cell r="K5006">
            <v>11.83333333</v>
          </cell>
          <cell r="L5006">
            <v>374.89</v>
          </cell>
          <cell r="O5006" t="str">
            <v>Y</v>
          </cell>
          <cell r="P5006" t="str">
            <v>N</v>
          </cell>
          <cell r="Q5006" t="str">
            <v>Nurse Moved</v>
          </cell>
          <cell r="S5006">
            <v>0.32</v>
          </cell>
        </row>
        <row r="5007">
          <cell r="D5007">
            <v>109003279</v>
          </cell>
          <cell r="E5007" t="str">
            <v>CLAIRE ROWLEY</v>
          </cell>
          <cell r="F5007" t="str">
            <v>Band 5 (DN)</v>
          </cell>
          <cell r="G5007">
            <v>19714</v>
          </cell>
          <cell r="H5007" t="str">
            <v>Direct Nursing</v>
          </cell>
          <cell r="I5007">
            <v>0.83333333333333337</v>
          </cell>
          <cell r="J5007">
            <v>0.33333333333333331</v>
          </cell>
          <cell r="K5007">
            <v>11</v>
          </cell>
          <cell r="L5007">
            <v>251.68</v>
          </cell>
          <cell r="O5007" t="str">
            <v>Y</v>
          </cell>
          <cell r="P5007" t="str">
            <v>N</v>
          </cell>
          <cell r="Q5007" t="str">
            <v>Extra Capacity</v>
          </cell>
          <cell r="S5007">
            <v>0.28999999999999998</v>
          </cell>
        </row>
        <row r="5008">
          <cell r="D5008">
            <v>109003140</v>
          </cell>
          <cell r="E5008" t="str">
            <v>CYNTHIA DELMO</v>
          </cell>
          <cell r="F5008" t="str">
            <v>D (Ch)</v>
          </cell>
          <cell r="G5008">
            <v>17869</v>
          </cell>
          <cell r="H5008" t="str">
            <v>Choice</v>
          </cell>
          <cell r="I5008">
            <v>0.8125</v>
          </cell>
          <cell r="J5008">
            <v>0.33333333333333331</v>
          </cell>
          <cell r="K5008">
            <v>11.83333333</v>
          </cell>
          <cell r="L5008">
            <v>374.89</v>
          </cell>
          <cell r="M5008">
            <v>327.06</v>
          </cell>
          <cell r="O5008" t="str">
            <v>Y</v>
          </cell>
          <cell r="P5008" t="str">
            <v>N</v>
          </cell>
          <cell r="Q5008" t="str">
            <v>Nurse Moved</v>
          </cell>
          <cell r="S5008">
            <v>0.32</v>
          </cell>
        </row>
        <row r="5009">
          <cell r="D5009">
            <v>1208005437</v>
          </cell>
          <cell r="E5009" t="str">
            <v>DAMILOLA AIKI</v>
          </cell>
          <cell r="F5009" t="str">
            <v>A (Ch)</v>
          </cell>
          <cell r="H5009" t="str">
            <v>Choice</v>
          </cell>
          <cell r="I5009">
            <v>0.3125</v>
          </cell>
          <cell r="J5009">
            <v>0.5625</v>
          </cell>
          <cell r="K5009">
            <v>5.6666666670000003</v>
          </cell>
          <cell r="L5009">
            <v>83.79</v>
          </cell>
          <cell r="O5009" t="str">
            <v>Y</v>
          </cell>
          <cell r="P5009" t="str">
            <v>N</v>
          </cell>
          <cell r="Q5009" t="str">
            <v>Annual Leave</v>
          </cell>
          <cell r="S5009">
            <v>0.15</v>
          </cell>
        </row>
        <row r="5010">
          <cell r="D5010">
            <v>109001782</v>
          </cell>
          <cell r="E5010" t="str">
            <v>DEBBIE HARRIS</v>
          </cell>
          <cell r="F5010" t="str">
            <v>D (MD)</v>
          </cell>
          <cell r="G5010">
            <v>361091</v>
          </cell>
          <cell r="H5010" t="str">
            <v>Mayday</v>
          </cell>
          <cell r="I5010">
            <v>0.8125</v>
          </cell>
          <cell r="J5010">
            <v>0.33333333333333331</v>
          </cell>
          <cell r="K5010">
            <v>11.83333333</v>
          </cell>
          <cell r="L5010">
            <v>496.73</v>
          </cell>
          <cell r="O5010" t="str">
            <v>Y</v>
          </cell>
          <cell r="P5010" t="str">
            <v>N</v>
          </cell>
          <cell r="Q5010" t="str">
            <v>Short Term Sick</v>
          </cell>
          <cell r="S5010">
            <v>0.32</v>
          </cell>
        </row>
        <row r="5011">
          <cell r="D5011">
            <v>109002051</v>
          </cell>
          <cell r="E5011" t="str">
            <v>DEBBIE MVERCHENA</v>
          </cell>
          <cell r="F5011" t="str">
            <v>5 Mental (Advan</v>
          </cell>
          <cell r="G5011">
            <v>1418526</v>
          </cell>
          <cell r="H5011" t="str">
            <v>Advantage</v>
          </cell>
          <cell r="I5011">
            <v>0.83333333333333337</v>
          </cell>
          <cell r="J5011">
            <v>0.33333333333333331</v>
          </cell>
          <cell r="K5011">
            <v>11.33333333</v>
          </cell>
          <cell r="L5011">
            <v>260.77999999999997</v>
          </cell>
          <cell r="O5011" t="str">
            <v>Y</v>
          </cell>
          <cell r="P5011" t="str">
            <v>N</v>
          </cell>
          <cell r="Q5011" t="str">
            <v>Extra Capacity</v>
          </cell>
          <cell r="S5011">
            <v>0.3</v>
          </cell>
        </row>
        <row r="5012">
          <cell r="D5012">
            <v>1208007791</v>
          </cell>
          <cell r="E5012" t="str">
            <v>DONALD YANZA</v>
          </cell>
          <cell r="F5012" t="str">
            <v>D (Ch)</v>
          </cell>
          <cell r="G5012">
            <v>17956</v>
          </cell>
          <cell r="H5012" t="str">
            <v>Choice</v>
          </cell>
          <cell r="I5012">
            <v>0.83333333333333337</v>
          </cell>
          <cell r="J5012">
            <v>0.33333333333333331</v>
          </cell>
          <cell r="K5012">
            <v>11.33333333</v>
          </cell>
          <cell r="L5012">
            <v>359.05</v>
          </cell>
          <cell r="O5012" t="str">
            <v>Y</v>
          </cell>
          <cell r="P5012" t="str">
            <v>N</v>
          </cell>
          <cell r="Q5012" t="str">
            <v>Extra Capacity</v>
          </cell>
          <cell r="S5012">
            <v>0.3</v>
          </cell>
        </row>
        <row r="5013">
          <cell r="D5013">
            <v>109003084</v>
          </cell>
          <cell r="E5013" t="str">
            <v>DORICA MUNJERI</v>
          </cell>
          <cell r="F5013" t="str">
            <v>A (Ch)</v>
          </cell>
          <cell r="G5013">
            <v>17854</v>
          </cell>
          <cell r="H5013" t="str">
            <v>Choice</v>
          </cell>
          <cell r="I5013">
            <v>0.625</v>
          </cell>
          <cell r="J5013">
            <v>0.84375</v>
          </cell>
          <cell r="K5013">
            <v>5.25</v>
          </cell>
          <cell r="L5013">
            <v>77.63</v>
          </cell>
          <cell r="O5013" t="str">
            <v>Y</v>
          </cell>
          <cell r="P5013" t="str">
            <v>N</v>
          </cell>
          <cell r="Q5013" t="str">
            <v>Vacancy</v>
          </cell>
          <cell r="S5013">
            <v>0.14000000000000001</v>
          </cell>
        </row>
        <row r="5014">
          <cell r="D5014">
            <v>1208007736</v>
          </cell>
          <cell r="E5014" t="str">
            <v>ELLEN HALCROW</v>
          </cell>
          <cell r="F5014" t="str">
            <v>D (Amb)</v>
          </cell>
          <cell r="G5014">
            <v>774219</v>
          </cell>
          <cell r="H5014" t="str">
            <v>Ambition</v>
          </cell>
          <cell r="I5014">
            <v>0.3125</v>
          </cell>
          <cell r="J5014">
            <v>0.60416666666666663</v>
          </cell>
          <cell r="K5014">
            <v>6.6666666670000003</v>
          </cell>
          <cell r="L5014">
            <v>338.87</v>
          </cell>
          <cell r="O5014" t="str">
            <v>Y</v>
          </cell>
          <cell r="P5014" t="str">
            <v>N</v>
          </cell>
          <cell r="Q5014" t="str">
            <v>Extra Capacity</v>
          </cell>
          <cell r="S5014">
            <v>0.18</v>
          </cell>
        </row>
        <row r="5015">
          <cell r="D5015">
            <v>1208007761</v>
          </cell>
          <cell r="E5015" t="str">
            <v>ELLEN HALCROW</v>
          </cell>
          <cell r="F5015" t="str">
            <v>D (Amb)</v>
          </cell>
          <cell r="G5015">
            <v>774219</v>
          </cell>
          <cell r="H5015" t="str">
            <v>Ambition</v>
          </cell>
          <cell r="I5015">
            <v>0.60416666666666663</v>
          </cell>
          <cell r="J5015">
            <v>0.85416666666666663</v>
          </cell>
          <cell r="K5015">
            <v>5.6666666670000003</v>
          </cell>
          <cell r="L5015">
            <v>288.04000000000002</v>
          </cell>
          <cell r="O5015" t="str">
            <v>Y</v>
          </cell>
          <cell r="P5015" t="str">
            <v>N</v>
          </cell>
          <cell r="Q5015" t="str">
            <v>Extra Capacity</v>
          </cell>
          <cell r="S5015">
            <v>0.15</v>
          </cell>
        </row>
        <row r="5016">
          <cell r="D5016">
            <v>1208007734</v>
          </cell>
          <cell r="E5016" t="str">
            <v>EMMANUEL SALAKO</v>
          </cell>
          <cell r="F5016" t="str">
            <v>D (MD)</v>
          </cell>
          <cell r="G5016">
            <v>359106</v>
          </cell>
          <cell r="H5016" t="str">
            <v>Mayday</v>
          </cell>
          <cell r="I5016">
            <v>0.3125</v>
          </cell>
          <cell r="J5016">
            <v>0.60416666666666663</v>
          </cell>
          <cell r="K5016">
            <v>6.6666666670000003</v>
          </cell>
          <cell r="L5016">
            <v>279.85000000000002</v>
          </cell>
          <cell r="O5016" t="str">
            <v>Y</v>
          </cell>
          <cell r="P5016" t="str">
            <v>N</v>
          </cell>
          <cell r="Q5016" t="str">
            <v>Extra Capacity</v>
          </cell>
          <cell r="S5016">
            <v>0.18</v>
          </cell>
        </row>
        <row r="5017">
          <cell r="D5017">
            <v>1208007759</v>
          </cell>
          <cell r="E5017" t="str">
            <v>EMMANUEL SALAKO</v>
          </cell>
          <cell r="F5017" t="str">
            <v>D (MD)</v>
          </cell>
          <cell r="G5017">
            <v>359106</v>
          </cell>
          <cell r="H5017" t="str">
            <v>Mayday</v>
          </cell>
          <cell r="I5017">
            <v>0.60416666666666663</v>
          </cell>
          <cell r="J5017">
            <v>0.85416666666666663</v>
          </cell>
          <cell r="K5017">
            <v>5.6666666670000003</v>
          </cell>
          <cell r="L5017">
            <v>237.87</v>
          </cell>
          <cell r="O5017" t="str">
            <v>Y</v>
          </cell>
          <cell r="P5017" t="str">
            <v>N</v>
          </cell>
          <cell r="Q5017" t="str">
            <v>Extra Capacity</v>
          </cell>
          <cell r="S5017">
            <v>0.15</v>
          </cell>
        </row>
        <row r="5018">
          <cell r="D5018">
            <v>1108006462</v>
          </cell>
          <cell r="E5018" t="str">
            <v>FIONA DURKIN-GREER</v>
          </cell>
          <cell r="F5018" t="str">
            <v>D (MD)</v>
          </cell>
          <cell r="G5018">
            <v>358998</v>
          </cell>
          <cell r="H5018" t="str">
            <v>Mayday</v>
          </cell>
          <cell r="I5018">
            <v>0.3125</v>
          </cell>
          <cell r="J5018">
            <v>0.5625</v>
          </cell>
          <cell r="K5018">
            <v>5.6666666670000003</v>
          </cell>
          <cell r="L5018">
            <v>237.87</v>
          </cell>
          <cell r="O5018" t="str">
            <v>Y</v>
          </cell>
          <cell r="P5018" t="str">
            <v>N</v>
          </cell>
          <cell r="Q5018" t="str">
            <v>Vacancy</v>
          </cell>
          <cell r="S5018">
            <v>0.15</v>
          </cell>
        </row>
        <row r="5019">
          <cell r="D5019">
            <v>1208006487</v>
          </cell>
          <cell r="E5019" t="str">
            <v>GEMMA CATIBOG</v>
          </cell>
          <cell r="F5019" t="str">
            <v>D (Ch)</v>
          </cell>
          <cell r="G5019">
            <v>17867</v>
          </cell>
          <cell r="H5019" t="str">
            <v>Choice</v>
          </cell>
          <cell r="I5019">
            <v>0.83333333333333337</v>
          </cell>
          <cell r="J5019">
            <v>0.33333333333333331</v>
          </cell>
          <cell r="K5019">
            <v>11.33333333</v>
          </cell>
          <cell r="L5019">
            <v>359.05</v>
          </cell>
          <cell r="O5019" t="str">
            <v>Y</v>
          </cell>
          <cell r="P5019" t="str">
            <v>N</v>
          </cell>
          <cell r="Q5019" t="str">
            <v>Vacancy</v>
          </cell>
          <cell r="S5019">
            <v>0.3</v>
          </cell>
        </row>
        <row r="5020">
          <cell r="D5020">
            <v>109003501</v>
          </cell>
          <cell r="E5020" t="str">
            <v>IOAN GALATANU</v>
          </cell>
          <cell r="F5020" t="str">
            <v>D (Amb)</v>
          </cell>
          <cell r="G5020">
            <v>777064</v>
          </cell>
          <cell r="H5020" t="str">
            <v>Ambition</v>
          </cell>
          <cell r="I5020">
            <v>0.60416666666666663</v>
          </cell>
          <cell r="J5020">
            <v>0.85416666666666663</v>
          </cell>
          <cell r="K5020">
            <v>5.6666666670000003</v>
          </cell>
          <cell r="L5020">
            <v>288.04000000000002</v>
          </cell>
          <cell r="O5020" t="str">
            <v>Y</v>
          </cell>
          <cell r="P5020" t="str">
            <v>N</v>
          </cell>
          <cell r="Q5020" t="str">
            <v>Extra Capacity</v>
          </cell>
          <cell r="S5020">
            <v>0.15</v>
          </cell>
        </row>
        <row r="5021">
          <cell r="D5021">
            <v>109001112</v>
          </cell>
          <cell r="E5021" t="str">
            <v>JAMES MCCLEMENTS</v>
          </cell>
          <cell r="F5021" t="str">
            <v>D (MD)</v>
          </cell>
          <cell r="G5021">
            <v>359000</v>
          </cell>
          <cell r="H5021" t="str">
            <v>Mayday</v>
          </cell>
          <cell r="I5021">
            <v>0.3125</v>
          </cell>
          <cell r="J5021">
            <v>0.85416666666666663</v>
          </cell>
          <cell r="K5021">
            <v>12.33333333</v>
          </cell>
          <cell r="L5021">
            <v>517.72</v>
          </cell>
          <cell r="O5021" t="str">
            <v>Y</v>
          </cell>
          <cell r="P5021" t="str">
            <v>N</v>
          </cell>
          <cell r="Q5021" t="str">
            <v>Vacancy</v>
          </cell>
          <cell r="S5021">
            <v>0.33</v>
          </cell>
        </row>
        <row r="5022">
          <cell r="D5022">
            <v>1208006483</v>
          </cell>
          <cell r="E5022" t="str">
            <v>JASON WENT</v>
          </cell>
          <cell r="F5022" t="str">
            <v>D / 5 General (</v>
          </cell>
          <cell r="G5022" t="str">
            <v>604-164883</v>
          </cell>
          <cell r="H5022" t="str">
            <v>Blue Arrow</v>
          </cell>
          <cell r="I5022">
            <v>0.83333333333333337</v>
          </cell>
          <cell r="J5022">
            <v>0.33333333333333331</v>
          </cell>
          <cell r="K5022">
            <v>11.33333333</v>
          </cell>
          <cell r="L5022">
            <v>248.7</v>
          </cell>
          <cell r="O5022" t="str">
            <v>Y</v>
          </cell>
          <cell r="P5022" t="str">
            <v>N</v>
          </cell>
          <cell r="Q5022" t="str">
            <v>Vacancy</v>
          </cell>
          <cell r="S5022">
            <v>0.3</v>
          </cell>
        </row>
        <row r="5023">
          <cell r="D5023">
            <v>1208007738</v>
          </cell>
          <cell r="E5023" t="str">
            <v>JAY RUIZ</v>
          </cell>
          <cell r="F5023" t="str">
            <v>D (Amb)</v>
          </cell>
          <cell r="G5023">
            <v>774186</v>
          </cell>
          <cell r="H5023" t="str">
            <v>Ambition</v>
          </cell>
          <cell r="I5023">
            <v>0.3125</v>
          </cell>
          <cell r="J5023">
            <v>0.60416666666666663</v>
          </cell>
          <cell r="K5023">
            <v>6.6666666670000003</v>
          </cell>
          <cell r="L5023">
            <v>338.87</v>
          </cell>
          <cell r="O5023" t="str">
            <v>Y</v>
          </cell>
          <cell r="P5023" t="str">
            <v>N</v>
          </cell>
          <cell r="Q5023" t="str">
            <v>Extra Capacity</v>
          </cell>
          <cell r="S5023">
            <v>0.18</v>
          </cell>
        </row>
        <row r="5024">
          <cell r="D5024">
            <v>109002712</v>
          </cell>
          <cell r="E5024" t="str">
            <v>JEAN NGONA</v>
          </cell>
          <cell r="F5024" t="str">
            <v>D (MD)</v>
          </cell>
          <cell r="G5024">
            <v>358993</v>
          </cell>
          <cell r="H5024" t="str">
            <v>Mayday</v>
          </cell>
          <cell r="I5024">
            <v>0.54166666666666663</v>
          </cell>
          <cell r="J5024">
            <v>0.83333333333333337</v>
          </cell>
          <cell r="K5024">
            <v>6.6666666670000003</v>
          </cell>
          <cell r="L5024">
            <v>279.85000000000002</v>
          </cell>
          <cell r="O5024" t="str">
            <v>Y</v>
          </cell>
          <cell r="P5024" t="str">
            <v>N</v>
          </cell>
          <cell r="Q5024" t="str">
            <v>Vacancy</v>
          </cell>
          <cell r="S5024">
            <v>0.18</v>
          </cell>
        </row>
        <row r="5025">
          <cell r="D5025">
            <v>109003141</v>
          </cell>
          <cell r="E5025" t="str">
            <v>JESSICA BELLAMY</v>
          </cell>
          <cell r="F5025" t="str">
            <v>D (MD)</v>
          </cell>
          <cell r="G5025">
            <v>359865</v>
          </cell>
          <cell r="H5025" t="str">
            <v>Mayday</v>
          </cell>
          <cell r="I5025">
            <v>0.8125</v>
          </cell>
          <cell r="J5025">
            <v>0.33333333333333331</v>
          </cell>
          <cell r="K5025">
            <v>11.83333333</v>
          </cell>
          <cell r="L5025">
            <v>496.73</v>
          </cell>
          <cell r="O5025" t="str">
            <v>Y</v>
          </cell>
          <cell r="P5025" t="str">
            <v>N</v>
          </cell>
          <cell r="Q5025" t="str">
            <v>Nurse Moved</v>
          </cell>
          <cell r="S5025">
            <v>0.32</v>
          </cell>
        </row>
        <row r="5026">
          <cell r="D5026">
            <v>109000018</v>
          </cell>
          <cell r="E5026" t="str">
            <v>JOANNE BUSS</v>
          </cell>
          <cell r="F5026" t="str">
            <v>D (MD)</v>
          </cell>
          <cell r="G5026">
            <v>360915</v>
          </cell>
          <cell r="H5026" t="str">
            <v>Mayday</v>
          </cell>
          <cell r="I5026">
            <v>0.64583333333333337</v>
          </cell>
          <cell r="J5026">
            <v>0.85416666666666663</v>
          </cell>
          <cell r="K5026">
            <v>5</v>
          </cell>
          <cell r="L5026">
            <v>209.89</v>
          </cell>
          <cell r="O5026" t="str">
            <v>Y</v>
          </cell>
          <cell r="P5026" t="str">
            <v>N</v>
          </cell>
          <cell r="Q5026" t="str">
            <v>Vacancy</v>
          </cell>
          <cell r="S5026">
            <v>0.13</v>
          </cell>
        </row>
        <row r="5027">
          <cell r="D5027">
            <v>109003139</v>
          </cell>
          <cell r="E5027" t="str">
            <v>JOHANNA AISH</v>
          </cell>
          <cell r="F5027" t="str">
            <v>D (Amb)</v>
          </cell>
          <cell r="G5027">
            <v>774243</v>
          </cell>
          <cell r="H5027" t="str">
            <v>Ambition</v>
          </cell>
          <cell r="I5027">
            <v>0.3125</v>
          </cell>
          <cell r="J5027">
            <v>0.83333333333333337</v>
          </cell>
          <cell r="K5027">
            <v>11.83333333</v>
          </cell>
          <cell r="L5027">
            <v>601.49</v>
          </cell>
          <cell r="O5027" t="str">
            <v>Y</v>
          </cell>
          <cell r="P5027" t="str">
            <v>N</v>
          </cell>
          <cell r="Q5027" t="str">
            <v>Nurse Moved</v>
          </cell>
          <cell r="S5027">
            <v>0.32</v>
          </cell>
        </row>
        <row r="5028">
          <cell r="D5028">
            <v>1208007793</v>
          </cell>
          <cell r="E5028" t="str">
            <v>KAREN STRUDWICK</v>
          </cell>
          <cell r="F5028" t="str">
            <v>D (Ch)</v>
          </cell>
          <cell r="H5028" t="str">
            <v>Choice</v>
          </cell>
          <cell r="I5028">
            <v>0.83333333333333337</v>
          </cell>
          <cell r="J5028">
            <v>0.33333333333333331</v>
          </cell>
          <cell r="K5028">
            <v>11.33333333</v>
          </cell>
          <cell r="L5028">
            <v>359.05</v>
          </cell>
          <cell r="O5028" t="str">
            <v>Y</v>
          </cell>
          <cell r="P5028" t="str">
            <v>N</v>
          </cell>
          <cell r="Q5028" t="str">
            <v>Extra Capacity</v>
          </cell>
          <cell r="S5028">
            <v>0.3</v>
          </cell>
        </row>
        <row r="5029">
          <cell r="D5029">
            <v>109002717</v>
          </cell>
          <cell r="E5029" t="str">
            <v>KATHY CHIDAVA</v>
          </cell>
          <cell r="F5029" t="str">
            <v>D (Ch)</v>
          </cell>
          <cell r="G5029">
            <v>17853</v>
          </cell>
          <cell r="H5029" t="str">
            <v>Choice</v>
          </cell>
          <cell r="I5029">
            <v>0.83333333333333337</v>
          </cell>
          <cell r="J5029">
            <v>0.33333333333333331</v>
          </cell>
          <cell r="K5029">
            <v>11.33333333</v>
          </cell>
          <cell r="L5029">
            <v>359.05</v>
          </cell>
          <cell r="O5029" t="str">
            <v>Y</v>
          </cell>
          <cell r="P5029" t="str">
            <v>N</v>
          </cell>
          <cell r="Q5029" t="str">
            <v>Vacancy</v>
          </cell>
          <cell r="S5029">
            <v>0.3</v>
          </cell>
        </row>
        <row r="5030">
          <cell r="D5030">
            <v>109003086</v>
          </cell>
          <cell r="E5030" t="str">
            <v>KINGSLEY IORPENDA</v>
          </cell>
          <cell r="F5030" t="str">
            <v>2 General (Adva</v>
          </cell>
          <cell r="G5030">
            <v>1418525</v>
          </cell>
          <cell r="H5030" t="str">
            <v>Advantage</v>
          </cell>
          <cell r="I5030">
            <v>0.875</v>
          </cell>
          <cell r="J5030">
            <v>0.34375</v>
          </cell>
          <cell r="K5030">
            <v>10.91666667</v>
          </cell>
          <cell r="L5030">
            <v>134.93</v>
          </cell>
          <cell r="O5030" t="str">
            <v>Y</v>
          </cell>
          <cell r="P5030" t="str">
            <v>N</v>
          </cell>
          <cell r="Q5030" t="str">
            <v>Vacancy</v>
          </cell>
          <cell r="S5030">
            <v>0.28999999999999998</v>
          </cell>
        </row>
        <row r="5031">
          <cell r="D5031">
            <v>1108006463</v>
          </cell>
          <cell r="E5031" t="str">
            <v>MABEL MNISI</v>
          </cell>
          <cell r="F5031" t="str">
            <v>D (MD)</v>
          </cell>
          <cell r="G5031">
            <v>360917</v>
          </cell>
          <cell r="H5031" t="str">
            <v>Mayday</v>
          </cell>
          <cell r="I5031">
            <v>0.83333333333333337</v>
          </cell>
          <cell r="J5031">
            <v>0.33333333333333331</v>
          </cell>
          <cell r="K5031">
            <v>11.33333333</v>
          </cell>
          <cell r="L5031">
            <v>475.74</v>
          </cell>
          <cell r="O5031" t="str">
            <v>Y</v>
          </cell>
          <cell r="P5031" t="str">
            <v>N</v>
          </cell>
          <cell r="Q5031" t="str">
            <v>Vacancy</v>
          </cell>
          <cell r="S5031">
            <v>0.3</v>
          </cell>
        </row>
        <row r="5032">
          <cell r="D5032">
            <v>109002711</v>
          </cell>
          <cell r="E5032" t="str">
            <v>MAURO PINSON</v>
          </cell>
          <cell r="F5032" t="str">
            <v>D (Ch)</v>
          </cell>
          <cell r="G5032">
            <v>17853</v>
          </cell>
          <cell r="H5032" t="str">
            <v>Choice</v>
          </cell>
          <cell r="I5032">
            <v>0.3125</v>
          </cell>
          <cell r="J5032">
            <v>0.85416666666666663</v>
          </cell>
          <cell r="K5032">
            <v>12.33333333</v>
          </cell>
          <cell r="L5032">
            <v>390.73</v>
          </cell>
          <cell r="O5032" t="str">
            <v>Y</v>
          </cell>
          <cell r="P5032" t="str">
            <v>N</v>
          </cell>
          <cell r="Q5032" t="str">
            <v>Vacancy</v>
          </cell>
          <cell r="S5032">
            <v>0.33</v>
          </cell>
        </row>
        <row r="5033">
          <cell r="D5033">
            <v>109002398</v>
          </cell>
          <cell r="E5033" t="str">
            <v>MICHAEL OKE</v>
          </cell>
          <cell r="F5033" t="str">
            <v>A (Ch)</v>
          </cell>
          <cell r="H5033" t="str">
            <v>Choice</v>
          </cell>
          <cell r="I5033">
            <v>0.5625</v>
          </cell>
          <cell r="J5033">
            <v>0.85416666666666663</v>
          </cell>
          <cell r="K5033">
            <v>6.6666666670000003</v>
          </cell>
          <cell r="L5033">
            <v>98.58</v>
          </cell>
          <cell r="O5033" t="str">
            <v>Y</v>
          </cell>
          <cell r="P5033" t="str">
            <v>N</v>
          </cell>
          <cell r="Q5033" t="str">
            <v>Short Term Sick</v>
          </cell>
          <cell r="S5033">
            <v>0.18</v>
          </cell>
        </row>
        <row r="5034">
          <cell r="D5034">
            <v>1208005436</v>
          </cell>
          <cell r="E5034" t="str">
            <v>MZUKISI SPEELMAN</v>
          </cell>
          <cell r="F5034" t="str">
            <v>A (Ch)</v>
          </cell>
          <cell r="G5034">
            <v>17849</v>
          </cell>
          <cell r="H5034" t="str">
            <v>Choice</v>
          </cell>
          <cell r="I5034">
            <v>0.3125</v>
          </cell>
          <cell r="J5034">
            <v>0.5625</v>
          </cell>
          <cell r="K5034">
            <v>5.6666666670000003</v>
          </cell>
          <cell r="L5034">
            <v>83.79</v>
          </cell>
          <cell r="O5034" t="str">
            <v>Y</v>
          </cell>
          <cell r="P5034" t="str">
            <v>N</v>
          </cell>
          <cell r="Q5034" t="str">
            <v>Annual Leave</v>
          </cell>
          <cell r="S5034">
            <v>0.15</v>
          </cell>
        </row>
        <row r="5035">
          <cell r="D5035">
            <v>109003278</v>
          </cell>
          <cell r="E5035" t="str">
            <v>PHILLIPA BOUWENS</v>
          </cell>
          <cell r="F5035" t="str">
            <v>D (Amb)</v>
          </cell>
          <cell r="G5035">
            <v>776992</v>
          </cell>
          <cell r="H5035" t="str">
            <v>Ambition</v>
          </cell>
          <cell r="I5035">
            <v>0.8125</v>
          </cell>
          <cell r="J5035">
            <v>0.33333333333333331</v>
          </cell>
          <cell r="K5035">
            <v>11.83333333</v>
          </cell>
          <cell r="L5035">
            <v>601.49</v>
          </cell>
          <cell r="O5035" t="str">
            <v>Y</v>
          </cell>
          <cell r="P5035" t="str">
            <v>N</v>
          </cell>
          <cell r="Q5035" t="str">
            <v>Vacancy</v>
          </cell>
          <cell r="S5035">
            <v>0.32</v>
          </cell>
        </row>
        <row r="5036">
          <cell r="D5036">
            <v>109003667</v>
          </cell>
          <cell r="E5036" t="str">
            <v>RACHEL OBERDOFF</v>
          </cell>
          <cell r="F5036" t="str">
            <v>D (MD)</v>
          </cell>
          <cell r="G5036">
            <v>360918</v>
          </cell>
          <cell r="H5036" t="str">
            <v>Mayday</v>
          </cell>
          <cell r="I5036">
            <v>0.52083333333333337</v>
          </cell>
          <cell r="J5036">
            <v>0.85416666666666663</v>
          </cell>
          <cell r="K5036">
            <v>7.5</v>
          </cell>
          <cell r="L5036">
            <v>314.83</v>
          </cell>
          <cell r="O5036" t="str">
            <v>Y</v>
          </cell>
          <cell r="P5036" t="str">
            <v>N</v>
          </cell>
          <cell r="Q5036" t="str">
            <v>Extra Capacity</v>
          </cell>
          <cell r="S5036">
            <v>0.2</v>
          </cell>
        </row>
        <row r="5037">
          <cell r="D5037">
            <v>1208005434</v>
          </cell>
          <cell r="E5037" t="str">
            <v>RICCA PARADA</v>
          </cell>
          <cell r="F5037" t="str">
            <v>D (Ch)</v>
          </cell>
          <cell r="G5037">
            <v>17849</v>
          </cell>
          <cell r="H5037" t="str">
            <v>Choice</v>
          </cell>
          <cell r="I5037">
            <v>0.3125</v>
          </cell>
          <cell r="J5037">
            <v>0.5625</v>
          </cell>
          <cell r="K5037">
            <v>5.6666666670000003</v>
          </cell>
          <cell r="L5037">
            <v>179.53</v>
          </cell>
          <cell r="O5037" t="str">
            <v>Y</v>
          </cell>
          <cell r="P5037" t="str">
            <v>N</v>
          </cell>
          <cell r="Q5037" t="str">
            <v>Under Established</v>
          </cell>
          <cell r="S5037">
            <v>0.15</v>
          </cell>
        </row>
        <row r="5038">
          <cell r="D5038">
            <v>1208005440</v>
          </cell>
          <cell r="E5038" t="str">
            <v>RICCA PARADA</v>
          </cell>
          <cell r="F5038" t="str">
            <v>D (Ch)</v>
          </cell>
          <cell r="G5038">
            <v>17849</v>
          </cell>
          <cell r="H5038" t="str">
            <v>Choice</v>
          </cell>
          <cell r="I5038">
            <v>0.5625</v>
          </cell>
          <cell r="J5038">
            <v>0.85416666666666663</v>
          </cell>
          <cell r="K5038">
            <v>6.6666666670000003</v>
          </cell>
          <cell r="L5038">
            <v>211.21</v>
          </cell>
          <cell r="O5038" t="str">
            <v>Y</v>
          </cell>
          <cell r="P5038" t="str">
            <v>N</v>
          </cell>
          <cell r="Q5038" t="str">
            <v>Under Established</v>
          </cell>
          <cell r="S5038">
            <v>0.18</v>
          </cell>
        </row>
        <row r="5039">
          <cell r="D5039">
            <v>109003487</v>
          </cell>
          <cell r="E5039" t="str">
            <v>ROHEYATOU NDOW-NJIE</v>
          </cell>
          <cell r="F5039" t="str">
            <v>D (Ch)</v>
          </cell>
          <cell r="G5039">
            <v>17926</v>
          </cell>
          <cell r="H5039" t="str">
            <v>Choice</v>
          </cell>
          <cell r="I5039">
            <v>0.5625</v>
          </cell>
          <cell r="J5039">
            <v>0.85416666666666663</v>
          </cell>
          <cell r="K5039">
            <v>6.6666666670000003</v>
          </cell>
          <cell r="L5039">
            <v>211.21</v>
          </cell>
          <cell r="O5039" t="str">
            <v>Y</v>
          </cell>
          <cell r="P5039" t="str">
            <v>N</v>
          </cell>
          <cell r="Q5039" t="str">
            <v>Short Term Sick</v>
          </cell>
          <cell r="S5039">
            <v>0.18</v>
          </cell>
        </row>
        <row r="5040">
          <cell r="D5040">
            <v>1208004612</v>
          </cell>
          <cell r="E5040" t="str">
            <v>ROHEYATOU NDOW-NJIE</v>
          </cell>
          <cell r="F5040" t="str">
            <v>D (Ch)</v>
          </cell>
          <cell r="G5040">
            <v>17926</v>
          </cell>
          <cell r="H5040" t="str">
            <v>Choice</v>
          </cell>
          <cell r="I5040">
            <v>0.3125</v>
          </cell>
          <cell r="J5040">
            <v>0.54166666666666663</v>
          </cell>
          <cell r="K5040">
            <v>5.5</v>
          </cell>
          <cell r="L5040">
            <v>174.25</v>
          </cell>
          <cell r="O5040" t="str">
            <v>Y</v>
          </cell>
          <cell r="P5040" t="str">
            <v>N</v>
          </cell>
          <cell r="Q5040" t="str">
            <v>Vacancy</v>
          </cell>
          <cell r="S5040">
            <v>0.15</v>
          </cell>
        </row>
        <row r="5041">
          <cell r="D5041">
            <v>1208006526</v>
          </cell>
          <cell r="E5041" t="str">
            <v>ROMMEL MAQUEDA</v>
          </cell>
          <cell r="F5041" t="str">
            <v>D (Ch)</v>
          </cell>
          <cell r="G5041">
            <v>17846</v>
          </cell>
          <cell r="H5041" t="str">
            <v>Choice</v>
          </cell>
          <cell r="I5041">
            <v>0.84375</v>
          </cell>
          <cell r="J5041">
            <v>0.3125</v>
          </cell>
          <cell r="K5041">
            <v>10.25</v>
          </cell>
          <cell r="L5041">
            <v>324.73</v>
          </cell>
          <cell r="O5041" t="str">
            <v>Y</v>
          </cell>
          <cell r="P5041" t="str">
            <v>N</v>
          </cell>
          <cell r="Q5041" t="str">
            <v>Vacancy</v>
          </cell>
          <cell r="S5041">
            <v>0.27</v>
          </cell>
        </row>
        <row r="5042">
          <cell r="D5042">
            <v>1208007792</v>
          </cell>
          <cell r="E5042" t="str">
            <v>RUSSELL CATIBOG</v>
          </cell>
          <cell r="F5042" t="str">
            <v>D (Ch)</v>
          </cell>
          <cell r="G5042">
            <v>17797</v>
          </cell>
          <cell r="H5042" t="str">
            <v>Choice</v>
          </cell>
          <cell r="I5042">
            <v>0.83333333333333337</v>
          </cell>
          <cell r="J5042">
            <v>0.33333333333333331</v>
          </cell>
          <cell r="K5042">
            <v>11.33333333</v>
          </cell>
          <cell r="L5042">
            <v>359.05</v>
          </cell>
          <cell r="O5042" t="str">
            <v>Y</v>
          </cell>
          <cell r="P5042" t="str">
            <v>N</v>
          </cell>
          <cell r="Q5042" t="str">
            <v>Extra Capacity</v>
          </cell>
          <cell r="S5042">
            <v>0.3</v>
          </cell>
        </row>
        <row r="5043">
          <cell r="D5043">
            <v>109002716</v>
          </cell>
          <cell r="E5043" t="str">
            <v>SAM KELEM</v>
          </cell>
          <cell r="F5043" t="str">
            <v>D (Ch)</v>
          </cell>
          <cell r="G5043">
            <v>17853</v>
          </cell>
          <cell r="H5043" t="str">
            <v>Choice</v>
          </cell>
          <cell r="I5043">
            <v>0.83333333333333337</v>
          </cell>
          <cell r="J5043">
            <v>0.33333333333333331</v>
          </cell>
          <cell r="K5043">
            <v>11.33333333</v>
          </cell>
          <cell r="L5043">
            <v>359.05</v>
          </cell>
          <cell r="O5043" t="str">
            <v>Y</v>
          </cell>
          <cell r="P5043" t="str">
            <v>N</v>
          </cell>
          <cell r="Q5043" t="str">
            <v>Vacancy</v>
          </cell>
          <cell r="S5043">
            <v>0.3</v>
          </cell>
        </row>
        <row r="5044">
          <cell r="D5044">
            <v>1208007735</v>
          </cell>
          <cell r="E5044" t="str">
            <v>SAMANTHA JACKSON</v>
          </cell>
          <cell r="F5044" t="str">
            <v>D (MD)</v>
          </cell>
          <cell r="G5044">
            <v>359336</v>
          </cell>
          <cell r="H5044" t="str">
            <v>Mayday</v>
          </cell>
          <cell r="I5044">
            <v>0.3125</v>
          </cell>
          <cell r="J5044">
            <v>0.60416666666666663</v>
          </cell>
          <cell r="K5044">
            <v>6.6666666670000003</v>
          </cell>
          <cell r="L5044">
            <v>279.85000000000002</v>
          </cell>
          <cell r="O5044" t="str">
            <v>Y</v>
          </cell>
          <cell r="P5044" t="str">
            <v>N</v>
          </cell>
          <cell r="Q5044" t="str">
            <v>Extra Capacity</v>
          </cell>
          <cell r="S5044">
            <v>0.18</v>
          </cell>
        </row>
        <row r="5045">
          <cell r="D5045">
            <v>1208007760</v>
          </cell>
          <cell r="E5045" t="str">
            <v>SAMANTHA JACKSON</v>
          </cell>
          <cell r="F5045" t="str">
            <v>D (MD)</v>
          </cell>
          <cell r="G5045">
            <v>359336</v>
          </cell>
          <cell r="H5045" t="str">
            <v>Mayday</v>
          </cell>
          <cell r="I5045">
            <v>0.60416666666666663</v>
          </cell>
          <cell r="J5045">
            <v>0.85416666666666663</v>
          </cell>
          <cell r="K5045">
            <v>5.6666666670000003</v>
          </cell>
          <cell r="L5045">
            <v>237.87</v>
          </cell>
          <cell r="O5045" t="str">
            <v>Y</v>
          </cell>
          <cell r="P5045" t="str">
            <v>N</v>
          </cell>
          <cell r="Q5045" t="str">
            <v>Extra Capacity</v>
          </cell>
          <cell r="S5045">
            <v>0.15</v>
          </cell>
        </row>
        <row r="5046">
          <cell r="D5046">
            <v>1208006465</v>
          </cell>
          <cell r="E5046" t="str">
            <v>SELINAH BAKASA</v>
          </cell>
          <cell r="F5046" t="str">
            <v>D (Ch)</v>
          </cell>
          <cell r="G5046">
            <v>18023</v>
          </cell>
          <cell r="H5046" t="str">
            <v>Choice</v>
          </cell>
          <cell r="I5046">
            <v>0.60416666666666663</v>
          </cell>
          <cell r="J5046">
            <v>0.85416666666666663</v>
          </cell>
          <cell r="K5046">
            <v>5.6666666670000003</v>
          </cell>
          <cell r="L5046">
            <v>179.53</v>
          </cell>
          <cell r="O5046" t="str">
            <v>Y</v>
          </cell>
          <cell r="P5046" t="str">
            <v>N</v>
          </cell>
          <cell r="Q5046" t="str">
            <v>Vacancy</v>
          </cell>
          <cell r="S5046">
            <v>0.15</v>
          </cell>
        </row>
        <row r="5047">
          <cell r="D5047">
            <v>1208006466</v>
          </cell>
          <cell r="E5047" t="str">
            <v>SELINAH BAKASA</v>
          </cell>
          <cell r="F5047" t="str">
            <v>D (Ch)</v>
          </cell>
          <cell r="G5047">
            <v>18023</v>
          </cell>
          <cell r="H5047" t="str">
            <v>Choice</v>
          </cell>
          <cell r="I5047">
            <v>0.3125</v>
          </cell>
          <cell r="J5047">
            <v>0.60416666666666663</v>
          </cell>
          <cell r="K5047">
            <v>6.6666666670000003</v>
          </cell>
          <cell r="L5047">
            <v>211.21</v>
          </cell>
          <cell r="O5047" t="str">
            <v>Y</v>
          </cell>
          <cell r="P5047" t="str">
            <v>N</v>
          </cell>
          <cell r="Q5047" t="str">
            <v>Vacancy</v>
          </cell>
          <cell r="S5047">
            <v>0.18</v>
          </cell>
        </row>
        <row r="5048">
          <cell r="D5048">
            <v>1208007790</v>
          </cell>
          <cell r="E5048" t="str">
            <v>SHARRY RADAZA</v>
          </cell>
          <cell r="F5048" t="str">
            <v>D (Ch)</v>
          </cell>
          <cell r="G5048">
            <v>17852</v>
          </cell>
          <cell r="H5048" t="str">
            <v>Choice</v>
          </cell>
          <cell r="I5048">
            <v>0.83333333333333337</v>
          </cell>
          <cell r="J5048">
            <v>0.33333333333333331</v>
          </cell>
          <cell r="K5048">
            <v>11.33333333</v>
          </cell>
          <cell r="L5048">
            <v>359.05</v>
          </cell>
          <cell r="O5048" t="str">
            <v>Y</v>
          </cell>
          <cell r="P5048" t="str">
            <v>N</v>
          </cell>
          <cell r="Q5048" t="str">
            <v>Extra Capacity</v>
          </cell>
          <cell r="S5048">
            <v>0.3</v>
          </cell>
        </row>
        <row r="5049">
          <cell r="D5049">
            <v>1208005438</v>
          </cell>
          <cell r="E5049" t="str">
            <v>SHEPHERD CHIWANZA</v>
          </cell>
          <cell r="F5049" t="str">
            <v>A (Ch)</v>
          </cell>
          <cell r="G5049">
            <v>17849</v>
          </cell>
          <cell r="H5049" t="str">
            <v>Choice</v>
          </cell>
          <cell r="I5049">
            <v>0.3125</v>
          </cell>
          <cell r="J5049">
            <v>0.5625</v>
          </cell>
          <cell r="K5049">
            <v>5.6666666670000003</v>
          </cell>
          <cell r="L5049">
            <v>83.79</v>
          </cell>
          <cell r="O5049" t="str">
            <v>Y</v>
          </cell>
          <cell r="P5049" t="str">
            <v>N</v>
          </cell>
          <cell r="Q5049" t="str">
            <v>Under Established</v>
          </cell>
          <cell r="S5049">
            <v>0.15</v>
          </cell>
        </row>
        <row r="5050">
          <cell r="D5050">
            <v>1208007737</v>
          </cell>
          <cell r="E5050" t="str">
            <v>SIBONISIWE NCUBE</v>
          </cell>
          <cell r="F5050" t="str">
            <v>D (Amb)</v>
          </cell>
          <cell r="H5050" t="str">
            <v>Ambition</v>
          </cell>
          <cell r="I5050">
            <v>0.3125</v>
          </cell>
          <cell r="J5050">
            <v>0.60416666666666663</v>
          </cell>
          <cell r="K5050">
            <v>6.6666666670000003</v>
          </cell>
          <cell r="L5050">
            <v>338.87</v>
          </cell>
          <cell r="O5050" t="str">
            <v>Y</v>
          </cell>
          <cell r="P5050" t="str">
            <v>N</v>
          </cell>
          <cell r="Q5050" t="str">
            <v>Extra Capacity</v>
          </cell>
          <cell r="S5050">
            <v>0.18</v>
          </cell>
        </row>
        <row r="5051">
          <cell r="D5051">
            <v>109000493</v>
          </cell>
          <cell r="E5051" t="str">
            <v>TARA MASSIE</v>
          </cell>
          <cell r="F5051" t="str">
            <v>D (MD)</v>
          </cell>
          <cell r="G5051">
            <v>359090</v>
          </cell>
          <cell r="H5051" t="str">
            <v>Mayday</v>
          </cell>
          <cell r="I5051">
            <v>0.375</v>
          </cell>
          <cell r="J5051">
            <v>0.70833333333333337</v>
          </cell>
          <cell r="K5051">
            <v>7.5</v>
          </cell>
          <cell r="L5051">
            <v>314.83</v>
          </cell>
          <cell r="O5051" t="str">
            <v>Y</v>
          </cell>
          <cell r="P5051" t="str">
            <v>N</v>
          </cell>
          <cell r="Q5051" t="str">
            <v>Vacancy</v>
          </cell>
          <cell r="S5051">
            <v>0.2</v>
          </cell>
        </row>
        <row r="5052">
          <cell r="D5052">
            <v>1208008195</v>
          </cell>
          <cell r="E5052" t="str">
            <v>THEMBA CEBEKHULU</v>
          </cell>
          <cell r="F5052" t="str">
            <v>D (Ch)</v>
          </cell>
          <cell r="G5052">
            <v>17927</v>
          </cell>
          <cell r="H5052" t="str">
            <v>Choice</v>
          </cell>
          <cell r="I5052">
            <v>0.3125</v>
          </cell>
          <cell r="J5052">
            <v>0.64583333333333337</v>
          </cell>
          <cell r="K5052">
            <v>7.6666666670000003</v>
          </cell>
          <cell r="L5052">
            <v>242.89</v>
          </cell>
          <cell r="O5052" t="str">
            <v>Y</v>
          </cell>
          <cell r="P5052" t="str">
            <v>N</v>
          </cell>
          <cell r="Q5052" t="str">
            <v>Short Term Sick</v>
          </cell>
          <cell r="S5052">
            <v>0.2</v>
          </cell>
        </row>
        <row r="5053">
          <cell r="D5053">
            <v>1208008198</v>
          </cell>
          <cell r="E5053" t="str">
            <v>THEMBA CEBEKHULU</v>
          </cell>
          <cell r="F5053" t="str">
            <v>D (Ch)</v>
          </cell>
          <cell r="G5053">
            <v>17927</v>
          </cell>
          <cell r="H5053" t="str">
            <v>Choice</v>
          </cell>
          <cell r="I5053">
            <v>0.64583333333333337</v>
          </cell>
          <cell r="J5053">
            <v>0.85416666666666663</v>
          </cell>
          <cell r="K5053">
            <v>5</v>
          </cell>
          <cell r="L5053">
            <v>158.41</v>
          </cell>
          <cell r="O5053" t="str">
            <v>Y</v>
          </cell>
          <cell r="P5053" t="str">
            <v>N</v>
          </cell>
          <cell r="Q5053" t="str">
            <v>Short Term Sick</v>
          </cell>
          <cell r="S5053">
            <v>0.13</v>
          </cell>
        </row>
        <row r="5054">
          <cell r="D5054">
            <v>1208006464</v>
          </cell>
          <cell r="E5054" t="str">
            <v>VICTORIA MAESTRANI</v>
          </cell>
          <cell r="F5054" t="str">
            <v>D (MD)</v>
          </cell>
          <cell r="G5054">
            <v>359094</v>
          </cell>
          <cell r="H5054" t="str">
            <v>Mayday</v>
          </cell>
          <cell r="I5054">
            <v>0.3125</v>
          </cell>
          <cell r="J5054">
            <v>0.85416666666666663</v>
          </cell>
          <cell r="K5054">
            <v>12.33333333</v>
          </cell>
          <cell r="L5054">
            <v>517.72</v>
          </cell>
          <cell r="O5054" t="str">
            <v>Y</v>
          </cell>
          <cell r="P5054" t="str">
            <v>N</v>
          </cell>
          <cell r="Q5054" t="str">
            <v>Vacancy</v>
          </cell>
          <cell r="S5054">
            <v>0.33</v>
          </cell>
        </row>
        <row r="5055">
          <cell r="D5055">
            <v>109003142</v>
          </cell>
          <cell r="E5055" t="str">
            <v>ALAN CURTIS</v>
          </cell>
          <cell r="F5055" t="str">
            <v>D (MD)</v>
          </cell>
          <cell r="G5055">
            <v>359151</v>
          </cell>
          <cell r="H5055" t="str">
            <v>Mayday</v>
          </cell>
          <cell r="I5055">
            <v>0.3125</v>
          </cell>
          <cell r="J5055">
            <v>0.83333333333333337</v>
          </cell>
          <cell r="K5055">
            <v>11.83333333</v>
          </cell>
          <cell r="L5055">
            <v>611.36</v>
          </cell>
          <cell r="O5055" t="str">
            <v>Y</v>
          </cell>
          <cell r="P5055" t="str">
            <v>N</v>
          </cell>
          <cell r="Q5055" t="str">
            <v>Nurse Moved</v>
          </cell>
          <cell r="S5055">
            <v>0.32</v>
          </cell>
        </row>
        <row r="5056">
          <cell r="D5056">
            <v>1208006467</v>
          </cell>
          <cell r="E5056" t="str">
            <v>ALMA BAUTISTA</v>
          </cell>
          <cell r="F5056" t="str">
            <v>D (Ch)</v>
          </cell>
          <cell r="H5056" t="str">
            <v>Choice</v>
          </cell>
          <cell r="I5056">
            <v>0.3125</v>
          </cell>
          <cell r="J5056">
            <v>0.85416666666666663</v>
          </cell>
          <cell r="K5056">
            <v>12.33333333</v>
          </cell>
          <cell r="L5056">
            <v>480.9</v>
          </cell>
          <cell r="O5056" t="str">
            <v>Y</v>
          </cell>
          <cell r="P5056" t="str">
            <v>N</v>
          </cell>
          <cell r="Q5056" t="str">
            <v>Vacancy</v>
          </cell>
          <cell r="S5056">
            <v>0.33</v>
          </cell>
        </row>
        <row r="5057">
          <cell r="D5057">
            <v>1208006585</v>
          </cell>
          <cell r="E5057" t="str">
            <v>ATINUKE OKE-OLATUNDE</v>
          </cell>
          <cell r="F5057" t="str">
            <v>D (MD)</v>
          </cell>
          <cell r="G5057">
            <v>365295</v>
          </cell>
          <cell r="H5057" t="str">
            <v>Mayday</v>
          </cell>
          <cell r="I5057">
            <v>0.84375</v>
          </cell>
          <cell r="J5057">
            <v>0.3125</v>
          </cell>
          <cell r="K5057">
            <v>10.25</v>
          </cell>
          <cell r="L5057">
            <v>529.55999999999995</v>
          </cell>
          <cell r="O5057" t="str">
            <v>Y</v>
          </cell>
          <cell r="P5057" t="str">
            <v>N</v>
          </cell>
          <cell r="Q5057" t="str">
            <v>Vacancy</v>
          </cell>
          <cell r="S5057">
            <v>0.27</v>
          </cell>
        </row>
        <row r="5058">
          <cell r="D5058">
            <v>109003052</v>
          </cell>
          <cell r="E5058" t="str">
            <v>BEAUTY NGIDI</v>
          </cell>
          <cell r="F5058" t="str">
            <v>D (MD)</v>
          </cell>
          <cell r="G5058">
            <v>359091</v>
          </cell>
          <cell r="H5058" t="str">
            <v>Mayday</v>
          </cell>
          <cell r="I5058">
            <v>0.82291666666666663</v>
          </cell>
          <cell r="J5058">
            <v>0.34375</v>
          </cell>
          <cell r="K5058">
            <v>11.5</v>
          </cell>
          <cell r="L5058">
            <v>594.14</v>
          </cell>
          <cell r="O5058" t="str">
            <v>Y</v>
          </cell>
          <cell r="P5058" t="str">
            <v>N</v>
          </cell>
          <cell r="Q5058" t="str">
            <v>Vacancy</v>
          </cell>
          <cell r="S5058">
            <v>0.31</v>
          </cell>
        </row>
        <row r="5059">
          <cell r="D5059">
            <v>1208006584</v>
          </cell>
          <cell r="E5059" t="str">
            <v>BHEENADEVI BASSOO</v>
          </cell>
          <cell r="F5059" t="str">
            <v>D (MD)</v>
          </cell>
          <cell r="H5059" t="str">
            <v>Mayday</v>
          </cell>
          <cell r="I5059">
            <v>0.84375</v>
          </cell>
          <cell r="J5059">
            <v>0.3125</v>
          </cell>
          <cell r="K5059">
            <v>10.25</v>
          </cell>
          <cell r="L5059">
            <v>529.55999999999995</v>
          </cell>
          <cell r="O5059" t="str">
            <v>Y</v>
          </cell>
          <cell r="P5059" t="str">
            <v>N</v>
          </cell>
          <cell r="Q5059" t="str">
            <v>Vacancy</v>
          </cell>
          <cell r="S5059">
            <v>0.27</v>
          </cell>
        </row>
        <row r="5060">
          <cell r="D5060">
            <v>109001479</v>
          </cell>
          <cell r="E5060" t="str">
            <v>CECILIA TIPPA</v>
          </cell>
          <cell r="F5060" t="str">
            <v>D (MD)</v>
          </cell>
          <cell r="G5060">
            <v>359992</v>
          </cell>
          <cell r="H5060" t="str">
            <v>Mayday</v>
          </cell>
          <cell r="I5060">
            <v>0.8125</v>
          </cell>
          <cell r="J5060">
            <v>0.33333333333333331</v>
          </cell>
          <cell r="K5060">
            <v>11.83333333</v>
          </cell>
          <cell r="L5060">
            <v>611.36</v>
          </cell>
          <cell r="O5060" t="str">
            <v>Y</v>
          </cell>
          <cell r="P5060" t="str">
            <v>N</v>
          </cell>
          <cell r="Q5060" t="str">
            <v>Short Term Sick</v>
          </cell>
          <cell r="S5060">
            <v>0.32</v>
          </cell>
        </row>
        <row r="5061">
          <cell r="D5061">
            <v>1208004779</v>
          </cell>
          <cell r="E5061" t="str">
            <v>CHRIS STULAR</v>
          </cell>
          <cell r="F5061" t="str">
            <v>D General (Orio</v>
          </cell>
          <cell r="G5061" t="str">
            <v>Invsd Smt checked</v>
          </cell>
          <cell r="H5061" t="str">
            <v>Orion</v>
          </cell>
          <cell r="I5061">
            <v>0.33333333333333331</v>
          </cell>
          <cell r="J5061">
            <v>0.75</v>
          </cell>
          <cell r="K5061">
            <v>9.5</v>
          </cell>
          <cell r="L5061">
            <v>275.42</v>
          </cell>
          <cell r="O5061" t="str">
            <v>Y</v>
          </cell>
          <cell r="P5061" t="str">
            <v>N</v>
          </cell>
          <cell r="Q5061" t="str">
            <v>Backfill</v>
          </cell>
          <cell r="S5061">
            <v>0.25</v>
          </cell>
        </row>
        <row r="5062">
          <cell r="D5062">
            <v>1208004150</v>
          </cell>
          <cell r="E5062" t="str">
            <v>DANNA JARAVATA</v>
          </cell>
          <cell r="F5062" t="str">
            <v>D (Ch)</v>
          </cell>
          <cell r="G5062">
            <v>17865</v>
          </cell>
          <cell r="H5062" t="str">
            <v>Choice</v>
          </cell>
          <cell r="I5062">
            <v>0.83333333333333337</v>
          </cell>
          <cell r="J5062">
            <v>0.33333333333333331</v>
          </cell>
          <cell r="K5062">
            <v>11.33333333</v>
          </cell>
          <cell r="L5062">
            <v>441.91</v>
          </cell>
          <cell r="O5062" t="str">
            <v>Y</v>
          </cell>
          <cell r="P5062" t="str">
            <v>N</v>
          </cell>
          <cell r="Q5062" t="str">
            <v>Vacancy</v>
          </cell>
          <cell r="S5062">
            <v>0.3</v>
          </cell>
        </row>
        <row r="5063">
          <cell r="D5063">
            <v>109001152</v>
          </cell>
          <cell r="E5063" t="str">
            <v>DEBBIE HARRIS</v>
          </cell>
          <cell r="F5063" t="str">
            <v>D (MD)</v>
          </cell>
          <cell r="G5063">
            <v>361091</v>
          </cell>
          <cell r="H5063" t="str">
            <v>Mayday</v>
          </cell>
          <cell r="I5063">
            <v>0.8125</v>
          </cell>
          <cell r="J5063">
            <v>0.33333333333333331</v>
          </cell>
          <cell r="K5063">
            <v>11.83333333</v>
          </cell>
          <cell r="L5063">
            <v>611.36</v>
          </cell>
          <cell r="O5063" t="str">
            <v>Y</v>
          </cell>
          <cell r="P5063" t="str">
            <v>N</v>
          </cell>
          <cell r="Q5063" t="str">
            <v>Short Term Sick</v>
          </cell>
          <cell r="S5063">
            <v>0.32</v>
          </cell>
        </row>
        <row r="5064">
          <cell r="D5064">
            <v>1208007798</v>
          </cell>
          <cell r="E5064" t="str">
            <v>DENNIS HEBRON</v>
          </cell>
          <cell r="F5064" t="str">
            <v>D (Ch)</v>
          </cell>
          <cell r="G5064">
            <v>17851</v>
          </cell>
          <cell r="H5064" t="str">
            <v>Choice</v>
          </cell>
          <cell r="I5064">
            <v>0.83333333333333337</v>
          </cell>
          <cell r="J5064">
            <v>0.33333333333333331</v>
          </cell>
          <cell r="K5064">
            <v>11.33333333</v>
          </cell>
          <cell r="L5064">
            <v>441.91</v>
          </cell>
          <cell r="O5064" t="str">
            <v>Y</v>
          </cell>
          <cell r="P5064" t="str">
            <v>N</v>
          </cell>
          <cell r="Q5064" t="str">
            <v>Extra Capacity</v>
          </cell>
          <cell r="S5064">
            <v>0.3</v>
          </cell>
        </row>
        <row r="5065">
          <cell r="D5065">
            <v>109003946</v>
          </cell>
          <cell r="E5065" t="str">
            <v>DONALD YANZA</v>
          </cell>
          <cell r="F5065" t="str">
            <v>D (Ch)</v>
          </cell>
          <cell r="G5065">
            <v>17932</v>
          </cell>
          <cell r="H5065" t="str">
            <v>Choice</v>
          </cell>
          <cell r="I5065">
            <v>0.83333333333333337</v>
          </cell>
          <cell r="J5065">
            <v>0.33333333333333331</v>
          </cell>
          <cell r="K5065">
            <v>11.33333333</v>
          </cell>
          <cell r="L5065">
            <v>441.91</v>
          </cell>
          <cell r="O5065" t="str">
            <v>Y</v>
          </cell>
          <cell r="P5065" t="str">
            <v>N</v>
          </cell>
          <cell r="Q5065" t="str">
            <v>Extra Capacity</v>
          </cell>
          <cell r="S5065">
            <v>0.3</v>
          </cell>
        </row>
        <row r="5066">
          <cell r="D5066">
            <v>109003952</v>
          </cell>
          <cell r="E5066" t="str">
            <v>DOROTHY MUTEMWA</v>
          </cell>
          <cell r="F5066" t="str">
            <v>A (Ch)</v>
          </cell>
          <cell r="G5066">
            <v>17932</v>
          </cell>
          <cell r="H5066" t="str">
            <v>Choice</v>
          </cell>
          <cell r="I5066">
            <v>0.46875</v>
          </cell>
          <cell r="J5066">
            <v>0.85416666666666663</v>
          </cell>
          <cell r="K5066">
            <v>8.9166666669999994</v>
          </cell>
          <cell r="L5066">
            <v>164.81</v>
          </cell>
          <cell r="O5066" t="str">
            <v>Y</v>
          </cell>
          <cell r="P5066" t="str">
            <v>N</v>
          </cell>
          <cell r="Q5066" t="str">
            <v>Acuity</v>
          </cell>
          <cell r="S5066">
            <v>0.24</v>
          </cell>
        </row>
        <row r="5067">
          <cell r="D5067">
            <v>109003949</v>
          </cell>
          <cell r="E5067" t="str">
            <v>ELEANOR LEYSO</v>
          </cell>
          <cell r="F5067" t="str">
            <v>D (Amb)</v>
          </cell>
          <cell r="G5067">
            <v>776925</v>
          </cell>
          <cell r="H5067" t="str">
            <v>Ambition</v>
          </cell>
          <cell r="I5067">
            <v>0.4375</v>
          </cell>
          <cell r="J5067">
            <v>0.85416666666666663</v>
          </cell>
          <cell r="K5067">
            <v>9.6666666669999994</v>
          </cell>
          <cell r="L5067">
            <v>604.75</v>
          </cell>
          <cell r="O5067" t="str">
            <v>Y</v>
          </cell>
          <cell r="P5067" t="str">
            <v>N</v>
          </cell>
          <cell r="Q5067" t="str">
            <v>Acuity</v>
          </cell>
          <cell r="S5067">
            <v>0.26</v>
          </cell>
        </row>
        <row r="5068">
          <cell r="D5068">
            <v>1208006469</v>
          </cell>
          <cell r="E5068" t="str">
            <v>EMMANUEL SALAKO</v>
          </cell>
          <cell r="F5068" t="str">
            <v>D (MD)</v>
          </cell>
          <cell r="G5068">
            <v>359104</v>
          </cell>
          <cell r="H5068" t="str">
            <v>Mayday</v>
          </cell>
          <cell r="I5068">
            <v>0.5625</v>
          </cell>
          <cell r="J5068">
            <v>0.85416666666666663</v>
          </cell>
          <cell r="K5068">
            <v>6.6666666670000003</v>
          </cell>
          <cell r="L5068">
            <v>344.43</v>
          </cell>
          <cell r="O5068" t="str">
            <v>Y</v>
          </cell>
          <cell r="P5068" t="str">
            <v>N</v>
          </cell>
          <cell r="Q5068" t="str">
            <v>Vacancy</v>
          </cell>
          <cell r="S5068">
            <v>0.18</v>
          </cell>
        </row>
        <row r="5069">
          <cell r="D5069">
            <v>1208007795</v>
          </cell>
          <cell r="E5069" t="str">
            <v>EUNICE ADEBANJO</v>
          </cell>
          <cell r="F5069" t="str">
            <v>D (Ch)</v>
          </cell>
          <cell r="G5069">
            <v>17936</v>
          </cell>
          <cell r="H5069" t="str">
            <v>Choice</v>
          </cell>
          <cell r="I5069">
            <v>0.83333333333333337</v>
          </cell>
          <cell r="J5069">
            <v>0.33333333333333331</v>
          </cell>
          <cell r="K5069">
            <v>11.33333333</v>
          </cell>
          <cell r="L5069">
            <v>441.91</v>
          </cell>
          <cell r="O5069" t="str">
            <v>Y</v>
          </cell>
          <cell r="P5069" t="str">
            <v>N</v>
          </cell>
          <cell r="Q5069" t="str">
            <v>Extra Capacity</v>
          </cell>
          <cell r="S5069">
            <v>0.3</v>
          </cell>
        </row>
        <row r="5070">
          <cell r="D5070">
            <v>1208007743</v>
          </cell>
          <cell r="E5070" t="str">
            <v>FATOUMATA TOURAY-SEY</v>
          </cell>
          <cell r="F5070" t="str">
            <v>D (Amb)</v>
          </cell>
          <cell r="G5070">
            <v>774179</v>
          </cell>
          <cell r="H5070" t="str">
            <v>Ambition</v>
          </cell>
          <cell r="I5070">
            <v>0.3125</v>
          </cell>
          <cell r="J5070">
            <v>0.60416666666666663</v>
          </cell>
          <cell r="K5070">
            <v>6.6666666670000003</v>
          </cell>
          <cell r="L5070">
            <v>417.07</v>
          </cell>
          <cell r="O5070" t="str">
            <v>Y</v>
          </cell>
          <cell r="P5070" t="str">
            <v>N</v>
          </cell>
          <cell r="Q5070" t="str">
            <v>Extra Capacity</v>
          </cell>
          <cell r="S5070">
            <v>0.18</v>
          </cell>
        </row>
        <row r="5071">
          <cell r="D5071">
            <v>1108006465</v>
          </cell>
          <cell r="E5071" t="str">
            <v>FIONA DURKIN-GREER</v>
          </cell>
          <cell r="F5071" t="str">
            <v>D (MD)</v>
          </cell>
          <cell r="G5071">
            <v>358998</v>
          </cell>
          <cell r="H5071" t="str">
            <v>Mayday</v>
          </cell>
          <cell r="I5071">
            <v>0.3125</v>
          </cell>
          <cell r="J5071">
            <v>0.5625</v>
          </cell>
          <cell r="K5071">
            <v>5.6666666670000003</v>
          </cell>
          <cell r="L5071">
            <v>292.76</v>
          </cell>
          <cell r="O5071" t="str">
            <v>Y</v>
          </cell>
          <cell r="P5071" t="str">
            <v>N</v>
          </cell>
          <cell r="Q5071" t="str">
            <v>Vacancy</v>
          </cell>
          <cell r="S5071">
            <v>0.15</v>
          </cell>
        </row>
        <row r="5072">
          <cell r="D5072">
            <v>1208005819</v>
          </cell>
          <cell r="E5072" t="str">
            <v>FLORENCE DLAMINI</v>
          </cell>
          <cell r="F5072" t="str">
            <v>D (MD)</v>
          </cell>
          <cell r="H5072" t="str">
            <v>Mayday</v>
          </cell>
          <cell r="I5072">
            <v>0.88541666666666663</v>
          </cell>
          <cell r="J5072">
            <v>0.30208333333333331</v>
          </cell>
          <cell r="K5072">
            <v>9.6666666669999994</v>
          </cell>
          <cell r="L5072">
            <v>499.42</v>
          </cell>
          <cell r="O5072" t="str">
            <v>Y</v>
          </cell>
          <cell r="P5072" t="str">
            <v>N</v>
          </cell>
          <cell r="Q5072" t="str">
            <v>Extra Capacity</v>
          </cell>
          <cell r="S5072">
            <v>0.26</v>
          </cell>
        </row>
        <row r="5073">
          <cell r="D5073">
            <v>1208007797</v>
          </cell>
          <cell r="E5073" t="str">
            <v>GEMMA CATIBOG</v>
          </cell>
          <cell r="F5073" t="str">
            <v>D (Ch)</v>
          </cell>
          <cell r="G5073">
            <v>17876</v>
          </cell>
          <cell r="H5073" t="str">
            <v>Choice</v>
          </cell>
          <cell r="I5073">
            <v>0.83333333333333337</v>
          </cell>
          <cell r="J5073">
            <v>0.33333333333333331</v>
          </cell>
          <cell r="K5073">
            <v>11.33333333</v>
          </cell>
          <cell r="L5073">
            <v>441.91</v>
          </cell>
          <cell r="M5073">
            <v>312.83999999999997</v>
          </cell>
          <cell r="O5073" t="str">
            <v>Y</v>
          </cell>
          <cell r="P5073" t="str">
            <v>N</v>
          </cell>
          <cell r="Q5073" t="str">
            <v>Extra Capacity</v>
          </cell>
          <cell r="S5073">
            <v>0.3</v>
          </cell>
        </row>
        <row r="5074">
          <cell r="D5074">
            <v>1208007799</v>
          </cell>
          <cell r="E5074" t="str">
            <v>GLENDA RONA</v>
          </cell>
          <cell r="F5074" t="str">
            <v>D (Ch)</v>
          </cell>
          <cell r="H5074" t="str">
            <v>Choice</v>
          </cell>
          <cell r="I5074">
            <v>0.83333333333333337</v>
          </cell>
          <cell r="J5074">
            <v>0.33333333333333331</v>
          </cell>
          <cell r="K5074">
            <v>11.33333333</v>
          </cell>
          <cell r="L5074">
            <v>441.91</v>
          </cell>
          <cell r="O5074" t="str">
            <v>Y</v>
          </cell>
          <cell r="P5074" t="str">
            <v>N</v>
          </cell>
          <cell r="Q5074" t="str">
            <v>Extra Capacity</v>
          </cell>
          <cell r="S5074">
            <v>0.3</v>
          </cell>
        </row>
        <row r="5075">
          <cell r="D5075">
            <v>109003500</v>
          </cell>
          <cell r="E5075" t="str">
            <v>HILDA SHANGE</v>
          </cell>
          <cell r="F5075" t="str">
            <v>D (Ch)</v>
          </cell>
          <cell r="G5075">
            <v>17846</v>
          </cell>
          <cell r="H5075" t="str">
            <v>Choice</v>
          </cell>
          <cell r="I5075">
            <v>0.88541666666666663</v>
          </cell>
          <cell r="J5075">
            <v>0.30208333333333331</v>
          </cell>
          <cell r="K5075">
            <v>9</v>
          </cell>
          <cell r="L5075">
            <v>350.93</v>
          </cell>
          <cell r="O5075" t="str">
            <v>Y</v>
          </cell>
          <cell r="P5075" t="str">
            <v>N</v>
          </cell>
          <cell r="Q5075" t="str">
            <v>Vacancy</v>
          </cell>
          <cell r="S5075">
            <v>0.24</v>
          </cell>
        </row>
        <row r="5076">
          <cell r="D5076">
            <v>109003293</v>
          </cell>
          <cell r="E5076" t="str">
            <v>JACKIE BOWMAN</v>
          </cell>
          <cell r="F5076" t="str">
            <v>D (MD)</v>
          </cell>
          <cell r="G5076">
            <v>358996</v>
          </cell>
          <cell r="H5076" t="str">
            <v>Mayday</v>
          </cell>
          <cell r="I5076">
            <v>0.83333333333333337</v>
          </cell>
          <cell r="J5076">
            <v>0.33333333333333331</v>
          </cell>
          <cell r="K5076">
            <v>11</v>
          </cell>
          <cell r="L5076">
            <v>568.29999999999995</v>
          </cell>
          <cell r="O5076" t="str">
            <v>Y</v>
          </cell>
          <cell r="P5076" t="str">
            <v>N</v>
          </cell>
          <cell r="Q5076" t="str">
            <v>Extra Capacity</v>
          </cell>
          <cell r="S5076">
            <v>0.28999999999999998</v>
          </cell>
        </row>
        <row r="5077">
          <cell r="D5077">
            <v>109003146</v>
          </cell>
          <cell r="E5077" t="str">
            <v>JASMINE ESGUERRA</v>
          </cell>
          <cell r="F5077" t="str">
            <v>D (Ch)</v>
          </cell>
          <cell r="G5077">
            <v>17869</v>
          </cell>
          <cell r="H5077" t="str">
            <v>Choice</v>
          </cell>
          <cell r="I5077">
            <v>0.8125</v>
          </cell>
          <cell r="J5077">
            <v>0.33333333333333331</v>
          </cell>
          <cell r="K5077">
            <v>11.83333333</v>
          </cell>
          <cell r="L5077">
            <v>461.41</v>
          </cell>
          <cell r="M5077">
            <v>327.69</v>
          </cell>
          <cell r="O5077" t="str">
            <v>Y</v>
          </cell>
          <cell r="P5077" t="str">
            <v>N</v>
          </cell>
          <cell r="Q5077" t="str">
            <v>Nurse Moved</v>
          </cell>
          <cell r="S5077">
            <v>0.32</v>
          </cell>
        </row>
        <row r="5078">
          <cell r="D5078">
            <v>1208006485</v>
          </cell>
          <cell r="E5078" t="str">
            <v>JASON WENT</v>
          </cell>
          <cell r="F5078" t="str">
            <v>D / 5 General (</v>
          </cell>
          <cell r="G5078" t="str">
            <v>604-165017</v>
          </cell>
          <cell r="H5078" t="str">
            <v>Blue Arrow</v>
          </cell>
          <cell r="I5078">
            <v>0.83333333333333337</v>
          </cell>
          <cell r="J5078">
            <v>0.33333333333333331</v>
          </cell>
          <cell r="K5078">
            <v>11.33333333</v>
          </cell>
          <cell r="L5078">
            <v>306.08999999999997</v>
          </cell>
          <cell r="O5078" t="str">
            <v>Y</v>
          </cell>
          <cell r="P5078" t="str">
            <v>N</v>
          </cell>
          <cell r="Q5078" t="str">
            <v>Vacancy</v>
          </cell>
          <cell r="S5078">
            <v>0.3</v>
          </cell>
        </row>
        <row r="5079">
          <cell r="D5079">
            <v>1208007742</v>
          </cell>
          <cell r="E5079" t="str">
            <v>JAY RUIZ</v>
          </cell>
          <cell r="F5079" t="str">
            <v>D (Amb)</v>
          </cell>
          <cell r="G5079">
            <v>774227</v>
          </cell>
          <cell r="H5079" t="str">
            <v>Ambition</v>
          </cell>
          <cell r="I5079">
            <v>0.3125</v>
          </cell>
          <cell r="J5079">
            <v>0.60416666666666663</v>
          </cell>
          <cell r="K5079">
            <v>6.6666666670000003</v>
          </cell>
          <cell r="L5079">
            <v>417.07</v>
          </cell>
          <cell r="O5079" t="str">
            <v>Y</v>
          </cell>
          <cell r="P5079" t="str">
            <v>N</v>
          </cell>
          <cell r="Q5079" t="str">
            <v>Extra Capacity</v>
          </cell>
          <cell r="S5079">
            <v>0.18</v>
          </cell>
        </row>
        <row r="5080">
          <cell r="D5080">
            <v>1208007764</v>
          </cell>
          <cell r="E5080" t="str">
            <v>JAY RUIZ</v>
          </cell>
          <cell r="F5080" t="str">
            <v>D (Amb)</v>
          </cell>
          <cell r="G5080">
            <v>774227</v>
          </cell>
          <cell r="H5080" t="str">
            <v>Ambition</v>
          </cell>
          <cell r="I5080">
            <v>0.60416666666666663</v>
          </cell>
          <cell r="J5080">
            <v>0.85416666666666663</v>
          </cell>
          <cell r="K5080">
            <v>5.6666666670000003</v>
          </cell>
          <cell r="L5080">
            <v>354.51</v>
          </cell>
          <cell r="O5080" t="str">
            <v>Y</v>
          </cell>
          <cell r="P5080" t="str">
            <v>N</v>
          </cell>
          <cell r="Q5080" t="str">
            <v>Extra Capacity</v>
          </cell>
          <cell r="S5080">
            <v>0.15</v>
          </cell>
        </row>
        <row r="5081">
          <cell r="D5081">
            <v>1208007740</v>
          </cell>
          <cell r="E5081" t="str">
            <v>KAREN COOMBE</v>
          </cell>
          <cell r="F5081" t="str">
            <v>D (Amb)</v>
          </cell>
          <cell r="G5081">
            <v>774197</v>
          </cell>
          <cell r="H5081" t="str">
            <v>Ambition</v>
          </cell>
          <cell r="I5081">
            <v>0.3125</v>
          </cell>
          <cell r="J5081">
            <v>0.60416666666666663</v>
          </cell>
          <cell r="K5081">
            <v>6.6666666670000003</v>
          </cell>
          <cell r="L5081">
            <v>417.07</v>
          </cell>
          <cell r="O5081" t="str">
            <v>Y</v>
          </cell>
          <cell r="P5081" t="str">
            <v>N</v>
          </cell>
          <cell r="Q5081" t="str">
            <v>Extra Capacity</v>
          </cell>
          <cell r="S5081">
            <v>0.18</v>
          </cell>
        </row>
        <row r="5082">
          <cell r="D5082">
            <v>1208007763</v>
          </cell>
          <cell r="E5082" t="str">
            <v>KAREN COOMBE</v>
          </cell>
          <cell r="F5082" t="str">
            <v>D (Amb)</v>
          </cell>
          <cell r="G5082">
            <v>774197</v>
          </cell>
          <cell r="H5082" t="str">
            <v>Ambition</v>
          </cell>
          <cell r="I5082">
            <v>0.60416666666666663</v>
          </cell>
          <cell r="J5082">
            <v>0.85416666666666663</v>
          </cell>
          <cell r="K5082">
            <v>5.6666666670000003</v>
          </cell>
          <cell r="L5082">
            <v>354.51</v>
          </cell>
          <cell r="O5082" t="str">
            <v>Y</v>
          </cell>
          <cell r="P5082" t="str">
            <v>N</v>
          </cell>
          <cell r="Q5082" t="str">
            <v>Extra Capacity</v>
          </cell>
          <cell r="S5082">
            <v>0.15</v>
          </cell>
        </row>
        <row r="5083">
          <cell r="D5083">
            <v>109002052</v>
          </cell>
          <cell r="E5083" t="str">
            <v>LETECIA LIWANE</v>
          </cell>
          <cell r="F5083" t="str">
            <v>D (Ch)</v>
          </cell>
          <cell r="G5083">
            <v>17958</v>
          </cell>
          <cell r="H5083" t="str">
            <v>Choice</v>
          </cell>
          <cell r="I5083">
            <v>0.83333333333333337</v>
          </cell>
          <cell r="J5083">
            <v>0.33333333333333331</v>
          </cell>
          <cell r="K5083">
            <v>11.33333333</v>
          </cell>
          <cell r="L5083">
            <v>441.91</v>
          </cell>
          <cell r="M5083">
            <v>495</v>
          </cell>
          <cell r="O5083" t="str">
            <v>Y</v>
          </cell>
          <cell r="P5083" t="str">
            <v>N</v>
          </cell>
          <cell r="Q5083" t="str">
            <v>Extra Capacity</v>
          </cell>
          <cell r="S5083">
            <v>0.3</v>
          </cell>
        </row>
        <row r="5084">
          <cell r="D5084">
            <v>109003302</v>
          </cell>
          <cell r="E5084" t="str">
            <v>LINDSEY DAY</v>
          </cell>
          <cell r="F5084" t="str">
            <v>D (Amb)</v>
          </cell>
          <cell r="G5084">
            <v>777084</v>
          </cell>
          <cell r="H5084" t="str">
            <v>Ambition</v>
          </cell>
          <cell r="I5084">
            <v>0.625</v>
          </cell>
          <cell r="J5084">
            <v>0.85416666666666663</v>
          </cell>
          <cell r="K5084">
            <v>5.5</v>
          </cell>
          <cell r="L5084">
            <v>344.08</v>
          </cell>
          <cell r="O5084" t="str">
            <v>Y</v>
          </cell>
          <cell r="P5084" t="str">
            <v>N</v>
          </cell>
          <cell r="Q5084" t="str">
            <v>Nurse Moved</v>
          </cell>
          <cell r="S5084">
            <v>0.15</v>
          </cell>
        </row>
        <row r="5085">
          <cell r="D5085">
            <v>109001334</v>
          </cell>
          <cell r="E5085" t="str">
            <v>MABEL MNISI</v>
          </cell>
          <cell r="F5085" t="str">
            <v>D (MD)</v>
          </cell>
          <cell r="G5085">
            <v>360916</v>
          </cell>
          <cell r="H5085" t="str">
            <v>Mayday</v>
          </cell>
          <cell r="I5085">
            <v>0.33333333333333331</v>
          </cell>
          <cell r="J5085">
            <v>0.83333333333333337</v>
          </cell>
          <cell r="K5085">
            <v>11.33333333</v>
          </cell>
          <cell r="L5085">
            <v>585.53</v>
          </cell>
          <cell r="O5085" t="str">
            <v>Y</v>
          </cell>
          <cell r="P5085" t="str">
            <v>N</v>
          </cell>
          <cell r="Q5085" t="str">
            <v>Acuity</v>
          </cell>
          <cell r="S5085">
            <v>0.3</v>
          </cell>
        </row>
        <row r="5086">
          <cell r="D5086">
            <v>109003506</v>
          </cell>
          <cell r="E5086" t="str">
            <v>MARIA LINGAT</v>
          </cell>
          <cell r="F5086" t="str">
            <v>D (Ch)</v>
          </cell>
          <cell r="G5086">
            <v>17875</v>
          </cell>
          <cell r="H5086" t="str">
            <v>Choice</v>
          </cell>
          <cell r="I5086">
            <v>0.83333333333333337</v>
          </cell>
          <cell r="J5086">
            <v>0.33333333333333331</v>
          </cell>
          <cell r="K5086">
            <v>11.33333333</v>
          </cell>
          <cell r="L5086">
            <v>441.91</v>
          </cell>
          <cell r="O5086" t="str">
            <v>Y</v>
          </cell>
          <cell r="P5086" t="str">
            <v>N</v>
          </cell>
          <cell r="Q5086" t="str">
            <v>Short Term Sick</v>
          </cell>
          <cell r="S5086">
            <v>0.3</v>
          </cell>
        </row>
        <row r="5087">
          <cell r="D5087">
            <v>109003948</v>
          </cell>
          <cell r="E5087" t="str">
            <v>MAUREEN NYATHI</v>
          </cell>
          <cell r="F5087" t="str">
            <v>D (Amb)</v>
          </cell>
          <cell r="G5087">
            <v>774274</v>
          </cell>
          <cell r="H5087" t="str">
            <v>Ambition</v>
          </cell>
          <cell r="I5087">
            <v>0.41666666666666669</v>
          </cell>
          <cell r="J5087">
            <v>0.85416666666666663</v>
          </cell>
          <cell r="K5087">
            <v>10.16666667</v>
          </cell>
          <cell r="L5087">
            <v>636.03</v>
          </cell>
          <cell r="O5087" t="str">
            <v>Y</v>
          </cell>
          <cell r="P5087" t="str">
            <v>N</v>
          </cell>
          <cell r="Q5087" t="str">
            <v>Acuity</v>
          </cell>
          <cell r="S5087">
            <v>0.27</v>
          </cell>
        </row>
        <row r="5088">
          <cell r="D5088">
            <v>1208006468</v>
          </cell>
          <cell r="E5088" t="str">
            <v>MOSES MOYO</v>
          </cell>
          <cell r="F5088" t="str">
            <v>D (Ch)</v>
          </cell>
          <cell r="H5088" t="str">
            <v>Choice</v>
          </cell>
          <cell r="I5088">
            <v>0.3125</v>
          </cell>
          <cell r="J5088">
            <v>0.85416666666666663</v>
          </cell>
          <cell r="K5088">
            <v>12.33333333</v>
          </cell>
          <cell r="L5088">
            <v>480.9</v>
          </cell>
          <cell r="O5088" t="str">
            <v>Y</v>
          </cell>
          <cell r="P5088" t="str">
            <v>N</v>
          </cell>
          <cell r="Q5088" t="str">
            <v>Vacancy</v>
          </cell>
          <cell r="S5088">
            <v>0.33</v>
          </cell>
        </row>
        <row r="5089">
          <cell r="D5089">
            <v>1208005448</v>
          </cell>
          <cell r="E5089" t="str">
            <v>MZUKISI SPEELMAN</v>
          </cell>
          <cell r="F5089" t="str">
            <v>A (Ch)</v>
          </cell>
          <cell r="G5089">
            <v>17849</v>
          </cell>
          <cell r="H5089" t="str">
            <v>Choice</v>
          </cell>
          <cell r="I5089">
            <v>0.3125</v>
          </cell>
          <cell r="J5089">
            <v>0.5625</v>
          </cell>
          <cell r="K5089">
            <v>5.6666666670000003</v>
          </cell>
          <cell r="L5089">
            <v>104.74</v>
          </cell>
          <cell r="O5089" t="str">
            <v>Y</v>
          </cell>
          <cell r="P5089" t="str">
            <v>N</v>
          </cell>
          <cell r="Q5089" t="str">
            <v>Under Established</v>
          </cell>
          <cell r="S5089">
            <v>0.15</v>
          </cell>
        </row>
        <row r="5090">
          <cell r="D5090">
            <v>1208005447</v>
          </cell>
          <cell r="E5090" t="str">
            <v>PEGGY CHIRIKURE</v>
          </cell>
          <cell r="F5090" t="str">
            <v>D (Ch)</v>
          </cell>
          <cell r="H5090" t="str">
            <v>Choice</v>
          </cell>
          <cell r="I5090">
            <v>0.3125</v>
          </cell>
          <cell r="J5090">
            <v>0.5625</v>
          </cell>
          <cell r="K5090">
            <v>5.6666666670000003</v>
          </cell>
          <cell r="L5090">
            <v>220.95</v>
          </cell>
          <cell r="O5090" t="str">
            <v>Y</v>
          </cell>
          <cell r="P5090" t="str">
            <v>N</v>
          </cell>
          <cell r="Q5090" t="str">
            <v>Annual Leave</v>
          </cell>
          <cell r="S5090">
            <v>0.15</v>
          </cell>
        </row>
        <row r="5091">
          <cell r="D5091">
            <v>1208005452</v>
          </cell>
          <cell r="E5091" t="str">
            <v>PEGGY CHIRIKURE</v>
          </cell>
          <cell r="F5091" t="str">
            <v>D (Ch)</v>
          </cell>
          <cell r="H5091" t="str">
            <v>Choice</v>
          </cell>
          <cell r="I5091">
            <v>0.5625</v>
          </cell>
          <cell r="J5091">
            <v>0.85416666666666663</v>
          </cell>
          <cell r="K5091">
            <v>6.6666666670000003</v>
          </cell>
          <cell r="L5091">
            <v>259.95</v>
          </cell>
          <cell r="O5091" t="str">
            <v>Y</v>
          </cell>
          <cell r="P5091" t="str">
            <v>N</v>
          </cell>
          <cell r="Q5091" t="str">
            <v>Under Established</v>
          </cell>
          <cell r="S5091">
            <v>0.18</v>
          </cell>
        </row>
        <row r="5092">
          <cell r="D5092">
            <v>1208005454</v>
          </cell>
          <cell r="E5092" t="str">
            <v>RICCA PARADA</v>
          </cell>
          <cell r="F5092" t="str">
            <v>D (Ch)</v>
          </cell>
          <cell r="H5092" t="str">
            <v>Choice</v>
          </cell>
          <cell r="I5092">
            <v>0.5625</v>
          </cell>
          <cell r="J5092">
            <v>0.85416666666666663</v>
          </cell>
          <cell r="K5092">
            <v>6.6666666670000003</v>
          </cell>
          <cell r="L5092">
            <v>259.95</v>
          </cell>
          <cell r="O5092" t="str">
            <v>Y</v>
          </cell>
          <cell r="P5092" t="str">
            <v>N</v>
          </cell>
          <cell r="Q5092" t="str">
            <v>Annual Leave</v>
          </cell>
          <cell r="S5092">
            <v>0.18</v>
          </cell>
        </row>
        <row r="5093">
          <cell r="D5093">
            <v>109001210</v>
          </cell>
          <cell r="E5093" t="str">
            <v>RODELL JAVIER</v>
          </cell>
          <cell r="F5093" t="str">
            <v>D (Ch)</v>
          </cell>
          <cell r="H5093" t="str">
            <v>Choice</v>
          </cell>
          <cell r="I5093">
            <v>0.83333333333333337</v>
          </cell>
          <cell r="J5093">
            <v>0.33333333333333331</v>
          </cell>
          <cell r="K5093">
            <v>11.33333333</v>
          </cell>
          <cell r="L5093">
            <v>441.91</v>
          </cell>
          <cell r="O5093" t="str">
            <v>Y</v>
          </cell>
          <cell r="P5093" t="str">
            <v>N</v>
          </cell>
          <cell r="Q5093" t="str">
            <v>Short Term Sick</v>
          </cell>
          <cell r="S5093">
            <v>0.3</v>
          </cell>
        </row>
        <row r="5094">
          <cell r="D5094">
            <v>1108005730</v>
          </cell>
          <cell r="E5094" t="str">
            <v>RUTH MILMINE</v>
          </cell>
          <cell r="F5094" t="str">
            <v>D (Amb)</v>
          </cell>
          <cell r="G5094">
            <v>776927</v>
          </cell>
          <cell r="H5094" t="str">
            <v>Ambition</v>
          </cell>
          <cell r="I5094">
            <v>0.3125</v>
          </cell>
          <cell r="J5094">
            <v>0.5625</v>
          </cell>
          <cell r="K5094">
            <v>5.6666666670000003</v>
          </cell>
          <cell r="L5094">
            <v>354.51</v>
          </cell>
          <cell r="O5094" t="str">
            <v>Y</v>
          </cell>
          <cell r="P5094" t="str">
            <v>N</v>
          </cell>
          <cell r="Q5094" t="str">
            <v>Vacancy</v>
          </cell>
          <cell r="S5094">
            <v>0.15</v>
          </cell>
        </row>
        <row r="5095">
          <cell r="D5095">
            <v>1208007739</v>
          </cell>
          <cell r="E5095" t="str">
            <v>SAMANTHA JACKSON</v>
          </cell>
          <cell r="F5095" t="str">
            <v>D (MD)</v>
          </cell>
          <cell r="G5095">
            <v>359357</v>
          </cell>
          <cell r="H5095" t="str">
            <v>Mayday</v>
          </cell>
          <cell r="I5095">
            <v>0.3125</v>
          </cell>
          <cell r="J5095">
            <v>0.60416666666666663</v>
          </cell>
          <cell r="K5095">
            <v>6.6666666670000003</v>
          </cell>
          <cell r="L5095">
            <v>344.43</v>
          </cell>
          <cell r="O5095" t="str">
            <v>Y</v>
          </cell>
          <cell r="P5095" t="str">
            <v>N</v>
          </cell>
          <cell r="Q5095" t="str">
            <v>Extra Capacity</v>
          </cell>
          <cell r="S5095">
            <v>0.18</v>
          </cell>
        </row>
        <row r="5096">
          <cell r="D5096">
            <v>1208007762</v>
          </cell>
          <cell r="E5096" t="str">
            <v>SAMANTHA JACKSON</v>
          </cell>
          <cell r="F5096" t="str">
            <v>D (MD)</v>
          </cell>
          <cell r="G5096">
            <v>359357</v>
          </cell>
          <cell r="H5096" t="str">
            <v>Mayday</v>
          </cell>
          <cell r="I5096">
            <v>0.60416666666666663</v>
          </cell>
          <cell r="J5096">
            <v>0.85416666666666663</v>
          </cell>
          <cell r="K5096">
            <v>5.6666666670000003</v>
          </cell>
          <cell r="L5096">
            <v>292.76</v>
          </cell>
          <cell r="O5096" t="str">
            <v>Y</v>
          </cell>
          <cell r="P5096" t="str">
            <v>N</v>
          </cell>
          <cell r="Q5096" t="str">
            <v>Extra Capacity</v>
          </cell>
          <cell r="S5096">
            <v>0.15</v>
          </cell>
        </row>
        <row r="5097">
          <cell r="D5097">
            <v>109001478</v>
          </cell>
          <cell r="E5097" t="str">
            <v>STEPHEN FERNANDEZ</v>
          </cell>
          <cell r="F5097" t="str">
            <v>D (MD)</v>
          </cell>
          <cell r="H5097" t="str">
            <v>Mayday</v>
          </cell>
          <cell r="I5097">
            <v>0.8125</v>
          </cell>
          <cell r="J5097">
            <v>0.33333333333333331</v>
          </cell>
          <cell r="K5097">
            <v>11.83333333</v>
          </cell>
          <cell r="L5097">
            <v>611.36</v>
          </cell>
          <cell r="O5097" t="str">
            <v>Y</v>
          </cell>
          <cell r="P5097" t="str">
            <v>N</v>
          </cell>
          <cell r="Q5097" t="str">
            <v>Short Term Sick</v>
          </cell>
          <cell r="S5097">
            <v>0.32</v>
          </cell>
        </row>
        <row r="5098">
          <cell r="D5098">
            <v>1208005459</v>
          </cell>
          <cell r="E5098" t="str">
            <v>TRUST CHIWUNDURA</v>
          </cell>
          <cell r="F5098" t="str">
            <v>A (Ch)</v>
          </cell>
          <cell r="G5098">
            <v>17849</v>
          </cell>
          <cell r="H5098" t="str">
            <v>Choice</v>
          </cell>
          <cell r="I5098">
            <v>0.83333333333333337</v>
          </cell>
          <cell r="J5098">
            <v>0.33333333333333331</v>
          </cell>
          <cell r="K5098">
            <v>11.33333333</v>
          </cell>
          <cell r="L5098">
            <v>209.48</v>
          </cell>
          <cell r="O5098" t="str">
            <v>Y</v>
          </cell>
          <cell r="P5098" t="str">
            <v>N</v>
          </cell>
          <cell r="Q5098" t="str">
            <v>Under Established</v>
          </cell>
          <cell r="S5098">
            <v>0.3</v>
          </cell>
        </row>
        <row r="5099">
          <cell r="D5099">
            <v>109002814</v>
          </cell>
          <cell r="E5099" t="str">
            <v>ALMA BAUTISTA</v>
          </cell>
          <cell r="F5099" t="str">
            <v>D (Ch)</v>
          </cell>
          <cell r="G5099">
            <v>17935</v>
          </cell>
          <cell r="H5099" t="str">
            <v>Choice</v>
          </cell>
          <cell r="I5099">
            <v>0.83333333333333337</v>
          </cell>
          <cell r="J5099">
            <v>0.33333333333333331</v>
          </cell>
          <cell r="K5099">
            <v>11.33333333</v>
          </cell>
          <cell r="L5099">
            <v>359.05</v>
          </cell>
          <cell r="O5099" t="str">
            <v>Y</v>
          </cell>
          <cell r="P5099" t="str">
            <v>N</v>
          </cell>
          <cell r="Q5099" t="str">
            <v>Under Established</v>
          </cell>
          <cell r="S5099">
            <v>0.3</v>
          </cell>
        </row>
        <row r="5100">
          <cell r="D5100">
            <v>109003534</v>
          </cell>
          <cell r="E5100" t="str">
            <v>ARJE ZAMBARRANO</v>
          </cell>
          <cell r="F5100" t="str">
            <v>D (MD)</v>
          </cell>
          <cell r="G5100">
            <v>360005</v>
          </cell>
          <cell r="H5100" t="str">
            <v>Mayday</v>
          </cell>
          <cell r="I5100">
            <v>0.88541666666666663</v>
          </cell>
          <cell r="J5100">
            <v>0.3125</v>
          </cell>
          <cell r="K5100">
            <v>9.25</v>
          </cell>
          <cell r="L5100">
            <v>388.29</v>
          </cell>
          <cell r="O5100" t="str">
            <v>Y</v>
          </cell>
          <cell r="P5100" t="str">
            <v>N</v>
          </cell>
          <cell r="Q5100" t="str">
            <v>Vacancy</v>
          </cell>
          <cell r="S5100">
            <v>0.25</v>
          </cell>
        </row>
        <row r="5101">
          <cell r="D5101">
            <v>1208006590</v>
          </cell>
          <cell r="E5101" t="str">
            <v>ATINUKE OKE-OLATUNDE</v>
          </cell>
          <cell r="F5101" t="str">
            <v>D (MD)</v>
          </cell>
          <cell r="G5101">
            <v>365296</v>
          </cell>
          <cell r="H5101" t="str">
            <v>Mayday</v>
          </cell>
          <cell r="I5101">
            <v>0.84375</v>
          </cell>
          <cell r="J5101">
            <v>0.3125</v>
          </cell>
          <cell r="K5101">
            <v>10.25</v>
          </cell>
          <cell r="L5101">
            <v>430.26</v>
          </cell>
          <cell r="O5101" t="str">
            <v>Y</v>
          </cell>
          <cell r="P5101" t="str">
            <v>N</v>
          </cell>
          <cell r="Q5101" t="str">
            <v>Vacancy</v>
          </cell>
          <cell r="S5101">
            <v>0.27</v>
          </cell>
        </row>
        <row r="5102">
          <cell r="D5102">
            <v>1208007859</v>
          </cell>
          <cell r="E5102" t="str">
            <v>BEAUTY NGIDI</v>
          </cell>
          <cell r="F5102" t="str">
            <v>D (MD)</v>
          </cell>
          <cell r="G5102">
            <v>361166</v>
          </cell>
          <cell r="H5102" t="str">
            <v>Mayday</v>
          </cell>
          <cell r="I5102">
            <v>0.83333333333333337</v>
          </cell>
          <cell r="J5102">
            <v>0.33333333333333331</v>
          </cell>
          <cell r="K5102">
            <v>11.33333333</v>
          </cell>
          <cell r="L5102">
            <v>475.74</v>
          </cell>
          <cell r="O5102" t="str">
            <v>Y</v>
          </cell>
          <cell r="P5102" t="str">
            <v>N</v>
          </cell>
          <cell r="Q5102" t="str">
            <v>Extra Capacity</v>
          </cell>
          <cell r="S5102">
            <v>0.3</v>
          </cell>
        </row>
        <row r="5103">
          <cell r="D5103">
            <v>1208005820</v>
          </cell>
          <cell r="E5103" t="str">
            <v>BHEENADEVI BASSOO</v>
          </cell>
          <cell r="F5103" t="str">
            <v>D (MD)</v>
          </cell>
          <cell r="G5103">
            <v>361186</v>
          </cell>
          <cell r="H5103" t="str">
            <v>Mayday</v>
          </cell>
          <cell r="I5103">
            <v>0.88541666666666663</v>
          </cell>
          <cell r="J5103">
            <v>0.30208333333333331</v>
          </cell>
          <cell r="K5103">
            <v>9.6666666669999994</v>
          </cell>
          <cell r="L5103">
            <v>405.78</v>
          </cell>
          <cell r="O5103" t="str">
            <v>Y</v>
          </cell>
          <cell r="P5103" t="str">
            <v>N</v>
          </cell>
          <cell r="Q5103" t="str">
            <v>Extra Capacity</v>
          </cell>
          <cell r="S5103">
            <v>0.26</v>
          </cell>
        </row>
        <row r="5104">
          <cell r="D5104">
            <v>1208007836</v>
          </cell>
          <cell r="E5104" t="str">
            <v>BONITA BUTLER</v>
          </cell>
          <cell r="F5104" t="str">
            <v>D (MD)</v>
          </cell>
          <cell r="G5104">
            <v>359985</v>
          </cell>
          <cell r="H5104" t="str">
            <v>Mayday</v>
          </cell>
          <cell r="I5104">
            <v>0.60416666666666663</v>
          </cell>
          <cell r="J5104">
            <v>0.85416666666666663</v>
          </cell>
          <cell r="K5104">
            <v>5.6666666670000003</v>
          </cell>
          <cell r="L5104">
            <v>182.98</v>
          </cell>
          <cell r="O5104" t="str">
            <v>Y</v>
          </cell>
          <cell r="P5104" t="str">
            <v>N</v>
          </cell>
          <cell r="Q5104" t="str">
            <v>Extra Capacity</v>
          </cell>
          <cell r="S5104">
            <v>0.15</v>
          </cell>
        </row>
        <row r="5105">
          <cell r="D5105">
            <v>1208008001</v>
          </cell>
          <cell r="E5105" t="str">
            <v>BRENDA GWEKWERERE</v>
          </cell>
          <cell r="F5105" t="str">
            <v>D (Ch)</v>
          </cell>
          <cell r="G5105">
            <v>17951</v>
          </cell>
          <cell r="H5105" t="str">
            <v>Choice</v>
          </cell>
          <cell r="I5105">
            <v>0.3125</v>
          </cell>
          <cell r="J5105">
            <v>0.64583333333333337</v>
          </cell>
          <cell r="K5105">
            <v>7.6666666670000003</v>
          </cell>
          <cell r="L5105">
            <v>186.84</v>
          </cell>
          <cell r="O5105" t="str">
            <v>Y</v>
          </cell>
          <cell r="P5105" t="str">
            <v>N</v>
          </cell>
          <cell r="Q5105" t="str">
            <v>Extra Capacity</v>
          </cell>
          <cell r="S5105">
            <v>0.2</v>
          </cell>
        </row>
        <row r="5106">
          <cell r="D5106">
            <v>1208008030</v>
          </cell>
          <cell r="E5106" t="str">
            <v>CARL HIBBERT</v>
          </cell>
          <cell r="F5106" t="str">
            <v>D (Ch)</v>
          </cell>
          <cell r="H5106" t="str">
            <v>Choice</v>
          </cell>
          <cell r="I5106">
            <v>0.83333333333333337</v>
          </cell>
          <cell r="J5106">
            <v>0.33333333333333331</v>
          </cell>
          <cell r="K5106">
            <v>11.33333333</v>
          </cell>
          <cell r="L5106">
            <v>359.05</v>
          </cell>
          <cell r="O5106" t="str">
            <v>Y</v>
          </cell>
          <cell r="P5106" t="str">
            <v>N</v>
          </cell>
          <cell r="Q5106" t="str">
            <v>Extra Capacity</v>
          </cell>
          <cell r="S5106">
            <v>0.3</v>
          </cell>
        </row>
        <row r="5107">
          <cell r="D5107">
            <v>1208008035</v>
          </cell>
          <cell r="E5107" t="str">
            <v>CHARLES MARARIRAKWENDA</v>
          </cell>
          <cell r="F5107" t="str">
            <v>A (Ch)</v>
          </cell>
          <cell r="H5107" t="str">
            <v>Choice</v>
          </cell>
          <cell r="I5107">
            <v>0.64583333333333337</v>
          </cell>
          <cell r="J5107">
            <v>0.83333333333333337</v>
          </cell>
          <cell r="K5107">
            <v>4.5</v>
          </cell>
          <cell r="L5107">
            <v>49.91</v>
          </cell>
          <cell r="O5107" t="str">
            <v>Y</v>
          </cell>
          <cell r="P5107" t="str">
            <v>N</v>
          </cell>
          <cell r="Q5107" t="str">
            <v>Extra Capacity</v>
          </cell>
          <cell r="S5107">
            <v>0.12</v>
          </cell>
        </row>
        <row r="5108">
          <cell r="D5108">
            <v>1208005460</v>
          </cell>
          <cell r="E5108" t="str">
            <v>COLLEN SIBANDA</v>
          </cell>
          <cell r="F5108" t="str">
            <v>D (Ch)</v>
          </cell>
          <cell r="G5108">
            <v>17926</v>
          </cell>
          <cell r="H5108" t="str">
            <v>Choice</v>
          </cell>
          <cell r="I5108">
            <v>0.3125</v>
          </cell>
          <cell r="J5108">
            <v>0.5625</v>
          </cell>
          <cell r="K5108">
            <v>5.6666666670000003</v>
          </cell>
          <cell r="L5108">
            <v>138.1</v>
          </cell>
          <cell r="O5108" t="str">
            <v>Y</v>
          </cell>
          <cell r="P5108" t="str">
            <v>N</v>
          </cell>
          <cell r="Q5108" t="str">
            <v>Under Established</v>
          </cell>
          <cell r="S5108">
            <v>0.15</v>
          </cell>
        </row>
        <row r="5109">
          <cell r="D5109">
            <v>1208005465</v>
          </cell>
          <cell r="E5109" t="str">
            <v>COLLEN SIBANDA</v>
          </cell>
          <cell r="F5109" t="str">
            <v>D (Ch)</v>
          </cell>
          <cell r="G5109">
            <v>17926</v>
          </cell>
          <cell r="H5109" t="str">
            <v>Choice</v>
          </cell>
          <cell r="I5109">
            <v>0.5625</v>
          </cell>
          <cell r="J5109">
            <v>0.85416666666666663</v>
          </cell>
          <cell r="K5109">
            <v>6.6666666670000003</v>
          </cell>
          <cell r="L5109">
            <v>162.47</v>
          </cell>
          <cell r="O5109" t="str">
            <v>Y</v>
          </cell>
          <cell r="P5109" t="str">
            <v>N</v>
          </cell>
          <cell r="Q5109" t="str">
            <v>Annual Leave</v>
          </cell>
          <cell r="S5109">
            <v>0.18</v>
          </cell>
        </row>
        <row r="5110">
          <cell r="D5110">
            <v>1208005462</v>
          </cell>
          <cell r="E5110" t="str">
            <v>DAMILOLA AIKI</v>
          </cell>
          <cell r="F5110" t="str">
            <v>A (Ch)</v>
          </cell>
          <cell r="H5110" t="str">
            <v>Choice</v>
          </cell>
          <cell r="I5110">
            <v>0.3125</v>
          </cell>
          <cell r="J5110">
            <v>0.5625</v>
          </cell>
          <cell r="K5110">
            <v>5.6666666670000003</v>
          </cell>
          <cell r="L5110">
            <v>62.84</v>
          </cell>
          <cell r="O5110" t="str">
            <v>Y</v>
          </cell>
          <cell r="P5110" t="str">
            <v>N</v>
          </cell>
          <cell r="Q5110" t="str">
            <v>Under Established</v>
          </cell>
          <cell r="S5110">
            <v>0.15</v>
          </cell>
        </row>
        <row r="5111">
          <cell r="D5111">
            <v>109004765</v>
          </cell>
          <cell r="E5111" t="str">
            <v>DEBBIE HARRIS</v>
          </cell>
          <cell r="F5111" t="str">
            <v>D (MD)</v>
          </cell>
          <cell r="G5111">
            <v>360934</v>
          </cell>
          <cell r="H5111" t="str">
            <v>Mayday</v>
          </cell>
          <cell r="I5111">
            <v>0.83333333333333337</v>
          </cell>
          <cell r="J5111">
            <v>0.33333333333333331</v>
          </cell>
          <cell r="K5111">
            <v>11</v>
          </cell>
          <cell r="L5111">
            <v>461.75</v>
          </cell>
          <cell r="O5111" t="str">
            <v>Y</v>
          </cell>
          <cell r="P5111" t="str">
            <v>N</v>
          </cell>
          <cell r="Q5111" t="str">
            <v>Extra Capacity</v>
          </cell>
          <cell r="S5111">
            <v>0.28999999999999998</v>
          </cell>
        </row>
        <row r="5112">
          <cell r="D5112">
            <v>109000570</v>
          </cell>
          <cell r="E5112" t="str">
            <v>DORICA MUNJERI</v>
          </cell>
          <cell r="F5112" t="str">
            <v>A (Ch)</v>
          </cell>
          <cell r="G5112">
            <v>17939</v>
          </cell>
          <cell r="H5112" t="str">
            <v>Choice</v>
          </cell>
          <cell r="I5112">
            <v>0.3125</v>
          </cell>
          <cell r="J5112">
            <v>0.5625</v>
          </cell>
          <cell r="K5112">
            <v>5.6666666670000003</v>
          </cell>
          <cell r="L5112">
            <v>62.84</v>
          </cell>
          <cell r="O5112" t="str">
            <v>Y</v>
          </cell>
          <cell r="P5112" t="str">
            <v>N</v>
          </cell>
          <cell r="Q5112" t="str">
            <v>Vacancy</v>
          </cell>
          <cell r="S5112">
            <v>0.15</v>
          </cell>
        </row>
        <row r="5113">
          <cell r="D5113">
            <v>1208007861</v>
          </cell>
          <cell r="E5113" t="str">
            <v>ELSIE CHIKUKWA</v>
          </cell>
          <cell r="F5113" t="str">
            <v>D (MD)</v>
          </cell>
          <cell r="G5113">
            <v>361133</v>
          </cell>
          <cell r="H5113" t="str">
            <v>Mayday</v>
          </cell>
          <cell r="I5113">
            <v>0.83333333333333337</v>
          </cell>
          <cell r="J5113">
            <v>0.33333333333333331</v>
          </cell>
          <cell r="K5113">
            <v>11.33333333</v>
          </cell>
          <cell r="L5113">
            <v>475.74</v>
          </cell>
          <cell r="O5113" t="str">
            <v>Y</v>
          </cell>
          <cell r="P5113" t="str">
            <v>N</v>
          </cell>
          <cell r="Q5113" t="str">
            <v>Extra Capacity</v>
          </cell>
          <cell r="S5113">
            <v>0.3</v>
          </cell>
        </row>
        <row r="5114">
          <cell r="D5114">
            <v>1208007858</v>
          </cell>
          <cell r="E5114" t="str">
            <v>FATIMA UMARU</v>
          </cell>
          <cell r="F5114" t="str">
            <v>D (MD)</v>
          </cell>
          <cell r="G5114">
            <v>361089</v>
          </cell>
          <cell r="H5114" t="str">
            <v>Mayday</v>
          </cell>
          <cell r="I5114">
            <v>0.83333333333333337</v>
          </cell>
          <cell r="J5114">
            <v>0.33333333333333331</v>
          </cell>
          <cell r="K5114">
            <v>11.33333333</v>
          </cell>
          <cell r="L5114">
            <v>475.74</v>
          </cell>
          <cell r="O5114" t="str">
            <v>Y</v>
          </cell>
          <cell r="P5114" t="str">
            <v>N</v>
          </cell>
          <cell r="Q5114" t="str">
            <v>Extra Capacity</v>
          </cell>
          <cell r="S5114">
            <v>0.3</v>
          </cell>
        </row>
        <row r="5115">
          <cell r="D5115">
            <v>1208005463</v>
          </cell>
          <cell r="E5115" t="str">
            <v>GEORGE MALETE</v>
          </cell>
          <cell r="F5115" t="str">
            <v>A (Ch)</v>
          </cell>
          <cell r="G5115">
            <v>17926</v>
          </cell>
          <cell r="H5115" t="str">
            <v>Choice</v>
          </cell>
          <cell r="I5115">
            <v>0.3125</v>
          </cell>
          <cell r="J5115">
            <v>0.5625</v>
          </cell>
          <cell r="K5115">
            <v>5.6666666670000003</v>
          </cell>
          <cell r="L5115">
            <v>62.84</v>
          </cell>
          <cell r="O5115" t="str">
            <v>Y</v>
          </cell>
          <cell r="P5115" t="str">
            <v>N</v>
          </cell>
          <cell r="Q5115" t="str">
            <v>Under Established</v>
          </cell>
          <cell r="S5115">
            <v>0.15</v>
          </cell>
        </row>
        <row r="5116">
          <cell r="D5116">
            <v>109003153</v>
          </cell>
          <cell r="E5116" t="str">
            <v>HILDA SHANGE</v>
          </cell>
          <cell r="F5116" t="str">
            <v>D (Amb)</v>
          </cell>
          <cell r="G5116">
            <v>776988</v>
          </cell>
          <cell r="H5116" t="str">
            <v>Ambition</v>
          </cell>
          <cell r="I5116">
            <v>0.8125</v>
          </cell>
          <cell r="J5116">
            <v>0.33333333333333331</v>
          </cell>
          <cell r="K5116">
            <v>11.83333333</v>
          </cell>
          <cell r="L5116">
            <v>601.49</v>
          </cell>
          <cell r="O5116" t="str">
            <v>Y</v>
          </cell>
          <cell r="P5116" t="str">
            <v>N</v>
          </cell>
          <cell r="Q5116" t="str">
            <v>Nurse Moved</v>
          </cell>
          <cell r="S5116">
            <v>0.32</v>
          </cell>
        </row>
        <row r="5117">
          <cell r="D5117">
            <v>109001114</v>
          </cell>
          <cell r="E5117" t="str">
            <v>JAMES MCCLEMENTS</v>
          </cell>
          <cell r="F5117" t="str">
            <v>D (MD)</v>
          </cell>
          <cell r="G5117">
            <v>360919</v>
          </cell>
          <cell r="H5117" t="str">
            <v>Mayday</v>
          </cell>
          <cell r="I5117">
            <v>0.3125</v>
          </cell>
          <cell r="J5117">
            <v>0.85416666666666663</v>
          </cell>
          <cell r="K5117">
            <v>12.33333333</v>
          </cell>
          <cell r="L5117">
            <v>398.24</v>
          </cell>
          <cell r="O5117" t="str">
            <v>Y</v>
          </cell>
          <cell r="P5117" t="str">
            <v>N</v>
          </cell>
          <cell r="Q5117" t="str">
            <v>Vacancy</v>
          </cell>
          <cell r="S5117">
            <v>0.33</v>
          </cell>
        </row>
        <row r="5118">
          <cell r="D5118">
            <v>1208007857</v>
          </cell>
          <cell r="E5118" t="str">
            <v>JASON WENT</v>
          </cell>
          <cell r="F5118" t="str">
            <v>D / 5 General (</v>
          </cell>
          <cell r="H5118" t="str">
            <v>Blue Arrow</v>
          </cell>
          <cell r="I5118">
            <v>0.83333333333333337</v>
          </cell>
          <cell r="J5118">
            <v>0.33333333333333331</v>
          </cell>
          <cell r="K5118">
            <v>11.33333333</v>
          </cell>
          <cell r="L5118">
            <v>248.7</v>
          </cell>
          <cell r="O5118" t="str">
            <v>Y</v>
          </cell>
          <cell r="P5118" t="str">
            <v>N</v>
          </cell>
          <cell r="Q5118" t="str">
            <v>Extra Capacity</v>
          </cell>
          <cell r="S5118">
            <v>0.3</v>
          </cell>
        </row>
        <row r="5119">
          <cell r="D5119">
            <v>109003419</v>
          </cell>
          <cell r="E5119" t="str">
            <v>JOHANNA AISH</v>
          </cell>
          <cell r="F5119" t="str">
            <v>D (Amb)</v>
          </cell>
          <cell r="G5119">
            <v>776986</v>
          </cell>
          <cell r="H5119" t="str">
            <v>Ambition</v>
          </cell>
          <cell r="I5119">
            <v>0.8125</v>
          </cell>
          <cell r="J5119">
            <v>0.33333333333333331</v>
          </cell>
          <cell r="K5119">
            <v>11.83333333</v>
          </cell>
          <cell r="L5119">
            <v>601.49</v>
          </cell>
          <cell r="O5119" t="str">
            <v>Y</v>
          </cell>
          <cell r="P5119" t="str">
            <v>N</v>
          </cell>
          <cell r="Q5119" t="str">
            <v>Vacancy</v>
          </cell>
          <cell r="S5119">
            <v>0.32</v>
          </cell>
        </row>
        <row r="5120">
          <cell r="D5120">
            <v>109003672</v>
          </cell>
          <cell r="E5120" t="str">
            <v>KEN GOORDIN</v>
          </cell>
          <cell r="F5120" t="str">
            <v>D (Ch)</v>
          </cell>
          <cell r="G5120">
            <v>17940</v>
          </cell>
          <cell r="H5120" t="str">
            <v>Choice</v>
          </cell>
          <cell r="I5120">
            <v>0.875</v>
          </cell>
          <cell r="J5120">
            <v>0.33333333333333331</v>
          </cell>
          <cell r="K5120">
            <v>10</v>
          </cell>
          <cell r="L5120">
            <v>243.7</v>
          </cell>
          <cell r="O5120" t="str">
            <v>Y</v>
          </cell>
          <cell r="P5120" t="str">
            <v>N</v>
          </cell>
          <cell r="Q5120" t="str">
            <v>Specials</v>
          </cell>
          <cell r="S5120">
            <v>0.27</v>
          </cell>
        </row>
        <row r="5121">
          <cell r="D5121">
            <v>109002054</v>
          </cell>
          <cell r="E5121" t="str">
            <v>LETECIA LIWANE</v>
          </cell>
          <cell r="F5121" t="str">
            <v>D (Ch)</v>
          </cell>
          <cell r="G5121">
            <v>17958</v>
          </cell>
          <cell r="H5121" t="str">
            <v>Choice</v>
          </cell>
          <cell r="I5121">
            <v>0.83333333333333337</v>
          </cell>
          <cell r="J5121">
            <v>0.33333333333333331</v>
          </cell>
          <cell r="K5121">
            <v>11.33333333</v>
          </cell>
          <cell r="L5121">
            <v>359.05</v>
          </cell>
          <cell r="M5121">
            <v>412.44</v>
          </cell>
          <cell r="O5121" t="str">
            <v>Y</v>
          </cell>
          <cell r="P5121" t="str">
            <v>N</v>
          </cell>
          <cell r="Q5121" t="str">
            <v>Vacancy</v>
          </cell>
          <cell r="S5121">
            <v>0.3</v>
          </cell>
        </row>
        <row r="5122">
          <cell r="D5122">
            <v>1208007860</v>
          </cell>
          <cell r="E5122" t="str">
            <v>LETECIA MENIANO</v>
          </cell>
          <cell r="F5122" t="str">
            <v>D (MD)</v>
          </cell>
          <cell r="G5122">
            <v>361117</v>
          </cell>
          <cell r="H5122" t="str">
            <v>Mayday</v>
          </cell>
          <cell r="I5122">
            <v>0.83333333333333337</v>
          </cell>
          <cell r="J5122">
            <v>0.33333333333333331</v>
          </cell>
          <cell r="K5122">
            <v>11.33333333</v>
          </cell>
          <cell r="L5122">
            <v>475.74</v>
          </cell>
          <cell r="O5122" t="str">
            <v>Y</v>
          </cell>
          <cell r="P5122" t="str">
            <v>N</v>
          </cell>
          <cell r="Q5122" t="str">
            <v>Extra Capacity</v>
          </cell>
          <cell r="S5122">
            <v>0.3</v>
          </cell>
        </row>
        <row r="5123">
          <cell r="D5123">
            <v>1208008033</v>
          </cell>
          <cell r="E5123" t="str">
            <v>MERCY SIBANDA</v>
          </cell>
          <cell r="F5123" t="str">
            <v>A (Ch)</v>
          </cell>
          <cell r="G5123">
            <v>17951</v>
          </cell>
          <cell r="H5123" t="str">
            <v>Choice</v>
          </cell>
          <cell r="I5123">
            <v>0.3125</v>
          </cell>
          <cell r="J5123">
            <v>0.64583333333333337</v>
          </cell>
          <cell r="K5123">
            <v>7.6666666670000003</v>
          </cell>
          <cell r="L5123">
            <v>85.02</v>
          </cell>
          <cell r="O5123" t="str">
            <v>Y</v>
          </cell>
          <cell r="P5123" t="str">
            <v>N</v>
          </cell>
          <cell r="Q5123" t="str">
            <v>Extra Capacity</v>
          </cell>
          <cell r="S5123">
            <v>0.2</v>
          </cell>
        </row>
        <row r="5124">
          <cell r="D5124">
            <v>1208008034</v>
          </cell>
          <cell r="E5124" t="str">
            <v>MERCY SIBANDA</v>
          </cell>
          <cell r="F5124" t="str">
            <v>A (Ch)</v>
          </cell>
          <cell r="G5124">
            <v>17951</v>
          </cell>
          <cell r="H5124" t="str">
            <v>Choice</v>
          </cell>
          <cell r="I5124">
            <v>0.64583333333333337</v>
          </cell>
          <cell r="J5124">
            <v>0.83333333333333337</v>
          </cell>
          <cell r="K5124">
            <v>4.5</v>
          </cell>
          <cell r="L5124">
            <v>49.91</v>
          </cell>
          <cell r="O5124" t="str">
            <v>Y</v>
          </cell>
          <cell r="P5124" t="str">
            <v>N</v>
          </cell>
          <cell r="Q5124" t="str">
            <v>Extra Capacity</v>
          </cell>
          <cell r="S5124">
            <v>0.12</v>
          </cell>
        </row>
        <row r="5125">
          <cell r="D5125">
            <v>1208007838</v>
          </cell>
          <cell r="E5125" t="str">
            <v>METTA SUNDAY</v>
          </cell>
          <cell r="F5125" t="str">
            <v>D (Amb)</v>
          </cell>
          <cell r="H5125" t="str">
            <v>Ambition</v>
          </cell>
          <cell r="I5125">
            <v>0.60416666666666663</v>
          </cell>
          <cell r="J5125">
            <v>0.85416666666666663</v>
          </cell>
          <cell r="K5125">
            <v>5.6666666670000003</v>
          </cell>
          <cell r="L5125">
            <v>221.57</v>
          </cell>
          <cell r="O5125" t="str">
            <v>Y</v>
          </cell>
          <cell r="P5125" t="str">
            <v>N</v>
          </cell>
          <cell r="Q5125" t="str">
            <v>Extra Capacity</v>
          </cell>
          <cell r="S5125">
            <v>0.15</v>
          </cell>
        </row>
        <row r="5126">
          <cell r="D5126">
            <v>1208005461</v>
          </cell>
          <cell r="E5126" t="str">
            <v>MZUKISI SPEELMAN</v>
          </cell>
          <cell r="F5126" t="str">
            <v>A (Ch)</v>
          </cell>
          <cell r="G5126">
            <v>17926</v>
          </cell>
          <cell r="H5126" t="str">
            <v>Choice</v>
          </cell>
          <cell r="I5126">
            <v>0.3125</v>
          </cell>
          <cell r="J5126">
            <v>0.5625</v>
          </cell>
          <cell r="K5126">
            <v>5.6666666670000003</v>
          </cell>
          <cell r="L5126">
            <v>62.84</v>
          </cell>
          <cell r="O5126" t="str">
            <v>Y</v>
          </cell>
          <cell r="P5126" t="str">
            <v>N</v>
          </cell>
          <cell r="Q5126" t="str">
            <v>Maternity Leave</v>
          </cell>
          <cell r="S5126">
            <v>0.15</v>
          </cell>
        </row>
        <row r="5127">
          <cell r="D5127">
            <v>1208005468</v>
          </cell>
          <cell r="E5127" t="str">
            <v>MZUKISI SPEELMAN</v>
          </cell>
          <cell r="F5127" t="str">
            <v>A (Ch)</v>
          </cell>
          <cell r="G5127">
            <v>17926</v>
          </cell>
          <cell r="H5127" t="str">
            <v>Choice</v>
          </cell>
          <cell r="I5127">
            <v>0.5625</v>
          </cell>
          <cell r="J5127">
            <v>0.85416666666666663</v>
          </cell>
          <cell r="K5127">
            <v>6.6666666670000003</v>
          </cell>
          <cell r="L5127">
            <v>73.930000000000007</v>
          </cell>
          <cell r="O5127" t="str">
            <v>Y</v>
          </cell>
          <cell r="P5127" t="str">
            <v>N</v>
          </cell>
          <cell r="Q5127" t="str">
            <v>Transfer</v>
          </cell>
          <cell r="S5127">
            <v>0.18</v>
          </cell>
        </row>
        <row r="5128">
          <cell r="D5128">
            <v>109001404</v>
          </cell>
          <cell r="E5128" t="str">
            <v>NILO DANUGO</v>
          </cell>
          <cell r="F5128" t="str">
            <v>D (Ch)</v>
          </cell>
          <cell r="H5128" t="str">
            <v>Choice</v>
          </cell>
          <cell r="I5128">
            <v>0.83333333333333337</v>
          </cell>
          <cell r="J5128">
            <v>0.33333333333333331</v>
          </cell>
          <cell r="K5128">
            <v>11.33333333</v>
          </cell>
          <cell r="L5128">
            <v>359.05</v>
          </cell>
          <cell r="O5128" t="str">
            <v>Y</v>
          </cell>
          <cell r="P5128" t="str">
            <v>N</v>
          </cell>
          <cell r="Q5128" t="str">
            <v>Extra Capacity</v>
          </cell>
          <cell r="S5128">
            <v>0.3</v>
          </cell>
        </row>
        <row r="5129">
          <cell r="D5129">
            <v>1208008023</v>
          </cell>
          <cell r="E5129" t="str">
            <v>PAT MTHETHWA</v>
          </cell>
          <cell r="F5129" t="str">
            <v>D (Ch)</v>
          </cell>
          <cell r="G5129">
            <v>17951</v>
          </cell>
          <cell r="H5129" t="str">
            <v>Choice</v>
          </cell>
          <cell r="I5129">
            <v>0.3125</v>
          </cell>
          <cell r="J5129">
            <v>0.64583333333333337</v>
          </cell>
          <cell r="K5129">
            <v>7.6666666670000003</v>
          </cell>
          <cell r="L5129">
            <v>186.84</v>
          </cell>
          <cell r="O5129" t="str">
            <v>Y</v>
          </cell>
          <cell r="P5129" t="str">
            <v>N</v>
          </cell>
          <cell r="Q5129" t="str">
            <v>Extra Capacity</v>
          </cell>
          <cell r="S5129">
            <v>0.2</v>
          </cell>
        </row>
        <row r="5130">
          <cell r="D5130">
            <v>1208008026</v>
          </cell>
          <cell r="E5130" t="str">
            <v>PAT MTHETHWA</v>
          </cell>
          <cell r="F5130" t="str">
            <v>D (Ch)</v>
          </cell>
          <cell r="G5130">
            <v>17951</v>
          </cell>
          <cell r="H5130" t="str">
            <v>Choice</v>
          </cell>
          <cell r="I5130">
            <v>0.64583333333333337</v>
          </cell>
          <cell r="J5130">
            <v>0.85416666666666663</v>
          </cell>
          <cell r="K5130">
            <v>5</v>
          </cell>
          <cell r="L5130">
            <v>121.85</v>
          </cell>
          <cell r="O5130" t="str">
            <v>Y</v>
          </cell>
          <cell r="P5130" t="str">
            <v>N</v>
          </cell>
          <cell r="Q5130" t="str">
            <v>Extra Capacity</v>
          </cell>
          <cell r="S5130">
            <v>0.13</v>
          </cell>
        </row>
        <row r="5131">
          <cell r="D5131">
            <v>109003152</v>
          </cell>
          <cell r="E5131" t="str">
            <v>RODA RAMERIZ</v>
          </cell>
          <cell r="F5131" t="str">
            <v>D (Ch)</v>
          </cell>
          <cell r="H5131" t="str">
            <v>Choice</v>
          </cell>
          <cell r="I5131">
            <v>0.8125</v>
          </cell>
          <cell r="J5131">
            <v>0.33333333333333331</v>
          </cell>
          <cell r="K5131">
            <v>11.83333333</v>
          </cell>
          <cell r="L5131">
            <v>374.89</v>
          </cell>
          <cell r="O5131" t="str">
            <v>Y</v>
          </cell>
          <cell r="P5131" t="str">
            <v>N</v>
          </cell>
          <cell r="Q5131" t="str">
            <v>Nurse Moved</v>
          </cell>
          <cell r="S5131">
            <v>0.32</v>
          </cell>
        </row>
        <row r="5132">
          <cell r="D5132">
            <v>1208005464</v>
          </cell>
          <cell r="E5132" t="str">
            <v>SHEPHERD CHIWANZA</v>
          </cell>
          <cell r="F5132" t="str">
            <v>A (Ch)</v>
          </cell>
          <cell r="G5132">
            <v>17926</v>
          </cell>
          <cell r="H5132" t="str">
            <v>Choice</v>
          </cell>
          <cell r="I5132">
            <v>0.3125</v>
          </cell>
          <cell r="J5132">
            <v>0.5625</v>
          </cell>
          <cell r="K5132">
            <v>5.6666666670000003</v>
          </cell>
          <cell r="L5132">
            <v>62.84</v>
          </cell>
          <cell r="O5132" t="str">
            <v>Y</v>
          </cell>
          <cell r="P5132" t="str">
            <v>N</v>
          </cell>
          <cell r="Q5132" t="str">
            <v>Annual Leave</v>
          </cell>
          <cell r="S5132">
            <v>0.15</v>
          </cell>
        </row>
        <row r="5133">
          <cell r="D5133">
            <v>1208005469</v>
          </cell>
          <cell r="E5133" t="str">
            <v>SHEPHERD CHIWANZA</v>
          </cell>
          <cell r="F5133" t="str">
            <v>A (Ch)</v>
          </cell>
          <cell r="G5133">
            <v>17926</v>
          </cell>
          <cell r="H5133" t="str">
            <v>Choice</v>
          </cell>
          <cell r="I5133">
            <v>0.5625</v>
          </cell>
          <cell r="J5133">
            <v>0.85416666666666663</v>
          </cell>
          <cell r="K5133">
            <v>6.6666666670000003</v>
          </cell>
          <cell r="L5133">
            <v>73.930000000000007</v>
          </cell>
          <cell r="O5133" t="str">
            <v>Y</v>
          </cell>
          <cell r="P5133" t="str">
            <v>N</v>
          </cell>
          <cell r="Q5133" t="str">
            <v>Maternity Leave</v>
          </cell>
          <cell r="S5133">
            <v>0.18</v>
          </cell>
        </row>
        <row r="5134">
          <cell r="D5134">
            <v>1208007837</v>
          </cell>
          <cell r="E5134" t="str">
            <v>SUSAN LEES</v>
          </cell>
          <cell r="F5134" t="str">
            <v>D (Amb)</v>
          </cell>
          <cell r="G5134">
            <v>777054</v>
          </cell>
          <cell r="H5134" t="str">
            <v>Ambition</v>
          </cell>
          <cell r="I5134">
            <v>0.60416666666666663</v>
          </cell>
          <cell r="J5134">
            <v>0.85416666666666663</v>
          </cell>
          <cell r="K5134">
            <v>5.6666666670000003</v>
          </cell>
          <cell r="L5134">
            <v>221.57</v>
          </cell>
          <cell r="O5134" t="str">
            <v>Y</v>
          </cell>
          <cell r="P5134" t="str">
            <v>N</v>
          </cell>
          <cell r="Q5134" t="str">
            <v>Extra Capacity</v>
          </cell>
          <cell r="S5134">
            <v>0.15</v>
          </cell>
        </row>
        <row r="5135">
          <cell r="D5135">
            <v>1208008036</v>
          </cell>
          <cell r="E5135" t="str">
            <v>TRUST CHIWUNDURA</v>
          </cell>
          <cell r="F5135" t="str">
            <v>A (Ch)</v>
          </cell>
          <cell r="G5135">
            <v>17951</v>
          </cell>
          <cell r="H5135" t="str">
            <v>Choice</v>
          </cell>
          <cell r="I5135">
            <v>0.83333333333333337</v>
          </cell>
          <cell r="J5135">
            <v>0.33333333333333331</v>
          </cell>
          <cell r="K5135">
            <v>11.33333333</v>
          </cell>
          <cell r="L5135">
            <v>167.58</v>
          </cell>
          <cell r="O5135" t="str">
            <v>Y</v>
          </cell>
          <cell r="P5135" t="str">
            <v>N</v>
          </cell>
          <cell r="Q5135" t="str">
            <v>Extra Capacity</v>
          </cell>
          <cell r="S5135">
            <v>0.3</v>
          </cell>
        </row>
        <row r="5136">
          <cell r="D5136">
            <v>109003151</v>
          </cell>
          <cell r="E5136" t="str">
            <v>VICTORIA ANIKINA</v>
          </cell>
          <cell r="F5136" t="str">
            <v>D (Amb)</v>
          </cell>
          <cell r="G5136">
            <v>776993</v>
          </cell>
          <cell r="H5136" t="str">
            <v>Ambition</v>
          </cell>
          <cell r="I5136">
            <v>0.3125</v>
          </cell>
          <cell r="J5136">
            <v>0.83333333333333337</v>
          </cell>
          <cell r="K5136">
            <v>11.83333333</v>
          </cell>
          <cell r="L5136">
            <v>462.68</v>
          </cell>
          <cell r="O5136" t="str">
            <v>Y</v>
          </cell>
          <cell r="P5136" t="str">
            <v>N</v>
          </cell>
          <cell r="Q5136" t="str">
            <v>Nurse Moved</v>
          </cell>
          <cell r="S5136">
            <v>0.32</v>
          </cell>
        </row>
        <row r="5137">
          <cell r="D5137">
            <v>1208007947</v>
          </cell>
          <cell r="E5137" t="str">
            <v>VICTORIA MAESTRANI</v>
          </cell>
          <cell r="F5137" t="str">
            <v>D (MD)</v>
          </cell>
          <cell r="G5137">
            <v>361137</v>
          </cell>
          <cell r="H5137" t="str">
            <v>Mayday</v>
          </cell>
          <cell r="I5137">
            <v>0.83333333333333337</v>
          </cell>
          <cell r="J5137">
            <v>0.33333333333333331</v>
          </cell>
          <cell r="K5137">
            <v>11.33333333</v>
          </cell>
          <cell r="L5137">
            <v>475.74</v>
          </cell>
          <cell r="O5137" t="str">
            <v>Y</v>
          </cell>
          <cell r="P5137" t="str">
            <v>N</v>
          </cell>
          <cell r="Q5137" t="str">
            <v>Vacancy</v>
          </cell>
          <cell r="S5137">
            <v>0.3</v>
          </cell>
        </row>
        <row r="5138">
          <cell r="D5138">
            <v>109002766</v>
          </cell>
          <cell r="E5138" t="str">
            <v>WEDZERO MATEWE</v>
          </cell>
          <cell r="F5138" t="str">
            <v>A (Ch)</v>
          </cell>
          <cell r="G5138">
            <v>17951</v>
          </cell>
          <cell r="H5138" t="str">
            <v>Choice</v>
          </cell>
          <cell r="I5138">
            <v>0.83333333333333337</v>
          </cell>
          <cell r="J5138">
            <v>0.33333333333333331</v>
          </cell>
          <cell r="K5138">
            <v>11.33333333</v>
          </cell>
          <cell r="L5138">
            <v>167.58</v>
          </cell>
          <cell r="O5138" t="str">
            <v>Y</v>
          </cell>
          <cell r="P5138" t="str">
            <v>N</v>
          </cell>
          <cell r="Q5138" t="str">
            <v>Extra Capacity</v>
          </cell>
          <cell r="S5138">
            <v>0.3</v>
          </cell>
        </row>
        <row r="5139">
          <cell r="D5139">
            <v>1208005192</v>
          </cell>
          <cell r="E5139" t="str">
            <v>ALAN CURTIS</v>
          </cell>
          <cell r="F5139" t="str">
            <v>D (MD)</v>
          </cell>
          <cell r="G5139">
            <v>363165</v>
          </cell>
          <cell r="H5139" t="str">
            <v>Mayday</v>
          </cell>
          <cell r="I5139">
            <v>0.3125</v>
          </cell>
          <cell r="J5139">
            <v>0.83333333333333337</v>
          </cell>
          <cell r="K5139">
            <v>11.83333333</v>
          </cell>
          <cell r="L5139">
            <v>382.1</v>
          </cell>
          <cell r="O5139" t="str">
            <v>Y</v>
          </cell>
          <cell r="P5139" t="str">
            <v>N</v>
          </cell>
          <cell r="Q5139" t="str">
            <v>Extra Capacity</v>
          </cell>
          <cell r="S5139">
            <v>0.32</v>
          </cell>
        </row>
        <row r="5140">
          <cell r="D5140">
            <v>1208007863</v>
          </cell>
          <cell r="E5140" t="str">
            <v>ALMA BAUTISTA</v>
          </cell>
          <cell r="F5140" t="str">
            <v>D (Ch)</v>
          </cell>
          <cell r="G5140">
            <v>17934</v>
          </cell>
          <cell r="H5140" t="str">
            <v>Choice</v>
          </cell>
          <cell r="I5140">
            <v>0.83333333333333337</v>
          </cell>
          <cell r="J5140">
            <v>0.33333333333333331</v>
          </cell>
          <cell r="K5140">
            <v>11.33333333</v>
          </cell>
          <cell r="L5140">
            <v>359.05</v>
          </cell>
          <cell r="O5140" t="str">
            <v>Y</v>
          </cell>
          <cell r="P5140" t="str">
            <v>N</v>
          </cell>
          <cell r="Q5140" t="str">
            <v>Extra Capacity</v>
          </cell>
          <cell r="S5140">
            <v>0.3</v>
          </cell>
        </row>
        <row r="5141">
          <cell r="D5141">
            <v>1208006593</v>
          </cell>
          <cell r="E5141" t="str">
            <v>ATINUKE OKE-OLATUNDE</v>
          </cell>
          <cell r="F5141" t="str">
            <v>D (MD)</v>
          </cell>
          <cell r="G5141">
            <v>365297</v>
          </cell>
          <cell r="H5141" t="str">
            <v>Mayday</v>
          </cell>
          <cell r="I5141">
            <v>0.84375</v>
          </cell>
          <cell r="J5141">
            <v>0.3125</v>
          </cell>
          <cell r="K5141">
            <v>10.25</v>
          </cell>
          <cell r="L5141">
            <v>430.26</v>
          </cell>
          <cell r="O5141" t="str">
            <v>Y</v>
          </cell>
          <cell r="P5141" t="str">
            <v>N</v>
          </cell>
          <cell r="Q5141" t="str">
            <v>Vacancy</v>
          </cell>
          <cell r="S5141">
            <v>0.27</v>
          </cell>
        </row>
        <row r="5142">
          <cell r="D5142">
            <v>1208004617</v>
          </cell>
          <cell r="E5142" t="str">
            <v>BERNADETTE SHINYA-NDUNUWANI</v>
          </cell>
          <cell r="F5142" t="str">
            <v>D (MD)</v>
          </cell>
          <cell r="G5142">
            <v>359994</v>
          </cell>
          <cell r="H5142" t="str">
            <v>Mayday</v>
          </cell>
          <cell r="I5142">
            <v>0.3125</v>
          </cell>
          <cell r="J5142">
            <v>0.54166666666666663</v>
          </cell>
          <cell r="K5142">
            <v>5.5</v>
          </cell>
          <cell r="L5142">
            <v>177.59</v>
          </cell>
          <cell r="O5142" t="str">
            <v>Y</v>
          </cell>
          <cell r="P5142" t="str">
            <v>N</v>
          </cell>
          <cell r="Q5142" t="str">
            <v>Vacancy</v>
          </cell>
          <cell r="S5142">
            <v>0.15</v>
          </cell>
        </row>
        <row r="5143">
          <cell r="D5143">
            <v>1208004618</v>
          </cell>
          <cell r="E5143" t="str">
            <v>BERNADETTE SHINYA-NDUNUWANI</v>
          </cell>
          <cell r="F5143" t="str">
            <v>D (MD)</v>
          </cell>
          <cell r="G5143">
            <v>359994</v>
          </cell>
          <cell r="H5143" t="str">
            <v>Mayday</v>
          </cell>
          <cell r="I5143">
            <v>0.625</v>
          </cell>
          <cell r="J5143">
            <v>0.85416666666666663</v>
          </cell>
          <cell r="K5143">
            <v>5.5</v>
          </cell>
          <cell r="L5143">
            <v>177.59</v>
          </cell>
          <cell r="O5143" t="str">
            <v>Y</v>
          </cell>
          <cell r="P5143" t="str">
            <v>N</v>
          </cell>
          <cell r="Q5143" t="str">
            <v>Vacancy</v>
          </cell>
          <cell r="S5143">
            <v>0.15</v>
          </cell>
        </row>
        <row r="5144">
          <cell r="D5144">
            <v>1208006594</v>
          </cell>
          <cell r="E5144" t="str">
            <v>BIDDY CHAFESUKA</v>
          </cell>
          <cell r="F5144" t="str">
            <v>D (Ch)</v>
          </cell>
          <cell r="H5144" t="str">
            <v>Choice</v>
          </cell>
          <cell r="I5144">
            <v>0.84375</v>
          </cell>
          <cell r="J5144">
            <v>0.3125</v>
          </cell>
          <cell r="K5144">
            <v>10.25</v>
          </cell>
          <cell r="L5144">
            <v>324.73</v>
          </cell>
          <cell r="O5144" t="str">
            <v>Y</v>
          </cell>
          <cell r="P5144" t="str">
            <v>N</v>
          </cell>
          <cell r="Q5144" t="str">
            <v>Vacancy</v>
          </cell>
          <cell r="S5144">
            <v>0.27</v>
          </cell>
        </row>
        <row r="5145">
          <cell r="D5145">
            <v>109004004</v>
          </cell>
          <cell r="E5145" t="str">
            <v>BRENDA GWEKWERERE</v>
          </cell>
          <cell r="F5145" t="str">
            <v>D (Ch)</v>
          </cell>
          <cell r="G5145">
            <v>17926</v>
          </cell>
          <cell r="H5145" t="str">
            <v>Choice</v>
          </cell>
          <cell r="I5145">
            <v>0.5625</v>
          </cell>
          <cell r="J5145">
            <v>0.85416666666666663</v>
          </cell>
          <cell r="K5145">
            <v>6.6666666670000003</v>
          </cell>
          <cell r="L5145">
            <v>162.47</v>
          </cell>
          <cell r="O5145" t="str">
            <v>Y</v>
          </cell>
          <cell r="P5145" t="str">
            <v>N</v>
          </cell>
          <cell r="Q5145" t="str">
            <v>Acuity</v>
          </cell>
          <cell r="S5145">
            <v>0.18</v>
          </cell>
        </row>
        <row r="5146">
          <cell r="D5146">
            <v>1208004783</v>
          </cell>
          <cell r="E5146" t="str">
            <v>CHRIS STULAR</v>
          </cell>
          <cell r="F5146" t="str">
            <v>D General (Orio</v>
          </cell>
          <cell r="G5146" t="str">
            <v>Invsd Smt checked</v>
          </cell>
          <cell r="H5146" t="str">
            <v>Orion</v>
          </cell>
          <cell r="I5146">
            <v>0.33333333333333331</v>
          </cell>
          <cell r="J5146">
            <v>0.75</v>
          </cell>
          <cell r="K5146">
            <v>9.5</v>
          </cell>
          <cell r="L5146">
            <v>172.14</v>
          </cell>
          <cell r="O5146" t="str">
            <v>Y</v>
          </cell>
          <cell r="P5146" t="str">
            <v>N</v>
          </cell>
          <cell r="Q5146" t="str">
            <v>Backfill</v>
          </cell>
          <cell r="S5146">
            <v>0.25</v>
          </cell>
        </row>
        <row r="5147">
          <cell r="D5147">
            <v>1208007247</v>
          </cell>
          <cell r="E5147" t="str">
            <v>CYNTHIA DELMO</v>
          </cell>
          <cell r="F5147" t="str">
            <v>D (Ch)</v>
          </cell>
          <cell r="G5147">
            <v>17930</v>
          </cell>
          <cell r="H5147" t="str">
            <v>Choice</v>
          </cell>
          <cell r="I5147">
            <v>0.82291666666666663</v>
          </cell>
          <cell r="J5147">
            <v>0.34375</v>
          </cell>
          <cell r="K5147">
            <v>11.5</v>
          </cell>
          <cell r="L5147">
            <v>364.33</v>
          </cell>
          <cell r="M5147">
            <v>297.88</v>
          </cell>
          <cell r="O5147" t="str">
            <v>Y</v>
          </cell>
          <cell r="P5147" t="str">
            <v>N</v>
          </cell>
          <cell r="Q5147" t="str">
            <v>Vacancy</v>
          </cell>
          <cell r="S5147">
            <v>0.31</v>
          </cell>
        </row>
        <row r="5148">
          <cell r="D5148">
            <v>109002057</v>
          </cell>
          <cell r="E5148" t="str">
            <v>DEBBIE MVERCHENA</v>
          </cell>
          <cell r="F5148" t="str">
            <v>5 Mental (Advan</v>
          </cell>
          <cell r="G5148">
            <v>1419777</v>
          </cell>
          <cell r="H5148" t="str">
            <v>Advantage</v>
          </cell>
          <cell r="I5148">
            <v>0.83333333333333337</v>
          </cell>
          <cell r="J5148">
            <v>0.33333333333333331</v>
          </cell>
          <cell r="K5148">
            <v>11.33333333</v>
          </cell>
          <cell r="L5148">
            <v>260.77999999999997</v>
          </cell>
          <cell r="O5148" t="str">
            <v>Y</v>
          </cell>
          <cell r="P5148" t="str">
            <v>N</v>
          </cell>
          <cell r="Q5148" t="str">
            <v>Vacancy</v>
          </cell>
          <cell r="S5148">
            <v>0.3</v>
          </cell>
        </row>
        <row r="5149">
          <cell r="D5149">
            <v>109000584</v>
          </cell>
          <cell r="E5149" t="str">
            <v>DIGRACIA  NAPE</v>
          </cell>
          <cell r="F5149" t="str">
            <v>D (MD)</v>
          </cell>
          <cell r="G5149">
            <v>360927</v>
          </cell>
          <cell r="H5149" t="str">
            <v>Mayday</v>
          </cell>
          <cell r="I5149">
            <v>0.5625</v>
          </cell>
          <cell r="J5149">
            <v>0.85416666666666663</v>
          </cell>
          <cell r="K5149">
            <v>6.6666666670000003</v>
          </cell>
          <cell r="L5149">
            <v>215.27</v>
          </cell>
          <cell r="O5149" t="str">
            <v>Y</v>
          </cell>
          <cell r="P5149" t="str">
            <v>N</v>
          </cell>
          <cell r="Q5149" t="str">
            <v>Vacancy</v>
          </cell>
          <cell r="S5149">
            <v>0.18</v>
          </cell>
        </row>
        <row r="5150">
          <cell r="D5150">
            <v>1208005472</v>
          </cell>
          <cell r="E5150" t="str">
            <v>DIGRACIA  NAPE</v>
          </cell>
          <cell r="F5150" t="str">
            <v>D (MD)</v>
          </cell>
          <cell r="G5150">
            <v>360926</v>
          </cell>
          <cell r="H5150" t="str">
            <v>Mayday</v>
          </cell>
          <cell r="I5150">
            <v>0.3125</v>
          </cell>
          <cell r="J5150">
            <v>0.5625</v>
          </cell>
          <cell r="K5150">
            <v>5.6666666670000003</v>
          </cell>
          <cell r="L5150">
            <v>182.98</v>
          </cell>
          <cell r="O5150" t="str">
            <v>Y</v>
          </cell>
          <cell r="P5150" t="str">
            <v>N</v>
          </cell>
          <cell r="Q5150" t="str">
            <v>Annual Leave</v>
          </cell>
          <cell r="S5150">
            <v>0.15</v>
          </cell>
        </row>
        <row r="5151">
          <cell r="D5151">
            <v>1208005478</v>
          </cell>
          <cell r="E5151" t="str">
            <v>DOROTHY MUTEMWA</v>
          </cell>
          <cell r="F5151" t="str">
            <v>A (Ch)</v>
          </cell>
          <cell r="H5151" t="str">
            <v>Choice</v>
          </cell>
          <cell r="I5151">
            <v>0.3125</v>
          </cell>
          <cell r="J5151">
            <v>0.5625</v>
          </cell>
          <cell r="K5151">
            <v>5.6666666670000003</v>
          </cell>
          <cell r="L5151">
            <v>62.84</v>
          </cell>
          <cell r="O5151" t="str">
            <v>Y</v>
          </cell>
          <cell r="P5151" t="str">
            <v>N</v>
          </cell>
          <cell r="Q5151" t="str">
            <v>Vacancy</v>
          </cell>
          <cell r="S5151">
            <v>0.15</v>
          </cell>
        </row>
        <row r="5152">
          <cell r="D5152">
            <v>1208005485</v>
          </cell>
          <cell r="E5152" t="str">
            <v>DOROTHY MUTEMWA</v>
          </cell>
          <cell r="F5152" t="str">
            <v>A (Ch)</v>
          </cell>
          <cell r="H5152" t="str">
            <v>Choice</v>
          </cell>
          <cell r="I5152">
            <v>0.5625</v>
          </cell>
          <cell r="J5152">
            <v>0.85416666666666663</v>
          </cell>
          <cell r="K5152">
            <v>6.6666666670000003</v>
          </cell>
          <cell r="L5152">
            <v>73.930000000000007</v>
          </cell>
          <cell r="O5152" t="str">
            <v>Y</v>
          </cell>
          <cell r="P5152" t="str">
            <v>N</v>
          </cell>
          <cell r="Q5152" t="str">
            <v>Under Established</v>
          </cell>
          <cell r="S5152">
            <v>0.18</v>
          </cell>
        </row>
        <row r="5153">
          <cell r="D5153">
            <v>109001401</v>
          </cell>
          <cell r="E5153" t="str">
            <v>EDMA ITALIA</v>
          </cell>
          <cell r="F5153" t="str">
            <v>D (Ch)</v>
          </cell>
          <cell r="G5153">
            <v>17932</v>
          </cell>
          <cell r="H5153" t="str">
            <v>Choice</v>
          </cell>
          <cell r="I5153">
            <v>0.83333333333333337</v>
          </cell>
          <cell r="J5153">
            <v>0.33333333333333331</v>
          </cell>
          <cell r="K5153">
            <v>11.33333333</v>
          </cell>
          <cell r="L5153">
            <v>359.05</v>
          </cell>
          <cell r="O5153" t="str">
            <v>Y</v>
          </cell>
          <cell r="P5153" t="str">
            <v>N</v>
          </cell>
          <cell r="Q5153" t="str">
            <v>Extra Capacity</v>
          </cell>
          <cell r="S5153">
            <v>0.3</v>
          </cell>
        </row>
        <row r="5154">
          <cell r="D5154">
            <v>109001398</v>
          </cell>
          <cell r="E5154" t="str">
            <v>EMMANUEL SALAKO</v>
          </cell>
          <cell r="F5154" t="str">
            <v>D (MD)</v>
          </cell>
          <cell r="G5154">
            <v>360924</v>
          </cell>
          <cell r="H5154" t="str">
            <v>Mayday</v>
          </cell>
          <cell r="I5154">
            <v>0.3125</v>
          </cell>
          <cell r="J5154">
            <v>0.5625</v>
          </cell>
          <cell r="K5154">
            <v>5.6666666670000003</v>
          </cell>
          <cell r="L5154">
            <v>182.98</v>
          </cell>
          <cell r="O5154" t="str">
            <v>Y</v>
          </cell>
          <cell r="P5154" t="str">
            <v>N</v>
          </cell>
          <cell r="Q5154" t="str">
            <v>Extra Capacity</v>
          </cell>
          <cell r="S5154">
            <v>0.15</v>
          </cell>
        </row>
        <row r="5155">
          <cell r="D5155">
            <v>109001400</v>
          </cell>
          <cell r="E5155" t="str">
            <v>EMMANUEL SALAKO</v>
          </cell>
          <cell r="F5155" t="str">
            <v>D (MD)</v>
          </cell>
          <cell r="G5155">
            <v>360924</v>
          </cell>
          <cell r="H5155" t="str">
            <v>Mayday</v>
          </cell>
          <cell r="I5155">
            <v>0.5625</v>
          </cell>
          <cell r="J5155">
            <v>0.85416666666666663</v>
          </cell>
          <cell r="K5155">
            <v>6.6666666670000003</v>
          </cell>
          <cell r="L5155">
            <v>215.27</v>
          </cell>
          <cell r="O5155" t="str">
            <v>Y</v>
          </cell>
          <cell r="P5155" t="str">
            <v>N</v>
          </cell>
          <cell r="Q5155" t="str">
            <v>Extra Capacity</v>
          </cell>
          <cell r="S5155">
            <v>0.18</v>
          </cell>
        </row>
        <row r="5156">
          <cell r="D5156">
            <v>1208008045</v>
          </cell>
          <cell r="E5156" t="str">
            <v>EUNICE ADEBANJO</v>
          </cell>
          <cell r="F5156" t="str">
            <v>D (Ch)</v>
          </cell>
          <cell r="G5156">
            <v>18025</v>
          </cell>
          <cell r="H5156" t="str">
            <v>Choice</v>
          </cell>
          <cell r="I5156">
            <v>0.83333333333333337</v>
          </cell>
          <cell r="J5156">
            <v>0.33333333333333331</v>
          </cell>
          <cell r="K5156">
            <v>11.33333333</v>
          </cell>
          <cell r="L5156">
            <v>359.05</v>
          </cell>
          <cell r="O5156" t="str">
            <v>Y</v>
          </cell>
          <cell r="P5156" t="str">
            <v>N</v>
          </cell>
          <cell r="Q5156" t="str">
            <v>Extra Capacity</v>
          </cell>
          <cell r="S5156">
            <v>0.3</v>
          </cell>
        </row>
        <row r="5157">
          <cell r="D5157">
            <v>109000582</v>
          </cell>
          <cell r="E5157" t="str">
            <v>FIONA DURKIN-GREER</v>
          </cell>
          <cell r="F5157" t="str">
            <v>D (MD)</v>
          </cell>
          <cell r="G5157">
            <v>366871</v>
          </cell>
          <cell r="H5157" t="str">
            <v>Mayday</v>
          </cell>
          <cell r="I5157">
            <v>0.5625</v>
          </cell>
          <cell r="J5157">
            <v>0.85416666666666663</v>
          </cell>
          <cell r="K5157">
            <v>6.6666666670000003</v>
          </cell>
          <cell r="L5157">
            <v>215.27</v>
          </cell>
          <cell r="O5157" t="str">
            <v>Y</v>
          </cell>
          <cell r="P5157" t="str">
            <v>N</v>
          </cell>
          <cell r="Q5157" t="str">
            <v>Vacancy</v>
          </cell>
          <cell r="S5157">
            <v>0.18</v>
          </cell>
        </row>
        <row r="5158">
          <cell r="D5158">
            <v>1208005475</v>
          </cell>
          <cell r="E5158" t="str">
            <v>GEORGE MALETE</v>
          </cell>
          <cell r="F5158" t="str">
            <v>A (Ch)</v>
          </cell>
          <cell r="G5158">
            <v>17926</v>
          </cell>
          <cell r="H5158" t="str">
            <v>Choice</v>
          </cell>
          <cell r="I5158">
            <v>0.3125</v>
          </cell>
          <cell r="J5158">
            <v>0.5625</v>
          </cell>
          <cell r="K5158">
            <v>5.6666666670000003</v>
          </cell>
          <cell r="L5158">
            <v>62.84</v>
          </cell>
          <cell r="O5158" t="str">
            <v>Y</v>
          </cell>
          <cell r="P5158" t="str">
            <v>N</v>
          </cell>
          <cell r="Q5158" t="str">
            <v>Under Established</v>
          </cell>
          <cell r="S5158">
            <v>0.15</v>
          </cell>
        </row>
        <row r="5159">
          <cell r="D5159">
            <v>109001402</v>
          </cell>
          <cell r="E5159" t="str">
            <v>GLENDA RONA</v>
          </cell>
          <cell r="F5159" t="str">
            <v>D (Ch)</v>
          </cell>
          <cell r="G5159">
            <v>18019</v>
          </cell>
          <cell r="H5159" t="str">
            <v>Choice</v>
          </cell>
          <cell r="I5159">
            <v>0.83333333333333337</v>
          </cell>
          <cell r="J5159">
            <v>0.33333333333333331</v>
          </cell>
          <cell r="K5159">
            <v>11.33333333</v>
          </cell>
          <cell r="L5159">
            <v>359.05</v>
          </cell>
          <cell r="O5159" t="str">
            <v>Y</v>
          </cell>
          <cell r="P5159" t="str">
            <v>N</v>
          </cell>
          <cell r="Q5159" t="str">
            <v>Extra Capacity</v>
          </cell>
          <cell r="S5159">
            <v>0.3</v>
          </cell>
        </row>
        <row r="5160">
          <cell r="D5160">
            <v>1208005857</v>
          </cell>
          <cell r="E5160" t="str">
            <v>HILDA SHANGE</v>
          </cell>
          <cell r="F5160" t="str">
            <v>D (Ch)</v>
          </cell>
          <cell r="G5160">
            <v>17923</v>
          </cell>
          <cell r="H5160" t="str">
            <v>Choice</v>
          </cell>
          <cell r="I5160">
            <v>0.88541666666666663</v>
          </cell>
          <cell r="J5160">
            <v>0.30208333333333331</v>
          </cell>
          <cell r="K5160">
            <v>9.6666666669999994</v>
          </cell>
          <cell r="L5160">
            <v>306.25</v>
          </cell>
          <cell r="O5160" t="str">
            <v>Y</v>
          </cell>
          <cell r="P5160" t="str">
            <v>N</v>
          </cell>
          <cell r="Q5160" t="str">
            <v>Extra Capacity</v>
          </cell>
          <cell r="S5160">
            <v>0.26</v>
          </cell>
        </row>
        <row r="5161">
          <cell r="D5161">
            <v>109003611</v>
          </cell>
          <cell r="E5161" t="str">
            <v>JAKE BROOKES</v>
          </cell>
          <cell r="F5161" t="str">
            <v>D General (Orio</v>
          </cell>
          <cell r="G5161" t="str">
            <v>Invsd Smt checked</v>
          </cell>
          <cell r="H5161" t="str">
            <v>Orion</v>
          </cell>
          <cell r="I5161">
            <v>0.33333333333333331</v>
          </cell>
          <cell r="J5161">
            <v>0.75</v>
          </cell>
          <cell r="K5161">
            <v>9.6666666669999994</v>
          </cell>
          <cell r="L5161">
            <v>175.16</v>
          </cell>
          <cell r="O5161" t="str">
            <v>Y</v>
          </cell>
          <cell r="P5161" t="str">
            <v>N</v>
          </cell>
          <cell r="Q5161" t="str">
            <v>Long Term Sick</v>
          </cell>
          <cell r="S5161">
            <v>0.26</v>
          </cell>
        </row>
        <row r="5162">
          <cell r="D5162">
            <v>109001397</v>
          </cell>
          <cell r="E5162" t="str">
            <v>JAMES MCCLEMENTS</v>
          </cell>
          <cell r="F5162" t="str">
            <v>D (MD)</v>
          </cell>
          <cell r="G5162">
            <v>360919</v>
          </cell>
          <cell r="H5162" t="str">
            <v>Mayday</v>
          </cell>
          <cell r="I5162">
            <v>0.3125</v>
          </cell>
          <cell r="J5162">
            <v>0.5625</v>
          </cell>
          <cell r="K5162">
            <v>5.6666666670000003</v>
          </cell>
          <cell r="L5162">
            <v>182.98</v>
          </cell>
          <cell r="O5162" t="str">
            <v>Y</v>
          </cell>
          <cell r="P5162" t="str">
            <v>N</v>
          </cell>
          <cell r="Q5162" t="str">
            <v>Extra Capacity</v>
          </cell>
          <cell r="S5162">
            <v>0.15</v>
          </cell>
        </row>
        <row r="5163">
          <cell r="D5163">
            <v>1208007862</v>
          </cell>
          <cell r="E5163" t="str">
            <v>JASON WENT</v>
          </cell>
          <cell r="F5163" t="str">
            <v>D / 5 General (</v>
          </cell>
          <cell r="G5163" t="str">
            <v>604-165624</v>
          </cell>
          <cell r="H5163" t="str">
            <v>Blue Arrow</v>
          </cell>
          <cell r="I5163">
            <v>0.83333333333333337</v>
          </cell>
          <cell r="J5163">
            <v>0.33333333333333331</v>
          </cell>
          <cell r="K5163">
            <v>11.33333333</v>
          </cell>
          <cell r="L5163">
            <v>248.7</v>
          </cell>
          <cell r="O5163" t="str">
            <v>Y</v>
          </cell>
          <cell r="P5163" t="str">
            <v>N</v>
          </cell>
          <cell r="Q5163" t="str">
            <v>Extra Capacity</v>
          </cell>
          <cell r="S5163">
            <v>0.3</v>
          </cell>
        </row>
        <row r="5164">
          <cell r="D5164">
            <v>109003559</v>
          </cell>
          <cell r="E5164" t="str">
            <v>JESSICA PINSON</v>
          </cell>
          <cell r="F5164" t="str">
            <v>D (Ch)</v>
          </cell>
          <cell r="G5164">
            <v>17939</v>
          </cell>
          <cell r="H5164" t="str">
            <v>Choice</v>
          </cell>
          <cell r="I5164">
            <v>0.3125</v>
          </cell>
          <cell r="J5164">
            <v>0.5625</v>
          </cell>
          <cell r="K5164">
            <v>5.6666666670000003</v>
          </cell>
          <cell r="L5164">
            <v>138.1</v>
          </cell>
          <cell r="O5164" t="str">
            <v>Y</v>
          </cell>
          <cell r="P5164" t="str">
            <v>N</v>
          </cell>
          <cell r="Q5164" t="str">
            <v>Vacancy</v>
          </cell>
          <cell r="S5164">
            <v>0.15</v>
          </cell>
        </row>
        <row r="5165">
          <cell r="D5165">
            <v>109003826</v>
          </cell>
          <cell r="E5165" t="str">
            <v>JESSICA PINSON</v>
          </cell>
          <cell r="F5165" t="str">
            <v>D (Ch)</v>
          </cell>
          <cell r="H5165" t="str">
            <v>Choice</v>
          </cell>
          <cell r="I5165">
            <v>0.5625</v>
          </cell>
          <cell r="J5165">
            <v>0.85416666666666663</v>
          </cell>
          <cell r="K5165">
            <v>6.6666666670000003</v>
          </cell>
          <cell r="L5165">
            <v>162.47</v>
          </cell>
          <cell r="O5165" t="str">
            <v>Y</v>
          </cell>
          <cell r="P5165" t="str">
            <v>N</v>
          </cell>
          <cell r="Q5165" t="str">
            <v>Extra Capacity</v>
          </cell>
          <cell r="S5165">
            <v>0.18</v>
          </cell>
        </row>
        <row r="5166">
          <cell r="D5166">
            <v>109004048</v>
          </cell>
          <cell r="E5166" t="str">
            <v>JOELIS PASCUA</v>
          </cell>
          <cell r="F5166" t="str">
            <v>D (Ch)</v>
          </cell>
          <cell r="G5166">
            <v>18022</v>
          </cell>
          <cell r="H5166" t="str">
            <v>Choice</v>
          </cell>
          <cell r="I5166">
            <v>0.8125</v>
          </cell>
          <cell r="J5166">
            <v>0.33333333333333331</v>
          </cell>
          <cell r="K5166">
            <v>11.83333333</v>
          </cell>
          <cell r="L5166">
            <v>374.89</v>
          </cell>
          <cell r="O5166" t="str">
            <v>Y</v>
          </cell>
          <cell r="P5166" t="str">
            <v>N</v>
          </cell>
          <cell r="Q5166" t="str">
            <v>Nurse Moved</v>
          </cell>
          <cell r="S5166">
            <v>0.32</v>
          </cell>
        </row>
        <row r="5167">
          <cell r="D5167">
            <v>1208007865</v>
          </cell>
          <cell r="E5167" t="str">
            <v>JOHANA VELASCO</v>
          </cell>
          <cell r="F5167" t="str">
            <v>D (Ch)</v>
          </cell>
          <cell r="G5167">
            <v>17931</v>
          </cell>
          <cell r="H5167" t="str">
            <v>Choice</v>
          </cell>
          <cell r="I5167">
            <v>0.83333333333333337</v>
          </cell>
          <cell r="J5167">
            <v>0.33333333333333331</v>
          </cell>
          <cell r="K5167">
            <v>11.33333333</v>
          </cell>
          <cell r="L5167">
            <v>359.05</v>
          </cell>
          <cell r="O5167" t="str">
            <v>Y</v>
          </cell>
          <cell r="P5167" t="str">
            <v>N</v>
          </cell>
          <cell r="Q5167" t="str">
            <v>Extra Capacity</v>
          </cell>
          <cell r="S5167">
            <v>0.3</v>
          </cell>
        </row>
        <row r="5168">
          <cell r="D5168">
            <v>109000008</v>
          </cell>
          <cell r="E5168" t="str">
            <v>JOSEPH BASS</v>
          </cell>
          <cell r="F5168" t="str">
            <v>D (MD)</v>
          </cell>
          <cell r="G5168">
            <v>362330</v>
          </cell>
          <cell r="H5168" t="str">
            <v>Mayday</v>
          </cell>
          <cell r="I5168">
            <v>0.83333333333333337</v>
          </cell>
          <cell r="J5168">
            <v>0.33333333333333331</v>
          </cell>
          <cell r="K5168">
            <v>11.33333333</v>
          </cell>
          <cell r="L5168">
            <v>475.74</v>
          </cell>
          <cell r="O5168" t="str">
            <v>Y</v>
          </cell>
          <cell r="P5168" t="str">
            <v>N</v>
          </cell>
          <cell r="Q5168" t="str">
            <v>Under Established</v>
          </cell>
          <cell r="S5168">
            <v>0.3</v>
          </cell>
        </row>
        <row r="5169">
          <cell r="D5169">
            <v>1208005473</v>
          </cell>
          <cell r="E5169" t="str">
            <v>KAREN STRUDWICK</v>
          </cell>
          <cell r="F5169" t="str">
            <v>D (Ch)</v>
          </cell>
          <cell r="H5169" t="str">
            <v>Choice</v>
          </cell>
          <cell r="I5169">
            <v>0.3125</v>
          </cell>
          <cell r="J5169">
            <v>0.5625</v>
          </cell>
          <cell r="K5169">
            <v>5.6666666670000003</v>
          </cell>
          <cell r="L5169">
            <v>138.1</v>
          </cell>
          <cell r="O5169" t="str">
            <v>Y</v>
          </cell>
          <cell r="P5169" t="str">
            <v>N</v>
          </cell>
          <cell r="Q5169" t="str">
            <v>Annual Leave</v>
          </cell>
          <cell r="S5169">
            <v>0.15</v>
          </cell>
        </row>
        <row r="5170">
          <cell r="D5170">
            <v>1208005483</v>
          </cell>
          <cell r="E5170" t="str">
            <v>KAREN STRUDWICK</v>
          </cell>
          <cell r="F5170" t="str">
            <v>D (Ch)</v>
          </cell>
          <cell r="H5170" t="str">
            <v>Choice</v>
          </cell>
          <cell r="I5170">
            <v>0.5625</v>
          </cell>
          <cell r="J5170">
            <v>0.85416666666666663</v>
          </cell>
          <cell r="K5170">
            <v>6.6666666670000003</v>
          </cell>
          <cell r="L5170">
            <v>162.47</v>
          </cell>
          <cell r="O5170" t="str">
            <v>Y</v>
          </cell>
          <cell r="P5170" t="str">
            <v>N</v>
          </cell>
          <cell r="Q5170" t="str">
            <v>Under Established</v>
          </cell>
          <cell r="S5170">
            <v>0.18</v>
          </cell>
        </row>
        <row r="5171">
          <cell r="D5171">
            <v>109003399</v>
          </cell>
          <cell r="E5171" t="str">
            <v>MARIAN BRADBURY</v>
          </cell>
          <cell r="F5171" t="str">
            <v>D (Amb)</v>
          </cell>
          <cell r="G5171">
            <v>776989</v>
          </cell>
          <cell r="H5171" t="str">
            <v>Ambition</v>
          </cell>
          <cell r="I5171">
            <v>0.3125</v>
          </cell>
          <cell r="J5171">
            <v>0.83333333333333337</v>
          </cell>
          <cell r="K5171">
            <v>11.83333333</v>
          </cell>
          <cell r="L5171">
            <v>462.68</v>
          </cell>
          <cell r="O5171" t="str">
            <v>Y</v>
          </cell>
          <cell r="P5171" t="str">
            <v>N</v>
          </cell>
          <cell r="Q5171" t="str">
            <v>Extra Capacity</v>
          </cell>
          <cell r="S5171">
            <v>0.32</v>
          </cell>
        </row>
        <row r="5172">
          <cell r="D5172">
            <v>109000585</v>
          </cell>
          <cell r="E5172" t="str">
            <v>MERCY SIBANDA</v>
          </cell>
          <cell r="F5172" t="str">
            <v>A (Ch)</v>
          </cell>
          <cell r="G5172">
            <v>17926</v>
          </cell>
          <cell r="H5172" t="str">
            <v>Choice</v>
          </cell>
          <cell r="I5172">
            <v>0.5625</v>
          </cell>
          <cell r="J5172">
            <v>0.85416666666666663</v>
          </cell>
          <cell r="K5172">
            <v>6.6666666670000003</v>
          </cell>
          <cell r="L5172">
            <v>73.930000000000007</v>
          </cell>
          <cell r="O5172" t="str">
            <v>Y</v>
          </cell>
          <cell r="P5172" t="str">
            <v>N</v>
          </cell>
          <cell r="Q5172" t="str">
            <v>Vacancy</v>
          </cell>
          <cell r="S5172">
            <v>0.18</v>
          </cell>
        </row>
        <row r="5173">
          <cell r="D5173">
            <v>1208008042</v>
          </cell>
          <cell r="E5173" t="str">
            <v>MICHAEL OKE</v>
          </cell>
          <cell r="F5173" t="str">
            <v>A (Ch)</v>
          </cell>
          <cell r="H5173" t="str">
            <v>Choice</v>
          </cell>
          <cell r="I5173">
            <v>0.64583333333333337</v>
          </cell>
          <cell r="J5173">
            <v>0.83333333333333337</v>
          </cell>
          <cell r="K5173">
            <v>4.5</v>
          </cell>
          <cell r="L5173">
            <v>49.91</v>
          </cell>
          <cell r="O5173" t="str">
            <v>Y</v>
          </cell>
          <cell r="P5173" t="str">
            <v>N</v>
          </cell>
          <cell r="Q5173" t="str">
            <v>Extra Capacity</v>
          </cell>
          <cell r="S5173">
            <v>0.12</v>
          </cell>
        </row>
        <row r="5174">
          <cell r="D5174">
            <v>1208007805</v>
          </cell>
          <cell r="E5174" t="str">
            <v>MIHAELA CHIRIBAU</v>
          </cell>
          <cell r="F5174" t="str">
            <v>D (Amb)</v>
          </cell>
          <cell r="G5174">
            <v>777101</v>
          </cell>
          <cell r="H5174" t="str">
            <v>Ambition</v>
          </cell>
          <cell r="I5174">
            <v>0.3125</v>
          </cell>
          <cell r="J5174">
            <v>0.60416666666666663</v>
          </cell>
          <cell r="K5174">
            <v>6.6666666670000003</v>
          </cell>
          <cell r="L5174">
            <v>260.67</v>
          </cell>
          <cell r="O5174" t="str">
            <v>Y</v>
          </cell>
          <cell r="P5174" t="str">
            <v>N</v>
          </cell>
          <cell r="Q5174" t="str">
            <v>Extra Capacity</v>
          </cell>
          <cell r="S5174">
            <v>0.18</v>
          </cell>
        </row>
        <row r="5175">
          <cell r="D5175">
            <v>1208007839</v>
          </cell>
          <cell r="E5175" t="str">
            <v>MIHAELA CHIRIBAU</v>
          </cell>
          <cell r="F5175" t="str">
            <v>D (Amb)</v>
          </cell>
          <cell r="G5175">
            <v>777101</v>
          </cell>
          <cell r="H5175" t="str">
            <v>Ambition</v>
          </cell>
          <cell r="I5175">
            <v>0.60416666666666663</v>
          </cell>
          <cell r="J5175">
            <v>0.85416666666666663</v>
          </cell>
          <cell r="K5175">
            <v>5.6666666670000003</v>
          </cell>
          <cell r="L5175">
            <v>221.57</v>
          </cell>
          <cell r="O5175" t="str">
            <v>Y</v>
          </cell>
          <cell r="P5175" t="str">
            <v>N</v>
          </cell>
          <cell r="Q5175" t="str">
            <v>Extra Capacity</v>
          </cell>
          <cell r="S5175">
            <v>0.15</v>
          </cell>
        </row>
        <row r="5176">
          <cell r="D5176">
            <v>109003833</v>
          </cell>
          <cell r="E5176" t="str">
            <v>MIRIAM MAGWETTE</v>
          </cell>
          <cell r="F5176" t="str">
            <v>D (Ch)</v>
          </cell>
          <cell r="G5176">
            <v>18001</v>
          </cell>
          <cell r="H5176" t="str">
            <v>Choice</v>
          </cell>
          <cell r="I5176">
            <v>0.88541666666666663</v>
          </cell>
          <cell r="J5176">
            <v>0.3125</v>
          </cell>
          <cell r="K5176">
            <v>9.25</v>
          </cell>
          <cell r="L5176">
            <v>293.05</v>
          </cell>
          <cell r="O5176" t="str">
            <v>Y</v>
          </cell>
          <cell r="P5176" t="str">
            <v>N</v>
          </cell>
          <cell r="Q5176" t="str">
            <v>Short Term Sick</v>
          </cell>
          <cell r="S5176">
            <v>0.25</v>
          </cell>
        </row>
        <row r="5177">
          <cell r="D5177">
            <v>109004331</v>
          </cell>
          <cell r="E5177" t="str">
            <v>NIKKI ANDERTON</v>
          </cell>
          <cell r="F5177" t="str">
            <v>D (MD)</v>
          </cell>
          <cell r="G5177">
            <v>359819</v>
          </cell>
          <cell r="H5177" t="str">
            <v>Mayday</v>
          </cell>
          <cell r="I5177">
            <v>0.3125</v>
          </cell>
          <cell r="J5177">
            <v>0.85416666666666663</v>
          </cell>
          <cell r="K5177">
            <v>12.33333333</v>
          </cell>
          <cell r="L5177">
            <v>398.24</v>
          </cell>
          <cell r="O5177" t="str">
            <v>Y</v>
          </cell>
          <cell r="P5177" t="str">
            <v>N</v>
          </cell>
          <cell r="Q5177" t="str">
            <v>Acuity</v>
          </cell>
          <cell r="S5177">
            <v>0.33</v>
          </cell>
        </row>
        <row r="5178">
          <cell r="D5178">
            <v>1208007866</v>
          </cell>
          <cell r="E5178" t="str">
            <v>PAMELA LAVADIA</v>
          </cell>
          <cell r="F5178" t="str">
            <v>D (Ch)</v>
          </cell>
          <cell r="G5178">
            <v>17931</v>
          </cell>
          <cell r="H5178" t="str">
            <v>Choice</v>
          </cell>
          <cell r="I5178">
            <v>0.83333333333333337</v>
          </cell>
          <cell r="J5178">
            <v>0.33333333333333331</v>
          </cell>
          <cell r="K5178">
            <v>11.33333333</v>
          </cell>
          <cell r="L5178">
            <v>359.05</v>
          </cell>
          <cell r="O5178" t="str">
            <v>Y</v>
          </cell>
          <cell r="P5178" t="str">
            <v>N</v>
          </cell>
          <cell r="Q5178" t="str">
            <v>Extra Capacity</v>
          </cell>
          <cell r="S5178">
            <v>0.3</v>
          </cell>
        </row>
        <row r="5179">
          <cell r="D5179">
            <v>109003825</v>
          </cell>
          <cell r="E5179" t="str">
            <v>PAT MTHETHWA</v>
          </cell>
          <cell r="F5179" t="str">
            <v>D (Ch)</v>
          </cell>
          <cell r="G5179">
            <v>17951</v>
          </cell>
          <cell r="H5179" t="str">
            <v>Choice</v>
          </cell>
          <cell r="I5179">
            <v>0.64583333333333337</v>
          </cell>
          <cell r="J5179">
            <v>0.85416666666666663</v>
          </cell>
          <cell r="K5179">
            <v>5</v>
          </cell>
          <cell r="L5179">
            <v>121.85</v>
          </cell>
          <cell r="O5179" t="str">
            <v>Y</v>
          </cell>
          <cell r="P5179" t="str">
            <v>N</v>
          </cell>
          <cell r="Q5179" t="str">
            <v>Extra Capacity</v>
          </cell>
        </row>
      </sheetData>
      <sheetData sheetId="10" refreshError="1">
        <row r="1">
          <cell r="B1" t="str">
            <v>Child CC</v>
          </cell>
          <cell r="C1" t="str">
            <v>Division</v>
          </cell>
          <cell r="D1" t="str">
            <v>Parent CC</v>
          </cell>
          <cell r="E1" t="str">
            <v>Parent Description</v>
          </cell>
          <cell r="F1" t="str">
            <v>Child Description</v>
          </cell>
        </row>
        <row r="2">
          <cell r="B2" t="str">
            <v>0011000</v>
          </cell>
          <cell r="C2" t="str">
            <v>Oncology Radiographers</v>
          </cell>
          <cell r="D2" t="str">
            <v>Specialist</v>
          </cell>
          <cell r="E2" t="str">
            <v>SSCANCE</v>
          </cell>
          <cell r="F2" t="str">
            <v>Cancer Services</v>
          </cell>
        </row>
        <row r="3">
          <cell r="B3" t="str">
            <v>0011001</v>
          </cell>
          <cell r="C3" t="str">
            <v>Oncology</v>
          </cell>
          <cell r="D3" t="str">
            <v>Specialist</v>
          </cell>
          <cell r="E3" t="str">
            <v>SSCANCE</v>
          </cell>
          <cell r="F3" t="str">
            <v>Cancer Services</v>
          </cell>
        </row>
        <row r="4">
          <cell r="B4" t="str">
            <v>0011100</v>
          </cell>
          <cell r="C4" t="str">
            <v>Macmillan Nurses</v>
          </cell>
          <cell r="D4" t="str">
            <v>Specialist</v>
          </cell>
          <cell r="E4" t="str">
            <v>SSCANCE</v>
          </cell>
          <cell r="F4" t="str">
            <v>Cancer Services</v>
          </cell>
        </row>
        <row r="5">
          <cell r="B5" t="str">
            <v>0011101</v>
          </cell>
          <cell r="C5" t="str">
            <v>Oncology Nurses</v>
          </cell>
          <cell r="D5" t="str">
            <v>Specialist</v>
          </cell>
          <cell r="E5" t="str">
            <v>SSCANCE</v>
          </cell>
          <cell r="F5" t="str">
            <v>Cancer Services</v>
          </cell>
        </row>
        <row r="6">
          <cell r="B6" t="str">
            <v>0011102</v>
          </cell>
          <cell r="C6" t="str">
            <v>Howard 1 Ward (9 Beds)</v>
          </cell>
          <cell r="D6" t="str">
            <v>Specialist</v>
          </cell>
          <cell r="E6" t="str">
            <v>SSCANCE</v>
          </cell>
          <cell r="F6" t="str">
            <v>Cancer Services</v>
          </cell>
        </row>
        <row r="7">
          <cell r="B7" t="str">
            <v>0011103</v>
          </cell>
          <cell r="C7" t="str">
            <v>Haem-Oncology Ward</v>
          </cell>
          <cell r="D7" t="str">
            <v>Specialist</v>
          </cell>
          <cell r="E7" t="str">
            <v>SSCANCE</v>
          </cell>
          <cell r="F7" t="str">
            <v>Cancer Services</v>
          </cell>
        </row>
        <row r="8">
          <cell r="B8" t="str">
            <v>0011104</v>
          </cell>
          <cell r="C8" t="str">
            <v>Haematology Unit</v>
          </cell>
          <cell r="D8" t="str">
            <v>Specialist</v>
          </cell>
          <cell r="E8" t="str">
            <v>SSCANCE</v>
          </cell>
          <cell r="F8" t="str">
            <v>Cancer Services</v>
          </cell>
        </row>
        <row r="9">
          <cell r="B9" t="str">
            <v>0011105</v>
          </cell>
          <cell r="C9" t="str">
            <v>Top Up Private Payments - Chemo Drugs</v>
          </cell>
          <cell r="D9" t="str">
            <v>Specialist</v>
          </cell>
          <cell r="E9" t="str">
            <v>SSCANCE</v>
          </cell>
          <cell r="F9" t="str">
            <v>Cancer Services</v>
          </cell>
        </row>
        <row r="10">
          <cell r="B10" t="str">
            <v>0011201</v>
          </cell>
          <cell r="C10" t="str">
            <v>Financial Planning Cancer Management</v>
          </cell>
          <cell r="D10" t="str">
            <v>Specialist</v>
          </cell>
          <cell r="E10" t="str">
            <v>SSCANCE</v>
          </cell>
          <cell r="F10" t="str">
            <v>Cancer Services</v>
          </cell>
        </row>
        <row r="11">
          <cell r="B11" t="str">
            <v>0011202</v>
          </cell>
          <cell r="C11" t="str">
            <v>Oncology Administration</v>
          </cell>
          <cell r="D11" t="str">
            <v>Specialist</v>
          </cell>
          <cell r="E11" t="str">
            <v>SSCANCE</v>
          </cell>
          <cell r="F11" t="str">
            <v>Cancer Services</v>
          </cell>
        </row>
        <row r="12">
          <cell r="B12" t="str">
            <v>0012000</v>
          </cell>
          <cell r="C12" t="str">
            <v>Anaesthetics</v>
          </cell>
          <cell r="D12" t="str">
            <v>Surgery</v>
          </cell>
          <cell r="E12" t="str">
            <v>ELANAES</v>
          </cell>
          <cell r="F12" t="str">
            <v>Anaesthetics</v>
          </cell>
        </row>
        <row r="13">
          <cell r="B13" t="str">
            <v>0012001</v>
          </cell>
          <cell r="C13" t="str">
            <v>Department of Pain Medicine PRH</v>
          </cell>
          <cell r="D13" t="str">
            <v>Surgery</v>
          </cell>
          <cell r="E13" t="str">
            <v>ELOUTPA</v>
          </cell>
          <cell r="F13" t="str">
            <v>Outpatient Services</v>
          </cell>
        </row>
        <row r="14">
          <cell r="B14" t="str">
            <v>0012002</v>
          </cell>
          <cell r="C14" t="str">
            <v>Department of Pain Medicine Hove Polyclinic</v>
          </cell>
          <cell r="D14" t="str">
            <v>Surgery</v>
          </cell>
          <cell r="E14" t="str">
            <v>ELOUTPA</v>
          </cell>
          <cell r="F14" t="str">
            <v>Outpatient Services</v>
          </cell>
        </row>
        <row r="15">
          <cell r="B15" t="str">
            <v>0012003</v>
          </cell>
          <cell r="C15" t="str">
            <v>Anaesthetics (PRH)</v>
          </cell>
          <cell r="D15" t="str">
            <v>Surgery</v>
          </cell>
          <cell r="E15" t="str">
            <v>ELANAES</v>
          </cell>
          <cell r="F15" t="str">
            <v>Anaesthetics</v>
          </cell>
        </row>
        <row r="16">
          <cell r="B16" t="str">
            <v>0012004</v>
          </cell>
          <cell r="C16" t="str">
            <v>Hove Polyclinic Staffing (Outpatients)</v>
          </cell>
          <cell r="D16" t="str">
            <v>Surgery</v>
          </cell>
          <cell r="E16" t="str">
            <v>ELOUTPA</v>
          </cell>
          <cell r="F16" t="str">
            <v>Outpatient Services</v>
          </cell>
        </row>
        <row r="17">
          <cell r="B17" t="str">
            <v>0012005</v>
          </cell>
          <cell r="C17" t="str">
            <v>Anaesthetics (Medical School)</v>
          </cell>
          <cell r="D17" t="str">
            <v>Surgery</v>
          </cell>
          <cell r="E17" t="str">
            <v>ELANAES</v>
          </cell>
          <cell r="F17" t="str">
            <v>Anaesthetics</v>
          </cell>
        </row>
        <row r="18">
          <cell r="B18" t="str">
            <v>0012006</v>
          </cell>
          <cell r="C18" t="str">
            <v>Financial Planning Anaesthetics</v>
          </cell>
          <cell r="D18" t="str">
            <v>Surgery</v>
          </cell>
          <cell r="E18" t="str">
            <v>ELANAES</v>
          </cell>
          <cell r="F18" t="str">
            <v>Anaesthetics</v>
          </cell>
        </row>
        <row r="19">
          <cell r="B19" t="str">
            <v>0012007</v>
          </cell>
          <cell r="C19" t="str">
            <v>Dept of Pain Admin</v>
          </cell>
          <cell r="D19" t="str">
            <v>Surgery</v>
          </cell>
          <cell r="E19" t="str">
            <v>ELADMIN</v>
          </cell>
          <cell r="F19" t="str">
            <v>Administration</v>
          </cell>
        </row>
        <row r="20">
          <cell r="B20" t="str">
            <v>0012008</v>
          </cell>
          <cell r="C20" t="str">
            <v>Anaesthetics Secs</v>
          </cell>
          <cell r="D20" t="str">
            <v>Surgery</v>
          </cell>
          <cell r="E20" t="str">
            <v>ELADMIN</v>
          </cell>
          <cell r="F20" t="str">
            <v>Administration</v>
          </cell>
        </row>
        <row r="21">
          <cell r="B21" t="str">
            <v>0012009</v>
          </cell>
          <cell r="C21" t="str">
            <v>Acute Pain Nurses</v>
          </cell>
          <cell r="D21" t="str">
            <v>Surgery</v>
          </cell>
          <cell r="E21" t="str">
            <v>ELADMIN</v>
          </cell>
          <cell r="F21" t="str">
            <v>Administration</v>
          </cell>
        </row>
        <row r="22">
          <cell r="B22" t="str">
            <v>0012100</v>
          </cell>
          <cell r="C22" t="str">
            <v>ITU Donor Project</v>
          </cell>
          <cell r="D22" t="str">
            <v>Medicine</v>
          </cell>
          <cell r="E22" t="str">
            <v>EMCRITI</v>
          </cell>
          <cell r="F22" t="str">
            <v>Critical Care</v>
          </cell>
        </row>
        <row r="23">
          <cell r="B23" t="str">
            <v>0012101</v>
          </cell>
          <cell r="C23" t="str">
            <v>Medical Staff ICU</v>
          </cell>
          <cell r="D23" t="str">
            <v>Medicine</v>
          </cell>
          <cell r="E23" t="str">
            <v>EMCRITI</v>
          </cell>
          <cell r="F23" t="str">
            <v>Critical Care</v>
          </cell>
        </row>
        <row r="24">
          <cell r="B24" t="str">
            <v>0012102</v>
          </cell>
          <cell r="C24" t="str">
            <v>ICU Nursing RSCH</v>
          </cell>
          <cell r="D24" t="str">
            <v>Medicine</v>
          </cell>
          <cell r="E24" t="str">
            <v>EMCRITI</v>
          </cell>
          <cell r="F24" t="str">
            <v>Critical Care</v>
          </cell>
        </row>
        <row r="25">
          <cell r="B25" t="str">
            <v>0012103</v>
          </cell>
          <cell r="C25" t="str">
            <v>Outreach Intensive Care</v>
          </cell>
          <cell r="D25" t="str">
            <v>Medicine</v>
          </cell>
          <cell r="E25" t="str">
            <v>EMCRITI</v>
          </cell>
          <cell r="F25" t="str">
            <v>Critical Care</v>
          </cell>
        </row>
        <row r="26">
          <cell r="B26" t="str">
            <v>0012104</v>
          </cell>
          <cell r="C26" t="str">
            <v>I C U Nursing (PRH) (8 beds)</v>
          </cell>
          <cell r="D26" t="str">
            <v>Medicine</v>
          </cell>
          <cell r="E26" t="str">
            <v>EMCRITI</v>
          </cell>
          <cell r="F26" t="str">
            <v>Critical Care</v>
          </cell>
        </row>
        <row r="27">
          <cell r="B27" t="str">
            <v>0012105</v>
          </cell>
          <cell r="C27" t="str">
            <v>ICU Education &amp; Training</v>
          </cell>
          <cell r="D27" t="str">
            <v>Medicine</v>
          </cell>
          <cell r="E27" t="str">
            <v>EMCRITI</v>
          </cell>
          <cell r="F27" t="str">
            <v>Critical Care</v>
          </cell>
        </row>
        <row r="28">
          <cell r="B28" t="str">
            <v>0012106</v>
          </cell>
          <cell r="C28" t="str">
            <v>Organ Donation and End of Life</v>
          </cell>
          <cell r="D28" t="str">
            <v>Medicine</v>
          </cell>
          <cell r="E28" t="str">
            <v>EMCRITI</v>
          </cell>
          <cell r="F28" t="str">
            <v>Critical Care</v>
          </cell>
        </row>
        <row r="29">
          <cell r="B29" t="str">
            <v>0012107</v>
          </cell>
          <cell r="C29" t="str">
            <v>Financial Planning Critical Care</v>
          </cell>
          <cell r="D29" t="str">
            <v>Medicine</v>
          </cell>
          <cell r="E29" t="str">
            <v>EMCRITI</v>
          </cell>
          <cell r="F29" t="str">
            <v>Critical Care</v>
          </cell>
        </row>
        <row r="30">
          <cell r="B30" t="str">
            <v>0012300</v>
          </cell>
          <cell r="C30" t="str">
            <v>Financial Planning Theatres</v>
          </cell>
          <cell r="D30" t="str">
            <v>Surgery</v>
          </cell>
          <cell r="E30" t="str">
            <v>ELOPERA</v>
          </cell>
          <cell r="F30" t="str">
            <v>Operating Theatres</v>
          </cell>
        </row>
        <row r="31">
          <cell r="B31" t="str">
            <v>0012302</v>
          </cell>
          <cell r="C31" t="str">
            <v>Theatres (RSCH)</v>
          </cell>
          <cell r="D31" t="str">
            <v>Surgery</v>
          </cell>
          <cell r="E31" t="str">
            <v>ELOPERA</v>
          </cell>
          <cell r="F31" t="str">
            <v>Operating Theatres</v>
          </cell>
        </row>
        <row r="32">
          <cell r="B32" t="str">
            <v>0012303</v>
          </cell>
          <cell r="C32" t="str">
            <v>Theatres (PRH)</v>
          </cell>
          <cell r="D32" t="str">
            <v>Surgery</v>
          </cell>
          <cell r="E32" t="str">
            <v>ELOPERA</v>
          </cell>
          <cell r="F32" t="str">
            <v>Operating Theatres</v>
          </cell>
        </row>
        <row r="33">
          <cell r="B33" t="str">
            <v>0012304</v>
          </cell>
          <cell r="C33" t="str">
            <v>Day Surgery Unit</v>
          </cell>
          <cell r="D33" t="str">
            <v>Surgery</v>
          </cell>
          <cell r="E33" t="str">
            <v>ELOPERA</v>
          </cell>
          <cell r="F33" t="str">
            <v>Operating Theatres</v>
          </cell>
        </row>
        <row r="34">
          <cell r="B34" t="str">
            <v>0012305</v>
          </cell>
          <cell r="C34" t="str">
            <v>Theatres (ITU - Private Patients)</v>
          </cell>
          <cell r="D34" t="str">
            <v>Surgery</v>
          </cell>
          <cell r="E34" t="str">
            <v>ELOPERA</v>
          </cell>
          <cell r="F34" t="str">
            <v>Operating Theatres</v>
          </cell>
        </row>
        <row r="35">
          <cell r="B35" t="str">
            <v>0013000</v>
          </cell>
          <cell r="C35" t="str">
            <v>Emergency Directorate Mangement</v>
          </cell>
          <cell r="D35" t="str">
            <v>Medicine</v>
          </cell>
          <cell r="E35" t="str">
            <v>EMMANAG</v>
          </cell>
          <cell r="F35" t="str">
            <v>Management</v>
          </cell>
        </row>
        <row r="36">
          <cell r="B36" t="str">
            <v>0013002</v>
          </cell>
          <cell r="C36" t="str">
            <v>A &amp; E Medical Records</v>
          </cell>
          <cell r="D36" t="str">
            <v>Medicine</v>
          </cell>
          <cell r="E36" t="str">
            <v>EMAC&amp;EM</v>
          </cell>
          <cell r="F36" t="str">
            <v>A &amp; E</v>
          </cell>
        </row>
        <row r="37">
          <cell r="B37" t="str">
            <v>0013005</v>
          </cell>
          <cell r="C37" t="str">
            <v>Med Secs A &amp; E</v>
          </cell>
          <cell r="D37" t="str">
            <v>Medicine</v>
          </cell>
          <cell r="E37" t="str">
            <v>EMAC&amp;EM</v>
          </cell>
          <cell r="F37" t="str">
            <v>A &amp; E</v>
          </cell>
        </row>
        <row r="38">
          <cell r="B38" t="str">
            <v>0013100</v>
          </cell>
          <cell r="C38" t="str">
            <v>P D Renal Additional Capacity</v>
          </cell>
          <cell r="D38" t="str">
            <v>Medicine</v>
          </cell>
          <cell r="E38" t="str">
            <v>EMAC&amp;EM</v>
          </cell>
          <cell r="F38" t="str">
            <v>A &amp; E</v>
          </cell>
        </row>
        <row r="39">
          <cell r="B39" t="str">
            <v>0013102</v>
          </cell>
          <cell r="C39" t="str">
            <v>Accident &amp; Emergency</v>
          </cell>
          <cell r="D39" t="str">
            <v>Medicine</v>
          </cell>
          <cell r="E39" t="str">
            <v>EMAC&amp;EM</v>
          </cell>
          <cell r="F39" t="str">
            <v>A &amp; E</v>
          </cell>
        </row>
        <row r="40">
          <cell r="B40" t="str">
            <v>0013201</v>
          </cell>
          <cell r="C40" t="str">
            <v>Balcombe Ward (24 beds)</v>
          </cell>
          <cell r="D40" t="str">
            <v>Medicine</v>
          </cell>
          <cell r="E40" t="str">
            <v>EMGENER</v>
          </cell>
          <cell r="F40" t="str">
            <v>General Medicine</v>
          </cell>
        </row>
        <row r="41">
          <cell r="B41" t="str">
            <v>0013202</v>
          </cell>
          <cell r="C41" t="str">
            <v>A&amp;E (RSCH &amp; PRH)</v>
          </cell>
          <cell r="D41" t="str">
            <v>Medicine</v>
          </cell>
          <cell r="E41" t="str">
            <v>EMAC&amp;EM</v>
          </cell>
          <cell r="F41" t="str">
            <v>A &amp; E</v>
          </cell>
        </row>
        <row r="42">
          <cell r="B42" t="str">
            <v>0013204</v>
          </cell>
          <cell r="C42" t="str">
            <v>A &amp; E Nursing (PRH) (now 0013202)</v>
          </cell>
          <cell r="D42" t="str">
            <v>Medicine</v>
          </cell>
          <cell r="E42" t="str">
            <v>EMAC&amp;EM</v>
          </cell>
          <cell r="F42" t="str">
            <v>A &amp; E</v>
          </cell>
        </row>
        <row r="43">
          <cell r="B43" t="str">
            <v>0013205</v>
          </cell>
          <cell r="C43" t="str">
            <v>A&amp;E ( Medical and Surgical Assessment Unit)</v>
          </cell>
          <cell r="D43" t="str">
            <v>Medicine</v>
          </cell>
          <cell r="E43" t="str">
            <v>EMAC&amp;EM</v>
          </cell>
          <cell r="F43" t="str">
            <v>A &amp; E</v>
          </cell>
        </row>
        <row r="44">
          <cell r="B44" t="str">
            <v>0013206</v>
          </cell>
          <cell r="C44" t="str">
            <v>Chichester Ward (22 beds)</v>
          </cell>
          <cell r="D44" t="str">
            <v>Medicine</v>
          </cell>
          <cell r="E44" t="str">
            <v>EMGENER</v>
          </cell>
          <cell r="F44" t="str">
            <v>General Medicine</v>
          </cell>
        </row>
        <row r="45">
          <cell r="B45" t="str">
            <v>0013207</v>
          </cell>
          <cell r="C45" t="str">
            <v>A&amp;E Additional Cover</v>
          </cell>
          <cell r="D45" t="str">
            <v>Medicine</v>
          </cell>
          <cell r="E45" t="str">
            <v>EMGENER</v>
          </cell>
          <cell r="F45" t="str">
            <v>General Medicine</v>
          </cell>
        </row>
        <row r="46">
          <cell r="B46" t="str">
            <v>0013208</v>
          </cell>
          <cell r="C46" t="str">
            <v>TAB Additional Capacity (Specials)</v>
          </cell>
          <cell r="D46" t="str">
            <v>Medicine</v>
          </cell>
          <cell r="E46" t="str">
            <v>EMAC&amp;EM</v>
          </cell>
          <cell r="F46" t="str">
            <v>A &amp; E</v>
          </cell>
        </row>
        <row r="47">
          <cell r="B47" t="str">
            <v>0013209</v>
          </cell>
          <cell r="C47" t="str">
            <v>Financial Planning A&amp;E</v>
          </cell>
          <cell r="D47" t="str">
            <v>Medicine</v>
          </cell>
          <cell r="E47" t="str">
            <v>EMAC&amp;EM</v>
          </cell>
          <cell r="F47" t="str">
            <v>A &amp; E</v>
          </cell>
        </row>
        <row r="48">
          <cell r="B48" t="str">
            <v>0013210</v>
          </cell>
          <cell r="C48" t="str">
            <v>Urgent Care Centre</v>
          </cell>
          <cell r="D48" t="str">
            <v>Medicine</v>
          </cell>
          <cell r="E48" t="str">
            <v>EMEUCC</v>
          </cell>
          <cell r="F48" t="str">
            <v>Urgent Care Centre</v>
          </cell>
        </row>
        <row r="49">
          <cell r="B49" t="str">
            <v>0014000</v>
          </cell>
          <cell r="C49" t="str">
            <v>Medical Care Management</v>
          </cell>
          <cell r="D49" t="str">
            <v>Medicine</v>
          </cell>
          <cell r="E49" t="str">
            <v>EMMANAG</v>
          </cell>
          <cell r="F49" t="str">
            <v>Management</v>
          </cell>
        </row>
        <row r="50">
          <cell r="B50" t="str">
            <v>0014001</v>
          </cell>
          <cell r="C50" t="str">
            <v>Emergency Additional Staff Capacity</v>
          </cell>
          <cell r="D50" t="str">
            <v>Medicine</v>
          </cell>
          <cell r="E50" t="str">
            <v>EMMANAG</v>
          </cell>
          <cell r="F50" t="str">
            <v>Management</v>
          </cell>
        </row>
        <row r="51">
          <cell r="B51" t="str">
            <v>0014002</v>
          </cell>
          <cell r="C51" t="str">
            <v>Financial Planning Emergency Management</v>
          </cell>
          <cell r="D51" t="str">
            <v>Medicine</v>
          </cell>
          <cell r="E51" t="str">
            <v>EMMANAG</v>
          </cell>
          <cell r="F51" t="str">
            <v>Management</v>
          </cell>
        </row>
        <row r="52">
          <cell r="B52" t="str">
            <v>0014003</v>
          </cell>
          <cell r="C52" t="str">
            <v>AFC Funding</v>
          </cell>
          <cell r="D52" t="str">
            <v>Medicine</v>
          </cell>
          <cell r="E52" t="str">
            <v>EMMANAG</v>
          </cell>
          <cell r="F52" t="str">
            <v>Management</v>
          </cell>
        </row>
        <row r="53">
          <cell r="B53" t="str">
            <v>0014005</v>
          </cell>
          <cell r="C53" t="str">
            <v>Pp Medical Directorate</v>
          </cell>
          <cell r="D53" t="str">
            <v>Medicine</v>
          </cell>
          <cell r="E53" t="str">
            <v>EMMANAG</v>
          </cell>
          <cell r="F53" t="str">
            <v>Management</v>
          </cell>
        </row>
        <row r="54">
          <cell r="B54" t="str">
            <v>0014006</v>
          </cell>
          <cell r="C54" t="str">
            <v>Theatre Equipment</v>
          </cell>
          <cell r="D54" t="str">
            <v>Medicine</v>
          </cell>
          <cell r="E54" t="str">
            <v>EMMANAG</v>
          </cell>
          <cell r="F54" t="str">
            <v>Management</v>
          </cell>
        </row>
        <row r="55">
          <cell r="B55" t="str">
            <v>0014007</v>
          </cell>
          <cell r="C55" t="str">
            <v>Respiratory BGH</v>
          </cell>
          <cell r="D55" t="str">
            <v>Medicine</v>
          </cell>
          <cell r="E55" t="str">
            <v>EMCHEST</v>
          </cell>
          <cell r="F55" t="str">
            <v>Chest Medicine</v>
          </cell>
        </row>
        <row r="56">
          <cell r="B56" t="str">
            <v>0014008</v>
          </cell>
          <cell r="C56" t="str">
            <v>Medical Secretaries</v>
          </cell>
          <cell r="D56" t="str">
            <v>Medicine</v>
          </cell>
          <cell r="E56" t="str">
            <v>EMMANAG</v>
          </cell>
          <cell r="F56" t="str">
            <v>Management</v>
          </cell>
        </row>
        <row r="57">
          <cell r="B57" t="str">
            <v>0014009</v>
          </cell>
          <cell r="C57" t="str">
            <v>Med Secs Gen Med</v>
          </cell>
          <cell r="D57" t="str">
            <v>Medicine</v>
          </cell>
          <cell r="E57" t="str">
            <v>EMMANAG</v>
          </cell>
          <cell r="F57" t="str">
            <v>Management</v>
          </cell>
        </row>
        <row r="58">
          <cell r="B58" t="str">
            <v>0014010</v>
          </cell>
          <cell r="C58" t="str">
            <v>Emergency Division Management Admin</v>
          </cell>
          <cell r="D58" t="str">
            <v>Medicine</v>
          </cell>
          <cell r="E58" t="str">
            <v>EMMANAG</v>
          </cell>
          <cell r="F58" t="str">
            <v>Management</v>
          </cell>
        </row>
        <row r="59">
          <cell r="B59" t="str">
            <v>0014011</v>
          </cell>
          <cell r="C59" t="str">
            <v>Data Quality Management</v>
          </cell>
          <cell r="D59" t="str">
            <v>Medicine</v>
          </cell>
          <cell r="E59" t="str">
            <v>EMMANAG</v>
          </cell>
          <cell r="F59" t="str">
            <v>Management</v>
          </cell>
        </row>
        <row r="60">
          <cell r="B60" t="str">
            <v>0014012</v>
          </cell>
          <cell r="C60" t="str">
            <v>Level 11 Short Stay Ward</v>
          </cell>
          <cell r="D60" t="str">
            <v>Medicine</v>
          </cell>
          <cell r="E60" t="str">
            <v>EMMANAG</v>
          </cell>
          <cell r="F60" t="str">
            <v>Management</v>
          </cell>
        </row>
        <row r="61">
          <cell r="B61" t="str">
            <v>0014013</v>
          </cell>
          <cell r="C61" t="str">
            <v>Emergency Growth Monies</v>
          </cell>
          <cell r="D61" t="str">
            <v>Medicine</v>
          </cell>
          <cell r="E61" t="str">
            <v>EMMANAG</v>
          </cell>
          <cell r="F61" t="str">
            <v>Management</v>
          </cell>
        </row>
        <row r="62">
          <cell r="B62" t="str">
            <v>0014104</v>
          </cell>
          <cell r="C62" t="str">
            <v>Snr Med Geriatrics (now 14112)</v>
          </cell>
          <cell r="D62" t="str">
            <v>Medicine</v>
          </cell>
          <cell r="E62" t="str">
            <v>EMELDER</v>
          </cell>
          <cell r="F62" t="str">
            <v>Elderly Medicine</v>
          </cell>
        </row>
        <row r="63">
          <cell r="B63" t="str">
            <v>0014106</v>
          </cell>
          <cell r="C63" t="str">
            <v>Junior Doctors - RSCH</v>
          </cell>
          <cell r="D63" t="str">
            <v>Medicine</v>
          </cell>
          <cell r="E63" t="str">
            <v>EMGENER</v>
          </cell>
          <cell r="F63" t="str">
            <v>General Medicine</v>
          </cell>
        </row>
        <row r="64">
          <cell r="B64" t="str">
            <v>0014107</v>
          </cell>
          <cell r="C64" t="str">
            <v>Junior Doctors - PRH</v>
          </cell>
          <cell r="D64" t="str">
            <v>Medicine</v>
          </cell>
          <cell r="E64" t="str">
            <v>EMGENER</v>
          </cell>
          <cell r="F64" t="str">
            <v>General Medicine</v>
          </cell>
        </row>
        <row r="65">
          <cell r="B65" t="str">
            <v>0014108</v>
          </cell>
          <cell r="C65" t="str">
            <v>General Medicine</v>
          </cell>
          <cell r="D65" t="str">
            <v>Medicine</v>
          </cell>
          <cell r="E65" t="str">
            <v>EMGENER</v>
          </cell>
          <cell r="F65" t="str">
            <v>General Medicine</v>
          </cell>
        </row>
        <row r="66">
          <cell r="B66" t="str">
            <v>0014112</v>
          </cell>
          <cell r="C66" t="str">
            <v>Elderly Medicine</v>
          </cell>
          <cell r="D66" t="str">
            <v>Medicine</v>
          </cell>
          <cell r="E66" t="str">
            <v>EMELDER</v>
          </cell>
          <cell r="F66" t="str">
            <v>Elderly Medicine</v>
          </cell>
        </row>
        <row r="67">
          <cell r="B67" t="str">
            <v>0014113</v>
          </cell>
          <cell r="C67" t="str">
            <v xml:space="preserve"> Financial Planning Elderley</v>
          </cell>
          <cell r="D67" t="str">
            <v>Medicine</v>
          </cell>
          <cell r="E67" t="str">
            <v>EMELDER</v>
          </cell>
          <cell r="F67" t="str">
            <v>Elderly Medicine</v>
          </cell>
        </row>
        <row r="68">
          <cell r="B68" t="str">
            <v>0014203</v>
          </cell>
          <cell r="C68" t="str">
            <v>Lindfield Ward (24 beds)</v>
          </cell>
          <cell r="D68" t="str">
            <v>Surgery</v>
          </cell>
          <cell r="E68" t="str">
            <v>ELPRHWR</v>
          </cell>
          <cell r="F68" t="str">
            <v>PRH Wards</v>
          </cell>
        </row>
        <row r="69">
          <cell r="B69" t="str">
            <v>0014204</v>
          </cell>
          <cell r="C69" t="str">
            <v>Ardingly Emergency (28 beds) previously Lindfi</v>
          </cell>
          <cell r="D69" t="str">
            <v>Medicine</v>
          </cell>
          <cell r="E69" t="str">
            <v>EMELDER</v>
          </cell>
          <cell r="F69" t="str">
            <v>Elderly Medicine</v>
          </cell>
        </row>
        <row r="70">
          <cell r="B70" t="str">
            <v>0014206</v>
          </cell>
          <cell r="C70" t="str">
            <v>Rapid Access Clinic for Older People</v>
          </cell>
          <cell r="D70" t="str">
            <v>Medicine</v>
          </cell>
          <cell r="E70" t="str">
            <v>EMELDER</v>
          </cell>
          <cell r="F70" t="str">
            <v>Elderly Medicine</v>
          </cell>
        </row>
        <row r="71">
          <cell r="B71" t="str">
            <v>0014207</v>
          </cell>
          <cell r="C71" t="str">
            <v>Vallance Ward (M) (20 beds)</v>
          </cell>
          <cell r="D71" t="str">
            <v>Medicine</v>
          </cell>
          <cell r="E71" t="str">
            <v>EMELDER</v>
          </cell>
          <cell r="F71" t="str">
            <v>Elderly Medicine</v>
          </cell>
        </row>
        <row r="72">
          <cell r="B72" t="str">
            <v>0014208</v>
          </cell>
          <cell r="C72" t="str">
            <v>Solomon/Donald Hall Wards (23 beds)</v>
          </cell>
          <cell r="D72" t="str">
            <v>Medicine</v>
          </cell>
          <cell r="E72" t="str">
            <v>EMELDER</v>
          </cell>
          <cell r="F72" t="str">
            <v>Elderly Medicine</v>
          </cell>
        </row>
        <row r="73">
          <cell r="B73" t="str">
            <v>0014209</v>
          </cell>
          <cell r="C73" t="str">
            <v>Additional Capacity Barry Building</v>
          </cell>
          <cell r="D73" t="str">
            <v>Medicine</v>
          </cell>
          <cell r="E73" t="str">
            <v>EMELDER</v>
          </cell>
          <cell r="F73" t="str">
            <v>Elderly Medicine</v>
          </cell>
        </row>
        <row r="74">
          <cell r="B74" t="str">
            <v>0014211</v>
          </cell>
          <cell r="C74" t="str">
            <v>Day Hospital</v>
          </cell>
          <cell r="D74" t="str">
            <v>Medicine</v>
          </cell>
          <cell r="E74" t="str">
            <v>EMELDER</v>
          </cell>
          <cell r="F74" t="str">
            <v>Elderly Medicine</v>
          </cell>
        </row>
        <row r="75">
          <cell r="B75" t="str">
            <v>0014212</v>
          </cell>
          <cell r="C75" t="str">
            <v>Beech Ward (28 Beds)</v>
          </cell>
          <cell r="D75" t="str">
            <v>Medicine</v>
          </cell>
          <cell r="E75" t="str">
            <v>EMMANAG</v>
          </cell>
          <cell r="F75" t="str">
            <v>Management</v>
          </cell>
        </row>
        <row r="76">
          <cell r="B76" t="str">
            <v>0014213</v>
          </cell>
          <cell r="C76" t="str">
            <v>Egremont/Catherine James (27 beds)</v>
          </cell>
          <cell r="D76" t="str">
            <v>Medicine</v>
          </cell>
          <cell r="E76" t="str">
            <v>EMCHEST</v>
          </cell>
          <cell r="F76" t="str">
            <v>Chest Medicine</v>
          </cell>
        </row>
        <row r="77">
          <cell r="B77" t="str">
            <v>0014214</v>
          </cell>
          <cell r="C77" t="str">
            <v>Financial Planning General Medicine</v>
          </cell>
          <cell r="D77" t="str">
            <v>Medicine</v>
          </cell>
          <cell r="E77" t="str">
            <v>EMGENER</v>
          </cell>
          <cell r="F77" t="str">
            <v>General Medicine</v>
          </cell>
        </row>
        <row r="78">
          <cell r="B78" t="str">
            <v>0014215</v>
          </cell>
          <cell r="C78" t="str">
            <v>Peel &amp; Stewart</v>
          </cell>
          <cell r="D78" t="str">
            <v>Medicine</v>
          </cell>
          <cell r="E78" t="str">
            <v>EMGENER</v>
          </cell>
          <cell r="F78" t="str">
            <v>General Medicine</v>
          </cell>
        </row>
        <row r="79">
          <cell r="B79" t="str">
            <v>0014218</v>
          </cell>
          <cell r="C79" t="str">
            <v>Pyecombe Ward (28 beds)</v>
          </cell>
          <cell r="D79" t="str">
            <v>Medicine</v>
          </cell>
          <cell r="E79" t="str">
            <v>EMCHEST</v>
          </cell>
          <cell r="F79" t="str">
            <v>Chest Medicine</v>
          </cell>
        </row>
        <row r="80">
          <cell r="B80" t="str">
            <v>0014219</v>
          </cell>
          <cell r="C80" t="str">
            <v>Escort/Pool Nurses</v>
          </cell>
          <cell r="D80" t="str">
            <v>Medicine</v>
          </cell>
          <cell r="E80" t="str">
            <v>EMGENER</v>
          </cell>
          <cell r="F80" t="str">
            <v>General Medicine</v>
          </cell>
        </row>
        <row r="81">
          <cell r="B81" t="str">
            <v>0014220</v>
          </cell>
          <cell r="C81" t="str">
            <v>Bristol Ward (19 beds)</v>
          </cell>
          <cell r="D81" t="str">
            <v>Medicine</v>
          </cell>
          <cell r="E81" t="str">
            <v>EMELDER</v>
          </cell>
          <cell r="F81" t="str">
            <v>Elderly Medicine</v>
          </cell>
        </row>
        <row r="82">
          <cell r="B82" t="str">
            <v>0014221</v>
          </cell>
          <cell r="C82" t="str">
            <v>Bailey Ward (15 beds)</v>
          </cell>
          <cell r="D82" t="str">
            <v>Medicine</v>
          </cell>
          <cell r="E82" t="str">
            <v>EMGENER</v>
          </cell>
          <cell r="F82" t="str">
            <v>General Medicine</v>
          </cell>
        </row>
        <row r="83">
          <cell r="B83" t="str">
            <v>0014222</v>
          </cell>
          <cell r="C83" t="str">
            <v>Bed Pressures Medical Ward</v>
          </cell>
          <cell r="D83" t="str">
            <v>Medicine</v>
          </cell>
          <cell r="E83" t="str">
            <v>EMGENER</v>
          </cell>
          <cell r="F83" t="str">
            <v>General Medicine</v>
          </cell>
        </row>
        <row r="84">
          <cell r="B84" t="str">
            <v>0014223</v>
          </cell>
          <cell r="C84" t="str">
            <v>TIA - Stroke Service</v>
          </cell>
          <cell r="D84" t="str">
            <v>Medicine</v>
          </cell>
          <cell r="E84" t="str">
            <v>EMELDER</v>
          </cell>
          <cell r="F84" t="str">
            <v>Elderly Medicine</v>
          </cell>
        </row>
        <row r="85">
          <cell r="B85" t="str">
            <v>0014224</v>
          </cell>
          <cell r="C85" t="str">
            <v>Respiratory Specials</v>
          </cell>
          <cell r="D85" t="str">
            <v>Medicine</v>
          </cell>
          <cell r="E85" t="str">
            <v>EMCHEST</v>
          </cell>
          <cell r="F85" t="str">
            <v>Chest Medicine</v>
          </cell>
        </row>
        <row r="86">
          <cell r="B86" t="str">
            <v>0014225</v>
          </cell>
          <cell r="C86" t="str">
            <v>Jowers Ward (14 Beds)</v>
          </cell>
          <cell r="D86" t="str">
            <v>Medicine</v>
          </cell>
          <cell r="E86" t="str">
            <v>EMELDER</v>
          </cell>
          <cell r="F86" t="str">
            <v>Elderly Medicine</v>
          </cell>
        </row>
        <row r="87">
          <cell r="B87" t="str">
            <v>0014226</v>
          </cell>
          <cell r="C87" t="str">
            <v>Winter Pressures ward (Overton) 14 Beds</v>
          </cell>
          <cell r="D87" t="str">
            <v>Medicine</v>
          </cell>
          <cell r="E87" t="str">
            <v>EMELDER</v>
          </cell>
          <cell r="F87" t="str">
            <v>Elderly Medicine</v>
          </cell>
        </row>
        <row r="88">
          <cell r="B88" t="str">
            <v>0014227</v>
          </cell>
          <cell r="C88" t="str">
            <v>Grant Ward (11 Beds)</v>
          </cell>
          <cell r="D88" t="str">
            <v>Medicine</v>
          </cell>
          <cell r="E88" t="str">
            <v>EMMANAG</v>
          </cell>
          <cell r="F88" t="str">
            <v>Management</v>
          </cell>
        </row>
        <row r="89">
          <cell r="B89" t="str">
            <v>0014228</v>
          </cell>
          <cell r="C89" t="str">
            <v>L8A East Emergency Extra Capacity (28 beds)</v>
          </cell>
          <cell r="D89" t="str">
            <v>Medicine</v>
          </cell>
          <cell r="E89" t="str">
            <v>EMMANAG</v>
          </cell>
          <cell r="F89" t="str">
            <v>Management</v>
          </cell>
        </row>
        <row r="90">
          <cell r="B90" t="str">
            <v>0014229</v>
          </cell>
          <cell r="C90" t="str">
            <v>Fleming and Lister Ward - Winter Pressures - E</v>
          </cell>
          <cell r="D90" t="str">
            <v>Medicine</v>
          </cell>
          <cell r="E90" t="str">
            <v>EMMANAG</v>
          </cell>
          <cell r="F90" t="str">
            <v>Management</v>
          </cell>
        </row>
        <row r="91">
          <cell r="B91" t="str">
            <v>0014230</v>
          </cell>
          <cell r="C91" t="str">
            <v>BSUH Linfield to Month 9</v>
          </cell>
          <cell r="D91" t="str">
            <v>Medicine</v>
          </cell>
          <cell r="E91" t="str">
            <v>EMELDER</v>
          </cell>
          <cell r="F91" t="str">
            <v>Elderly Medicine</v>
          </cell>
        </row>
        <row r="92">
          <cell r="B92" t="str">
            <v>0014231</v>
          </cell>
          <cell r="C92" t="str">
            <v>Cuckfield Ward</v>
          </cell>
          <cell r="D92" t="str">
            <v>Medicine</v>
          </cell>
          <cell r="E92" t="str">
            <v>EMELDER</v>
          </cell>
          <cell r="F92" t="str">
            <v>Elderly Medicine</v>
          </cell>
        </row>
        <row r="93">
          <cell r="B93" t="str">
            <v>0014301</v>
          </cell>
          <cell r="C93" t="str">
            <v>Diabetes At PRH</v>
          </cell>
          <cell r="D93" t="str">
            <v>Medicine</v>
          </cell>
          <cell r="E93" t="str">
            <v>EMDIABE</v>
          </cell>
          <cell r="F93" t="str">
            <v>Diabetes &amp; Endocrinology</v>
          </cell>
        </row>
        <row r="94">
          <cell r="B94" t="str">
            <v>0014302</v>
          </cell>
          <cell r="C94" t="str">
            <v>Dvt Specialist Nurse</v>
          </cell>
          <cell r="D94" t="str">
            <v>Medicine</v>
          </cell>
          <cell r="E94" t="str">
            <v>EMAC&amp;EM</v>
          </cell>
          <cell r="F94" t="str">
            <v>A &amp; E</v>
          </cell>
        </row>
        <row r="95">
          <cell r="B95" t="str">
            <v>0014303</v>
          </cell>
          <cell r="C95" t="str">
            <v>Diabetic Nurse Specialist</v>
          </cell>
          <cell r="D95" t="str">
            <v>Medicine</v>
          </cell>
          <cell r="E95" t="str">
            <v>EMDIABE</v>
          </cell>
          <cell r="F95" t="str">
            <v>Diabetes &amp; Endocrinology</v>
          </cell>
        </row>
        <row r="96">
          <cell r="B96" t="str">
            <v>0014304</v>
          </cell>
          <cell r="C96" t="str">
            <v>Cpap</v>
          </cell>
          <cell r="D96" t="str">
            <v>Medicine</v>
          </cell>
          <cell r="E96" t="str">
            <v>EMCHEST</v>
          </cell>
          <cell r="F96" t="str">
            <v>Chest Medicine</v>
          </cell>
        </row>
        <row r="97">
          <cell r="B97" t="str">
            <v>0014307</v>
          </cell>
          <cell r="C97" t="str">
            <v>Financial Planning Diabetes &amp; Endocrinology</v>
          </cell>
          <cell r="D97" t="str">
            <v>Medicine</v>
          </cell>
          <cell r="E97" t="str">
            <v>EMDIABE</v>
          </cell>
          <cell r="F97" t="str">
            <v>Diabetes &amp; Endocrinology</v>
          </cell>
        </row>
        <row r="98">
          <cell r="B98" t="str">
            <v>0014308</v>
          </cell>
          <cell r="C98" t="str">
            <v>Financial Planning Chest</v>
          </cell>
          <cell r="D98" t="str">
            <v>Medicine</v>
          </cell>
          <cell r="E98" t="str">
            <v>EMCHEST</v>
          </cell>
          <cell r="F98" t="str">
            <v>Chest Medicine</v>
          </cell>
        </row>
        <row r="99">
          <cell r="B99" t="str">
            <v>0015000</v>
          </cell>
          <cell r="C99" t="str">
            <v>Management Costs</v>
          </cell>
          <cell r="D99" t="str">
            <v>Specialist</v>
          </cell>
          <cell r="E99" t="str">
            <v>SSMANAG</v>
          </cell>
          <cell r="F99" t="str">
            <v>Specialised Services Management</v>
          </cell>
        </row>
        <row r="100">
          <cell r="B100" t="str">
            <v>0015100</v>
          </cell>
          <cell r="C100" t="str">
            <v>SUSSEX HEART CHARITY</v>
          </cell>
          <cell r="D100" t="str">
            <v>Specialist</v>
          </cell>
          <cell r="E100" t="str">
            <v>SSCARDI</v>
          </cell>
          <cell r="F100" t="str">
            <v>Cardiac Services</v>
          </cell>
        </row>
        <row r="101">
          <cell r="B101" t="str">
            <v>0015101</v>
          </cell>
          <cell r="C101" t="str">
            <v>Cardiac Rehab (0015106 combined into 0015101)</v>
          </cell>
          <cell r="D101" t="str">
            <v>Specialist</v>
          </cell>
          <cell r="E101" t="str">
            <v>SSCARDI</v>
          </cell>
          <cell r="F101" t="str">
            <v>Cardiac Services</v>
          </cell>
        </row>
        <row r="102">
          <cell r="B102" t="str">
            <v>0015102</v>
          </cell>
          <cell r="C102" t="str">
            <v>Cardiac Care Unit 6a (13 Beds)</v>
          </cell>
          <cell r="D102" t="str">
            <v>Specialist</v>
          </cell>
          <cell r="E102" t="str">
            <v>SSCARDI</v>
          </cell>
          <cell r="F102" t="str">
            <v>Cardiac Services</v>
          </cell>
        </row>
        <row r="103">
          <cell r="B103" t="str">
            <v>0015103</v>
          </cell>
          <cell r="C103" t="str">
            <v>Resuscitation</v>
          </cell>
          <cell r="D103" t="str">
            <v>Medicine</v>
          </cell>
          <cell r="E103" t="str">
            <v>EMCRITI</v>
          </cell>
          <cell r="F103" t="str">
            <v>Critical Care</v>
          </cell>
        </row>
        <row r="104">
          <cell r="B104" t="str">
            <v>0015104</v>
          </cell>
          <cell r="C104" t="str">
            <v>Cardiac Dept RSCH (Non-Invasive)</v>
          </cell>
          <cell r="D104" t="str">
            <v>Specialist</v>
          </cell>
          <cell r="E104" t="str">
            <v>SSCARDI</v>
          </cell>
          <cell r="F104" t="str">
            <v>Cardiac Services</v>
          </cell>
        </row>
        <row r="105">
          <cell r="B105" t="str">
            <v>0015108</v>
          </cell>
          <cell r="C105" t="str">
            <v>Cardiac Dept PRH</v>
          </cell>
          <cell r="D105" t="str">
            <v>Specialist</v>
          </cell>
          <cell r="E105" t="str">
            <v>SSCARDI</v>
          </cell>
          <cell r="F105" t="str">
            <v>Cardiac Services</v>
          </cell>
        </row>
        <row r="106">
          <cell r="B106" t="str">
            <v>0015109</v>
          </cell>
          <cell r="C106" t="str">
            <v>Cardiac Medical Staff</v>
          </cell>
          <cell r="D106" t="str">
            <v>Specialist</v>
          </cell>
          <cell r="E106" t="str">
            <v>SSCARDI</v>
          </cell>
          <cell r="F106" t="str">
            <v>Cardiac Services</v>
          </cell>
        </row>
        <row r="107">
          <cell r="B107" t="str">
            <v>0015110</v>
          </cell>
          <cell r="C107" t="str">
            <v>Visiting Cardiologist</v>
          </cell>
          <cell r="D107" t="str">
            <v>Specialist</v>
          </cell>
          <cell r="E107" t="str">
            <v>SSCARDI</v>
          </cell>
          <cell r="F107" t="str">
            <v>Cardiac Services</v>
          </cell>
        </row>
        <row r="108">
          <cell r="B108" t="str">
            <v>0015111</v>
          </cell>
          <cell r="C108" t="str">
            <v>Cardiac Radiographers</v>
          </cell>
          <cell r="D108" t="str">
            <v>Specialist</v>
          </cell>
          <cell r="E108" t="str">
            <v>SSCARDI</v>
          </cell>
          <cell r="F108" t="str">
            <v>Cardiac Services</v>
          </cell>
        </row>
        <row r="109">
          <cell r="B109" t="str">
            <v>0015112</v>
          </cell>
          <cell r="C109" t="str">
            <v>Catheter Lab</v>
          </cell>
          <cell r="D109" t="str">
            <v>Specialist</v>
          </cell>
          <cell r="E109" t="str">
            <v>SSCARDI</v>
          </cell>
          <cell r="F109" t="str">
            <v>Cardiac Services</v>
          </cell>
        </row>
        <row r="110">
          <cell r="B110" t="str">
            <v>0015113</v>
          </cell>
          <cell r="C110" t="str">
            <v xml:space="preserve"> Cardiac Perfusionists</v>
          </cell>
          <cell r="D110" t="str">
            <v>Specialist</v>
          </cell>
          <cell r="E110" t="str">
            <v>SSCARDI</v>
          </cell>
          <cell r="F110" t="str">
            <v>Cardiac Services</v>
          </cell>
        </row>
        <row r="111">
          <cell r="B111" t="str">
            <v>0015114</v>
          </cell>
          <cell r="C111" t="str">
            <v>Cardiac Theatres</v>
          </cell>
          <cell r="D111" t="str">
            <v>Specialist</v>
          </cell>
          <cell r="E111" t="str">
            <v>SSCARDI</v>
          </cell>
          <cell r="F111" t="str">
            <v>Cardiac Services</v>
          </cell>
        </row>
        <row r="112">
          <cell r="B112" t="str">
            <v>0015117</v>
          </cell>
          <cell r="C112" t="str">
            <v>Medical Ward Level 10 (Albion and Lewes)</v>
          </cell>
          <cell r="D112" t="str">
            <v>Specialist</v>
          </cell>
          <cell r="E112" t="str">
            <v>SSCARDI</v>
          </cell>
          <cell r="F112" t="str">
            <v>Cardiac Services</v>
          </cell>
        </row>
        <row r="113">
          <cell r="B113" t="str">
            <v>0015118</v>
          </cell>
          <cell r="C113" t="str">
            <v>HDU &amp; Recovery</v>
          </cell>
          <cell r="D113" t="str">
            <v>Specialist</v>
          </cell>
          <cell r="E113" t="str">
            <v>SSCARDI</v>
          </cell>
          <cell r="F113" t="str">
            <v>Cardiac Services</v>
          </cell>
        </row>
        <row r="114">
          <cell r="B114" t="str">
            <v>0015120</v>
          </cell>
          <cell r="C114" t="str">
            <v>Financial Planning Cardiology Management</v>
          </cell>
          <cell r="D114" t="str">
            <v>Specialist</v>
          </cell>
          <cell r="E114" t="str">
            <v>SSCARDI</v>
          </cell>
          <cell r="F114" t="str">
            <v>Cardiac Services</v>
          </cell>
        </row>
        <row r="115">
          <cell r="B115" t="str">
            <v>0015121</v>
          </cell>
          <cell r="C115" t="str">
            <v>Cardiac Admin Staff</v>
          </cell>
          <cell r="D115" t="str">
            <v>Specialist</v>
          </cell>
          <cell r="E115" t="str">
            <v>SSCARDI</v>
          </cell>
          <cell r="F115" t="str">
            <v>Cardiac Services</v>
          </cell>
        </row>
        <row r="116">
          <cell r="B116" t="str">
            <v>0015199</v>
          </cell>
          <cell r="C116" t="str">
            <v>Cardiac Emergency Capacity</v>
          </cell>
          <cell r="D116" t="str">
            <v>Specialist</v>
          </cell>
          <cell r="E116" t="str">
            <v>SSCARDI</v>
          </cell>
          <cell r="F116" t="str">
            <v>Cardiac Services</v>
          </cell>
        </row>
        <row r="117">
          <cell r="B117" t="str">
            <v>0015200</v>
          </cell>
          <cell r="C117" t="str">
            <v>GUM - Medical Staffing</v>
          </cell>
          <cell r="D117" t="str">
            <v>Specialist</v>
          </cell>
          <cell r="E117" t="str">
            <v>SSHIVGU</v>
          </cell>
          <cell r="F117" t="str">
            <v>HIV/GUM</v>
          </cell>
        </row>
        <row r="118">
          <cell r="B118" t="str">
            <v>0015201</v>
          </cell>
          <cell r="C118" t="str">
            <v>Gum Health Advisors</v>
          </cell>
          <cell r="D118" t="str">
            <v>Specialist</v>
          </cell>
          <cell r="E118" t="str">
            <v>SSHIVGU</v>
          </cell>
          <cell r="F118" t="str">
            <v>HIV/GUM</v>
          </cell>
        </row>
        <row r="119">
          <cell r="B119" t="str">
            <v>0015202</v>
          </cell>
          <cell r="C119" t="str">
            <v>Clinic Support Team</v>
          </cell>
          <cell r="D119" t="str">
            <v>Specialist</v>
          </cell>
          <cell r="E119" t="str">
            <v>SSHIVGU</v>
          </cell>
          <cell r="F119" t="str">
            <v>HIV/GUM</v>
          </cell>
        </row>
        <row r="120">
          <cell r="B120" t="str">
            <v>0015203</v>
          </cell>
          <cell r="C120" t="str">
            <v>Gum Nursing</v>
          </cell>
          <cell r="D120" t="str">
            <v>Specialist</v>
          </cell>
          <cell r="E120" t="str">
            <v>SSHIVGU</v>
          </cell>
          <cell r="F120" t="str">
            <v>HIV/GUM</v>
          </cell>
        </row>
        <row r="121">
          <cell r="B121" t="str">
            <v>0015204</v>
          </cell>
          <cell r="C121" t="str">
            <v>Howard 2 Ward (6 Beds)</v>
          </cell>
          <cell r="D121" t="str">
            <v>Specialist</v>
          </cell>
          <cell r="E121" t="str">
            <v>SSHIVGU</v>
          </cell>
          <cell r="F121" t="str">
            <v>HIV/GUM</v>
          </cell>
        </row>
        <row r="122">
          <cell r="B122" t="str">
            <v>0015205</v>
          </cell>
          <cell r="C122" t="str">
            <v>Chlamydia Screening Programme</v>
          </cell>
          <cell r="D122" t="str">
            <v>Specialist</v>
          </cell>
          <cell r="E122" t="str">
            <v>SSHIVGU</v>
          </cell>
          <cell r="F122" t="str">
            <v>HIV/GUM</v>
          </cell>
        </row>
        <row r="123">
          <cell r="B123" t="str">
            <v>0015206</v>
          </cell>
          <cell r="C123" t="str">
            <v>GUM/HIV Outreach - THT</v>
          </cell>
          <cell r="D123" t="str">
            <v>Specialist</v>
          </cell>
          <cell r="E123" t="str">
            <v>SSHIVGU</v>
          </cell>
          <cell r="F123" t="str">
            <v>HIV/GUM</v>
          </cell>
        </row>
        <row r="124">
          <cell r="B124" t="str">
            <v>0015207</v>
          </cell>
          <cell r="C124" t="str">
            <v>Preston Road Service</v>
          </cell>
          <cell r="D124" t="str">
            <v>Specialist</v>
          </cell>
          <cell r="E124" t="str">
            <v>SSHIVGU</v>
          </cell>
          <cell r="F124" t="str">
            <v>HIV/GUM</v>
          </cell>
        </row>
        <row r="125">
          <cell r="B125" t="str">
            <v>0015210</v>
          </cell>
          <cell r="C125" t="str">
            <v>Financial Planning HIV-GUM</v>
          </cell>
          <cell r="D125" t="str">
            <v>Specialist</v>
          </cell>
          <cell r="E125" t="str">
            <v>SSHIVGU</v>
          </cell>
          <cell r="F125" t="str">
            <v>HIV/GUM</v>
          </cell>
        </row>
        <row r="126">
          <cell r="B126" t="str">
            <v>0015300</v>
          </cell>
          <cell r="C126" t="str">
            <v>Neurology - Medical Staffing</v>
          </cell>
          <cell r="D126" t="str">
            <v>Specialist</v>
          </cell>
          <cell r="E126" t="str">
            <v>SSNEURO</v>
          </cell>
          <cell r="F126" t="str">
            <v>Neurosciences</v>
          </cell>
        </row>
        <row r="127">
          <cell r="B127" t="str">
            <v>0015301</v>
          </cell>
          <cell r="C127" t="str">
            <v>Medical Staff Neurosurgery</v>
          </cell>
          <cell r="D127" t="str">
            <v>Specialist</v>
          </cell>
          <cell r="E127" t="str">
            <v>SSNEURO</v>
          </cell>
          <cell r="F127" t="str">
            <v>Neurosciences</v>
          </cell>
        </row>
        <row r="128">
          <cell r="B128" t="str">
            <v>0015303</v>
          </cell>
          <cell r="C128" t="str">
            <v>Neuro-Psychology</v>
          </cell>
          <cell r="D128" t="str">
            <v>Specialist</v>
          </cell>
          <cell r="E128" t="str">
            <v>SSNEURO</v>
          </cell>
          <cell r="F128" t="str">
            <v>Neurosciences</v>
          </cell>
        </row>
        <row r="129">
          <cell r="B129" t="str">
            <v>0015304</v>
          </cell>
          <cell r="C129" t="str">
            <v>Medical Staff Neuropathology</v>
          </cell>
          <cell r="D129" t="str">
            <v>Specialist</v>
          </cell>
          <cell r="E129" t="str">
            <v>SSNEURO</v>
          </cell>
          <cell r="F129" t="str">
            <v>Neurosciences</v>
          </cell>
        </row>
        <row r="130">
          <cell r="B130" t="str">
            <v>0015305</v>
          </cell>
          <cell r="C130" t="str">
            <v>Nursing Management</v>
          </cell>
          <cell r="D130" t="str">
            <v>Specialist</v>
          </cell>
          <cell r="E130" t="str">
            <v>SSNEURO</v>
          </cell>
          <cell r="F130" t="str">
            <v>Neurosciences</v>
          </cell>
        </row>
        <row r="131">
          <cell r="B131" t="str">
            <v>0015306</v>
          </cell>
          <cell r="C131" t="str">
            <v>Neuro Surgical Ward HWP</v>
          </cell>
          <cell r="D131" t="str">
            <v>Specialist</v>
          </cell>
          <cell r="E131" t="str">
            <v>SSNEURO</v>
          </cell>
          <cell r="F131" t="str">
            <v>Neurosciences</v>
          </cell>
        </row>
        <row r="132">
          <cell r="B132" t="str">
            <v>0015307</v>
          </cell>
          <cell r="C132" t="str">
            <v>Nursing - Med Ward (17 P/T Beds)</v>
          </cell>
          <cell r="D132" t="str">
            <v>Specialist</v>
          </cell>
          <cell r="E132" t="str">
            <v>SSNEURO</v>
          </cell>
          <cell r="F132" t="str">
            <v>Neurosciences</v>
          </cell>
        </row>
        <row r="133">
          <cell r="B133" t="str">
            <v>0015308</v>
          </cell>
          <cell r="C133" t="str">
            <v>Neuro ICU HWP</v>
          </cell>
          <cell r="D133" t="str">
            <v>Specialist</v>
          </cell>
          <cell r="E133" t="str">
            <v>SSNEURO</v>
          </cell>
          <cell r="F133" t="str">
            <v>Neurosciences</v>
          </cell>
        </row>
        <row r="134">
          <cell r="B134" t="str">
            <v>0015309</v>
          </cell>
          <cell r="C134" t="str">
            <v>Nursing (Theatre)</v>
          </cell>
          <cell r="D134" t="str">
            <v>Specialist</v>
          </cell>
          <cell r="E134" t="str">
            <v>SSNEURO</v>
          </cell>
          <cell r="F134" t="str">
            <v>Neurosciences</v>
          </cell>
        </row>
        <row r="135">
          <cell r="B135" t="str">
            <v>0015310</v>
          </cell>
          <cell r="C135" t="str">
            <v>Nursing (O.P.D)</v>
          </cell>
          <cell r="D135" t="str">
            <v>Specialist</v>
          </cell>
          <cell r="E135" t="str">
            <v>SSNEURO</v>
          </cell>
          <cell r="F135" t="str">
            <v>Neurosciences</v>
          </cell>
        </row>
        <row r="136">
          <cell r="B136" t="str">
            <v>0015311</v>
          </cell>
          <cell r="C136" t="str">
            <v>Neuro Radiography - Nursing</v>
          </cell>
          <cell r="D136" t="str">
            <v>Specialist</v>
          </cell>
          <cell r="E136" t="str">
            <v>SSNEURO</v>
          </cell>
          <cell r="F136" t="str">
            <v>Neurosciences</v>
          </cell>
        </row>
        <row r="137">
          <cell r="B137" t="str">
            <v>0015312</v>
          </cell>
          <cell r="C137" t="str">
            <v>MRI / External Scans</v>
          </cell>
          <cell r="D137" t="str">
            <v>Specialist</v>
          </cell>
          <cell r="E137" t="str">
            <v>SSNEURO</v>
          </cell>
          <cell r="F137" t="str">
            <v>Neurosciences</v>
          </cell>
        </row>
        <row r="138">
          <cell r="B138" t="str">
            <v>0015313</v>
          </cell>
          <cell r="C138" t="str">
            <v>Neurophysiology Dept HWP</v>
          </cell>
          <cell r="D138" t="str">
            <v>Specialist</v>
          </cell>
          <cell r="E138" t="str">
            <v>SSNEURO</v>
          </cell>
          <cell r="F138" t="str">
            <v>Neurosciences</v>
          </cell>
        </row>
        <row r="139">
          <cell r="B139" t="str">
            <v>0015314</v>
          </cell>
          <cell r="C139" t="str">
            <v>Neuro Radiologists-Consultants</v>
          </cell>
          <cell r="D139" t="str">
            <v>Specialist</v>
          </cell>
          <cell r="E139" t="str">
            <v>SSNEURO</v>
          </cell>
          <cell r="F139" t="str">
            <v>Neurosciences</v>
          </cell>
        </row>
        <row r="140">
          <cell r="B140" t="str">
            <v>0015315</v>
          </cell>
          <cell r="C140" t="str">
            <v>Med Secs HPNC</v>
          </cell>
          <cell r="D140" t="str">
            <v>Specialist</v>
          </cell>
          <cell r="E140" t="str">
            <v>SSNEURO</v>
          </cell>
          <cell r="F140" t="str">
            <v>Neurosciences</v>
          </cell>
        </row>
        <row r="141">
          <cell r="B141" t="str">
            <v>0015316</v>
          </cell>
          <cell r="C141" t="str">
            <v>HPNC Patient Access Team</v>
          </cell>
          <cell r="D141" t="str">
            <v>Specialist</v>
          </cell>
          <cell r="E141" t="str">
            <v>SSNEURO</v>
          </cell>
          <cell r="F141" t="str">
            <v>Neurosciences</v>
          </cell>
        </row>
        <row r="142">
          <cell r="B142" t="str">
            <v>0015317</v>
          </cell>
          <cell r="C142" t="str">
            <v>Financial Planning Neurosciences</v>
          </cell>
          <cell r="D142" t="str">
            <v>Specialist</v>
          </cell>
          <cell r="E142" t="str">
            <v>SSNEURO</v>
          </cell>
          <cell r="F142" t="str">
            <v>Neurosciences</v>
          </cell>
        </row>
        <row r="143">
          <cell r="B143" t="str">
            <v>0015318</v>
          </cell>
          <cell r="C143" t="str">
            <v>PP Neurosciences Direc</v>
          </cell>
          <cell r="D143" t="str">
            <v>Specialist</v>
          </cell>
          <cell r="E143" t="str">
            <v>SSNEURO</v>
          </cell>
          <cell r="F143" t="str">
            <v>Neurosciences</v>
          </cell>
        </row>
        <row r="144">
          <cell r="B144" t="str">
            <v>0015400</v>
          </cell>
          <cell r="C144" t="str">
            <v>Renal CAPD</v>
          </cell>
          <cell r="D144" t="str">
            <v>Specialist</v>
          </cell>
          <cell r="E144" t="str">
            <v>SSRENAL</v>
          </cell>
          <cell r="F144" t="str">
            <v>Renal Services</v>
          </cell>
        </row>
        <row r="145">
          <cell r="B145" t="str">
            <v>0015401</v>
          </cell>
          <cell r="C145" t="str">
            <v xml:space="preserve"> Haemodialysis</v>
          </cell>
          <cell r="D145" t="str">
            <v>Specialist</v>
          </cell>
          <cell r="E145" t="str">
            <v>SSRENAL</v>
          </cell>
          <cell r="F145" t="str">
            <v>Renal Services</v>
          </cell>
        </row>
        <row r="146">
          <cell r="B146" t="str">
            <v>0015402</v>
          </cell>
          <cell r="C146" t="str">
            <v>Home Haemodialysis</v>
          </cell>
          <cell r="D146" t="str">
            <v>Specialist</v>
          </cell>
          <cell r="E146" t="str">
            <v>SSRENAL</v>
          </cell>
          <cell r="F146" t="str">
            <v>Renal Services</v>
          </cell>
        </row>
        <row r="147">
          <cell r="B147" t="str">
            <v>0015403</v>
          </cell>
          <cell r="C147" t="str">
            <v>Renal Management</v>
          </cell>
          <cell r="D147" t="str">
            <v>Specialist</v>
          </cell>
          <cell r="E147" t="str">
            <v>SSRENAL</v>
          </cell>
          <cell r="F147" t="str">
            <v>Renal Services</v>
          </cell>
        </row>
        <row r="148">
          <cell r="B148" t="str">
            <v>0015404</v>
          </cell>
          <cell r="C148" t="str">
            <v>Renal PACT</v>
          </cell>
          <cell r="D148" t="str">
            <v>Specialist</v>
          </cell>
          <cell r="E148" t="str">
            <v>SSRENAL</v>
          </cell>
          <cell r="F148" t="str">
            <v>Renal Services</v>
          </cell>
        </row>
        <row r="149">
          <cell r="B149" t="str">
            <v>0015405</v>
          </cell>
          <cell r="C149" t="str">
            <v>Financial Planning Renal</v>
          </cell>
          <cell r="D149" t="str">
            <v>Specialist</v>
          </cell>
          <cell r="E149" t="str">
            <v>SSRENAL</v>
          </cell>
          <cell r="F149" t="str">
            <v>Renal Services</v>
          </cell>
        </row>
        <row r="150">
          <cell r="B150" t="str">
            <v>0015406</v>
          </cell>
          <cell r="C150" t="str">
            <v>Renal Technicians</v>
          </cell>
          <cell r="D150" t="str">
            <v>Specialist</v>
          </cell>
          <cell r="E150" t="str">
            <v>SSRENAL</v>
          </cell>
          <cell r="F150" t="str">
            <v>Renal Services</v>
          </cell>
        </row>
        <row r="151">
          <cell r="B151" t="str">
            <v>0015407</v>
          </cell>
          <cell r="C151" t="str">
            <v>Renal Transplants (OPD)</v>
          </cell>
          <cell r="D151" t="str">
            <v>Specialist</v>
          </cell>
          <cell r="E151" t="str">
            <v>SSRENAL</v>
          </cell>
          <cell r="F151" t="str">
            <v>Renal Services</v>
          </cell>
        </row>
        <row r="152">
          <cell r="B152" t="str">
            <v>0015408</v>
          </cell>
          <cell r="C152" t="str">
            <v>Renal Ward (30Beds Weekdays, 24W/ends)</v>
          </cell>
          <cell r="D152" t="str">
            <v>Specialist</v>
          </cell>
          <cell r="E152" t="str">
            <v>SSRENAL</v>
          </cell>
          <cell r="F152" t="str">
            <v>Renal Services</v>
          </cell>
        </row>
        <row r="153">
          <cell r="B153" t="str">
            <v>0015409</v>
          </cell>
          <cell r="C153" t="str">
            <v>Renal Services Administration</v>
          </cell>
          <cell r="D153" t="str">
            <v>Specialist</v>
          </cell>
          <cell r="E153" t="str">
            <v>SSRENAL</v>
          </cell>
          <cell r="F153" t="str">
            <v>Renal Services</v>
          </cell>
        </row>
        <row r="154">
          <cell r="B154" t="str">
            <v>0015410</v>
          </cell>
          <cell r="C154" t="str">
            <v>Bexhill Satellite Unit</v>
          </cell>
          <cell r="D154" t="str">
            <v>Specialist</v>
          </cell>
          <cell r="E154" t="str">
            <v>SSRENAL</v>
          </cell>
          <cell r="F154" t="str">
            <v>Renal Services</v>
          </cell>
        </row>
        <row r="155">
          <cell r="B155" t="str">
            <v>0015411</v>
          </cell>
          <cell r="C155" t="str">
            <v>Crawley Satellite Unit</v>
          </cell>
          <cell r="D155" t="str">
            <v>Specialist</v>
          </cell>
          <cell r="E155" t="str">
            <v>SSRENAL</v>
          </cell>
          <cell r="F155" t="str">
            <v>Renal Services</v>
          </cell>
        </row>
        <row r="156">
          <cell r="B156" t="str">
            <v>0015412</v>
          </cell>
          <cell r="C156" t="str">
            <v>Worthing Satellite Unit</v>
          </cell>
          <cell r="D156" t="str">
            <v>Specialist</v>
          </cell>
          <cell r="E156" t="str">
            <v>SSRENAL</v>
          </cell>
          <cell r="F156" t="str">
            <v>Renal Services</v>
          </cell>
        </row>
        <row r="157">
          <cell r="B157" t="str">
            <v>0015413</v>
          </cell>
          <cell r="C157" t="str">
            <v>Other Specialties Bed Cost</v>
          </cell>
          <cell r="D157" t="str">
            <v>Specialist</v>
          </cell>
          <cell r="E157" t="str">
            <v>SSRENAL</v>
          </cell>
          <cell r="F157" t="str">
            <v>Renal Services</v>
          </cell>
        </row>
        <row r="158">
          <cell r="B158" t="str">
            <v>0015414</v>
          </cell>
          <cell r="C158" t="str">
            <v>Holiday Dialysis</v>
          </cell>
          <cell r="D158" t="str">
            <v>Specialist</v>
          </cell>
          <cell r="E158" t="str">
            <v>SSRENAL</v>
          </cell>
          <cell r="F158" t="str">
            <v>Renal Services</v>
          </cell>
        </row>
        <row r="159">
          <cell r="B159" t="str">
            <v>0016001</v>
          </cell>
          <cell r="C159" t="str">
            <v>Stomatherapy</v>
          </cell>
          <cell r="D159" t="str">
            <v>Surgery</v>
          </cell>
          <cell r="E159" t="str">
            <v>ELDIGES</v>
          </cell>
          <cell r="F159" t="str">
            <v>Digestive Diseases</v>
          </cell>
        </row>
        <row r="160">
          <cell r="B160" t="str">
            <v>0016003</v>
          </cell>
          <cell r="C160" t="str">
            <v>Emergency Surgery Admin</v>
          </cell>
          <cell r="D160" t="str">
            <v>Surgery</v>
          </cell>
          <cell r="E160" t="str">
            <v>ELDIGES</v>
          </cell>
          <cell r="F160" t="str">
            <v>Digestive Diseases</v>
          </cell>
        </row>
        <row r="161">
          <cell r="B161" t="str">
            <v>0016004</v>
          </cell>
          <cell r="C161" t="str">
            <v>Level 9A  Ward (57 beds)</v>
          </cell>
          <cell r="D161" t="str">
            <v>Surgery</v>
          </cell>
          <cell r="E161" t="str">
            <v>ELDIGES</v>
          </cell>
          <cell r="F161" t="str">
            <v>Digestive Diseases</v>
          </cell>
        </row>
        <row r="162">
          <cell r="B162" t="str">
            <v>0016005</v>
          </cell>
          <cell r="C162" t="str">
            <v>Hurstpierpoint Ward</v>
          </cell>
          <cell r="D162" t="str">
            <v>Surgery</v>
          </cell>
          <cell r="E162" t="str">
            <v>ELPRHWR</v>
          </cell>
          <cell r="F162" t="str">
            <v>PRH Wards</v>
          </cell>
        </row>
        <row r="163">
          <cell r="B163" t="str">
            <v>0016006</v>
          </cell>
          <cell r="C163" t="str">
            <v>Endoscopy</v>
          </cell>
          <cell r="D163" t="str">
            <v>Surgery</v>
          </cell>
          <cell r="E163" t="str">
            <v>ELENDOS</v>
          </cell>
          <cell r="F163" t="str">
            <v>Endoscopy</v>
          </cell>
        </row>
        <row r="164">
          <cell r="B164" t="str">
            <v>0016007</v>
          </cell>
          <cell r="C164" t="str">
            <v>Digestive Diseases OPD</v>
          </cell>
          <cell r="D164" t="str">
            <v>Surgery</v>
          </cell>
          <cell r="E164" t="str">
            <v>ELDIGES</v>
          </cell>
          <cell r="F164" t="str">
            <v>Digestive Diseases</v>
          </cell>
        </row>
        <row r="165">
          <cell r="B165" t="str">
            <v>0016008</v>
          </cell>
          <cell r="C165" t="str">
            <v>Digestive Diseases Pact</v>
          </cell>
          <cell r="D165" t="str">
            <v>Surgery</v>
          </cell>
          <cell r="E165" t="str">
            <v>ELDIGES</v>
          </cell>
          <cell r="F165" t="str">
            <v>Digestive Diseases</v>
          </cell>
        </row>
        <row r="166">
          <cell r="B166" t="str">
            <v>0016009</v>
          </cell>
          <cell r="C166" t="str">
            <v>Old Albourne Ward (Now 0016510)</v>
          </cell>
          <cell r="D166" t="str">
            <v>Surgery</v>
          </cell>
          <cell r="E166" t="str">
            <v>ELPRHWR</v>
          </cell>
          <cell r="F166" t="str">
            <v>PRH Wards</v>
          </cell>
        </row>
        <row r="167">
          <cell r="B167" t="str">
            <v>0016010</v>
          </cell>
          <cell r="C167" t="str">
            <v>Financial Planning Endosocopy</v>
          </cell>
          <cell r="D167" t="str">
            <v>Surgery</v>
          </cell>
          <cell r="E167" t="str">
            <v>ELENDOS</v>
          </cell>
          <cell r="F167" t="str">
            <v>Endoscopy</v>
          </cell>
        </row>
        <row r="168">
          <cell r="B168" t="str">
            <v>0016012</v>
          </cell>
          <cell r="C168" t="str">
            <v>Endoscopy Waiting List Intiatives</v>
          </cell>
          <cell r="D168" t="str">
            <v>Surgery</v>
          </cell>
          <cell r="E168" t="str">
            <v>ELENDOS</v>
          </cell>
          <cell r="F168" t="str">
            <v>Endoscopy</v>
          </cell>
        </row>
        <row r="169">
          <cell r="B169" t="str">
            <v>0016013</v>
          </cell>
          <cell r="C169" t="str">
            <v>Digestive Diseases - Junior Doctors</v>
          </cell>
          <cell r="D169" t="str">
            <v>Surgery</v>
          </cell>
          <cell r="E169" t="str">
            <v>ELDIGES</v>
          </cell>
          <cell r="F169" t="str">
            <v>Digestive Diseases</v>
          </cell>
        </row>
        <row r="170">
          <cell r="B170" t="str">
            <v>0016014</v>
          </cell>
          <cell r="C170" t="str">
            <v>Bowel Screening - Digestive Diseases</v>
          </cell>
          <cell r="D170" t="str">
            <v>Surgery</v>
          </cell>
          <cell r="E170" t="str">
            <v>ELDIGES</v>
          </cell>
          <cell r="F170" t="str">
            <v>Digestive Diseases</v>
          </cell>
        </row>
        <row r="171">
          <cell r="B171" t="str">
            <v>0016015</v>
          </cell>
          <cell r="C171" t="str">
            <v>Financial Planning Digestive Diseases</v>
          </cell>
          <cell r="D171" t="str">
            <v>Surgery</v>
          </cell>
          <cell r="E171" t="str">
            <v>ELDIGES</v>
          </cell>
          <cell r="F171" t="str">
            <v>Digestive Diseases</v>
          </cell>
        </row>
        <row r="172">
          <cell r="B172" t="str">
            <v>0016100</v>
          </cell>
          <cell r="C172" t="str">
            <v xml:space="preserve"> ENT (Outpatients)</v>
          </cell>
          <cell r="D172" t="str">
            <v>Surgery</v>
          </cell>
          <cell r="E172" t="str">
            <v>_x000C_ELEARNT</v>
          </cell>
          <cell r="F172" t="str">
            <v xml:space="preserve"> ENT</v>
          </cell>
        </row>
        <row r="173">
          <cell r="B173" t="str">
            <v>0016101</v>
          </cell>
          <cell r="C173" t="str">
            <v>ENT Medical Records</v>
          </cell>
          <cell r="D173" t="str">
            <v>Surgery</v>
          </cell>
          <cell r="E173" t="str">
            <v>_x000C_ELEARNT</v>
          </cell>
          <cell r="F173" t="str">
            <v xml:space="preserve"> ENT</v>
          </cell>
        </row>
        <row r="174">
          <cell r="B174" t="str">
            <v>0016102</v>
          </cell>
          <cell r="C174" t="str">
            <v>Financial Planning ENT</v>
          </cell>
          <cell r="D174" t="str">
            <v>Surgery</v>
          </cell>
          <cell r="E174" t="str">
            <v>_x000C_ELEARNT</v>
          </cell>
          <cell r="F174" t="str">
            <v xml:space="preserve"> ENT</v>
          </cell>
        </row>
        <row r="175">
          <cell r="B175" t="str">
            <v>0016104</v>
          </cell>
          <cell r="C175" t="str">
            <v>Audiology</v>
          </cell>
          <cell r="D175" t="str">
            <v>Surgery</v>
          </cell>
          <cell r="E175" t="str">
            <v>ELAUDIO</v>
          </cell>
          <cell r="F175" t="str">
            <v>Audiology</v>
          </cell>
        </row>
        <row r="176">
          <cell r="B176" t="str">
            <v>0016105</v>
          </cell>
          <cell r="C176" t="str">
            <v>ENT</v>
          </cell>
          <cell r="D176" t="str">
            <v>Surgery</v>
          </cell>
          <cell r="E176" t="str">
            <v>_x000C_ELEARNT</v>
          </cell>
          <cell r="F176" t="str">
            <v xml:space="preserve"> ENT</v>
          </cell>
        </row>
        <row r="177">
          <cell r="B177" t="str">
            <v>0016106</v>
          </cell>
          <cell r="C177" t="str">
            <v>ENT Admin</v>
          </cell>
          <cell r="D177" t="str">
            <v>Surgery</v>
          </cell>
          <cell r="E177" t="str">
            <v>ELADMIN</v>
          </cell>
          <cell r="F177" t="str">
            <v>Administration</v>
          </cell>
        </row>
        <row r="178">
          <cell r="B178" t="str">
            <v>0016107</v>
          </cell>
          <cell r="C178" t="str">
            <v>Level 8A East (Head &amp; Neck)</v>
          </cell>
          <cell r="D178" t="str">
            <v>Surgery</v>
          </cell>
          <cell r="E178" t="str">
            <v>_x000C_ELEARNT</v>
          </cell>
          <cell r="F178" t="str">
            <v xml:space="preserve"> ENT</v>
          </cell>
        </row>
        <row r="179">
          <cell r="B179" t="str">
            <v>0016108</v>
          </cell>
          <cell r="C179" t="str">
            <v>Financial Planning Audiology</v>
          </cell>
          <cell r="D179" t="str">
            <v>Surgery</v>
          </cell>
          <cell r="E179" t="str">
            <v>ELAUDIO</v>
          </cell>
          <cell r="F179" t="str">
            <v>Audiology</v>
          </cell>
        </row>
        <row r="180">
          <cell r="B180" t="str">
            <v>0016110</v>
          </cell>
          <cell r="C180" t="str">
            <v>Financial Planning PRH Wards</v>
          </cell>
          <cell r="D180" t="str">
            <v>Surgery</v>
          </cell>
          <cell r="E180" t="str">
            <v>ELPRHWR</v>
          </cell>
          <cell r="F180" t="str">
            <v>PRH Wards</v>
          </cell>
        </row>
        <row r="181">
          <cell r="B181" t="str">
            <v>0016200</v>
          </cell>
          <cell r="C181" t="str">
            <v>Elective Division Management Team</v>
          </cell>
          <cell r="D181" t="str">
            <v>Surgery</v>
          </cell>
          <cell r="E181" t="str">
            <v>ELMANAG</v>
          </cell>
          <cell r="F181" t="str">
            <v>Management</v>
          </cell>
        </row>
        <row r="182">
          <cell r="B182" t="str">
            <v>0016201</v>
          </cell>
          <cell r="C182" t="str">
            <v>Financial Planning Elective Management</v>
          </cell>
          <cell r="D182" t="str">
            <v>Surgery</v>
          </cell>
          <cell r="E182" t="str">
            <v>ELMANAG</v>
          </cell>
          <cell r="F182" t="str">
            <v>Management</v>
          </cell>
        </row>
        <row r="183">
          <cell r="B183" t="str">
            <v>0016204</v>
          </cell>
          <cell r="C183" t="str">
            <v>Pre-Operative Assessment</v>
          </cell>
          <cell r="D183" t="str">
            <v>Surgery</v>
          </cell>
          <cell r="E183" t="str">
            <v>ELPRHWR</v>
          </cell>
          <cell r="F183" t="str">
            <v>PRH Wards</v>
          </cell>
        </row>
        <row r="184">
          <cell r="B184" t="str">
            <v>0016205</v>
          </cell>
          <cell r="C184" t="str">
            <v>Waiting List Management</v>
          </cell>
          <cell r="D184" t="str">
            <v>Surgery</v>
          </cell>
          <cell r="E184" t="str">
            <v>ELMANAG</v>
          </cell>
          <cell r="F184" t="str">
            <v>Management</v>
          </cell>
        </row>
        <row r="185">
          <cell r="B185" t="str">
            <v>0016207</v>
          </cell>
          <cell r="C185" t="str">
            <v>Lewes Victoria Hospital SLA</v>
          </cell>
          <cell r="D185" t="str">
            <v>Surgery</v>
          </cell>
          <cell r="E185" t="str">
            <v>ELMANAG</v>
          </cell>
          <cell r="F185" t="str">
            <v>Management</v>
          </cell>
        </row>
        <row r="186">
          <cell r="B186" t="str">
            <v>0016400</v>
          </cell>
          <cell r="C186" t="str">
            <v>Oral Surgery</v>
          </cell>
          <cell r="D186" t="str">
            <v>Surgery</v>
          </cell>
          <cell r="E186" t="str">
            <v>ELOMXFS</v>
          </cell>
          <cell r="F186" t="str">
            <v>OMFS</v>
          </cell>
        </row>
        <row r="187">
          <cell r="B187" t="str">
            <v>0016401</v>
          </cell>
          <cell r="C187" t="str">
            <v>Financial Planning Oral Surgery</v>
          </cell>
          <cell r="D187" t="str">
            <v>Surgery</v>
          </cell>
          <cell r="E187" t="str">
            <v>ELOMXFS</v>
          </cell>
          <cell r="F187" t="str">
            <v>OMFS</v>
          </cell>
        </row>
        <row r="188">
          <cell r="B188" t="str">
            <v>0016404</v>
          </cell>
          <cell r="C188" t="str">
            <v>Oral/Max Fac Admin</v>
          </cell>
          <cell r="D188" t="str">
            <v>Surgery</v>
          </cell>
          <cell r="E188" t="str">
            <v>ELADMIN</v>
          </cell>
          <cell r="F188" t="str">
            <v>Administration</v>
          </cell>
        </row>
        <row r="189">
          <cell r="B189" t="str">
            <v>0016503</v>
          </cell>
          <cell r="C189" t="str">
            <v>Plaster Room PRH</v>
          </cell>
          <cell r="D189" t="str">
            <v>Surgery</v>
          </cell>
          <cell r="E189" t="str">
            <v>ELTRAUM</v>
          </cell>
          <cell r="F189" t="str">
            <v>Trauma &amp; Orthopaedics</v>
          </cell>
        </row>
        <row r="190">
          <cell r="B190" t="str">
            <v>0016505</v>
          </cell>
          <cell r="C190" t="str">
            <v>T &amp; O Admin - PRH</v>
          </cell>
          <cell r="D190" t="str">
            <v>Surgery</v>
          </cell>
          <cell r="E190" t="str">
            <v>ELADMIN</v>
          </cell>
          <cell r="F190" t="str">
            <v>Administration</v>
          </cell>
        </row>
        <row r="191">
          <cell r="B191" t="str">
            <v>0016506</v>
          </cell>
          <cell r="C191" t="str">
            <v>Trauma &amp; Ortho. (PP)</v>
          </cell>
          <cell r="D191" t="str">
            <v>Surgery</v>
          </cell>
          <cell r="E191" t="str">
            <v>ELTRAUM</v>
          </cell>
          <cell r="F191" t="str">
            <v>Trauma &amp; Orthopaedics</v>
          </cell>
        </row>
        <row r="192">
          <cell r="B192" t="str">
            <v>0016507</v>
          </cell>
          <cell r="C192" t="str">
            <v>Fracture Clinic</v>
          </cell>
          <cell r="D192" t="str">
            <v>Surgery</v>
          </cell>
          <cell r="E192" t="str">
            <v>ELTRAUM</v>
          </cell>
          <cell r="F192" t="str">
            <v>Trauma &amp; Orthopaedics</v>
          </cell>
        </row>
        <row r="193">
          <cell r="B193" t="str">
            <v>0016508</v>
          </cell>
          <cell r="C193" t="str">
            <v>T and O Medical Records RSCH</v>
          </cell>
          <cell r="D193" t="str">
            <v>Surgery</v>
          </cell>
          <cell r="E193" t="str">
            <v>ELTRAUM</v>
          </cell>
          <cell r="F193" t="str">
            <v>Trauma &amp; Orthopaedics</v>
          </cell>
        </row>
        <row r="194">
          <cell r="B194" t="str">
            <v>0016509</v>
          </cell>
          <cell r="C194" t="str">
            <v>T &amp; O Admin - RSCH</v>
          </cell>
          <cell r="D194" t="str">
            <v>Surgery</v>
          </cell>
          <cell r="E194" t="str">
            <v>ELADMIN</v>
          </cell>
          <cell r="F194" t="str">
            <v>Administration</v>
          </cell>
        </row>
        <row r="195">
          <cell r="B195" t="str">
            <v>0016510</v>
          </cell>
          <cell r="C195" t="str">
            <v>Albourne and Twineham Wards</v>
          </cell>
          <cell r="D195" t="str">
            <v>Surgery</v>
          </cell>
          <cell r="E195" t="str">
            <v>ELPRHWR</v>
          </cell>
          <cell r="F195" t="str">
            <v>PRH Wards</v>
          </cell>
        </row>
        <row r="196">
          <cell r="B196" t="str">
            <v>0016511</v>
          </cell>
          <cell r="C196" t="str">
            <v>Financial Planning Trauma &amp; Orthopaedics</v>
          </cell>
          <cell r="D196" t="str">
            <v>Surgery</v>
          </cell>
          <cell r="E196" t="str">
            <v>ELTRAUM</v>
          </cell>
          <cell r="F196" t="str">
            <v>Trauma &amp; Orthopaedics</v>
          </cell>
        </row>
        <row r="197">
          <cell r="B197" t="str">
            <v>0016514</v>
          </cell>
          <cell r="C197" t="str">
            <v>Level 8A West (32 Beds)</v>
          </cell>
          <cell r="D197" t="str">
            <v>Surgery</v>
          </cell>
          <cell r="E197" t="str">
            <v>ELTRAUM</v>
          </cell>
          <cell r="F197" t="str">
            <v>Trauma &amp; Orthopaedics</v>
          </cell>
        </row>
        <row r="198">
          <cell r="B198" t="str">
            <v>0016515</v>
          </cell>
          <cell r="C198" t="str">
            <v>Trauma and Orthopaedics</v>
          </cell>
          <cell r="D198" t="str">
            <v>Surgery</v>
          </cell>
          <cell r="E198" t="str">
            <v>ELTRAUM</v>
          </cell>
          <cell r="F198" t="str">
            <v>Trauma &amp; Orthopaedics</v>
          </cell>
        </row>
        <row r="199">
          <cell r="B199" t="str">
            <v>0016516</v>
          </cell>
          <cell r="C199" t="str">
            <v>Patient Appliances RSCH</v>
          </cell>
          <cell r="D199" t="str">
            <v>Surgery</v>
          </cell>
          <cell r="E199" t="str">
            <v>ELTRAUM</v>
          </cell>
          <cell r="F199" t="str">
            <v>Trauma &amp; Orthopaedics</v>
          </cell>
        </row>
        <row r="200">
          <cell r="B200" t="str">
            <v>0016517</v>
          </cell>
          <cell r="C200" t="str">
            <v>Back Pain Clinic</v>
          </cell>
          <cell r="D200" t="str">
            <v>Surgery</v>
          </cell>
          <cell r="E200" t="str">
            <v>ELTRAUM</v>
          </cell>
          <cell r="F200" t="str">
            <v>Trauma &amp; Orthopaedics</v>
          </cell>
        </row>
        <row r="201">
          <cell r="B201" t="str">
            <v>0016519</v>
          </cell>
          <cell r="C201" t="str">
            <v>Trauma and Orthopaedics - Elective</v>
          </cell>
          <cell r="D201" t="str">
            <v>Surgery</v>
          </cell>
          <cell r="E201" t="str">
            <v>ELTRAUM</v>
          </cell>
          <cell r="F201" t="str">
            <v>Trauma &amp; Orthopaedics</v>
          </cell>
        </row>
        <row r="202">
          <cell r="B202" t="str">
            <v>0016520</v>
          </cell>
          <cell r="C202" t="str">
            <v>Trauma and Orthopaedics - Trauma</v>
          </cell>
          <cell r="D202" t="str">
            <v>Surgery</v>
          </cell>
          <cell r="E202" t="str">
            <v>ELTRAUM</v>
          </cell>
          <cell r="F202" t="str">
            <v>Trauma &amp; Orthopaedics</v>
          </cell>
        </row>
        <row r="203">
          <cell r="B203" t="str">
            <v>0016521</v>
          </cell>
          <cell r="C203" t="str">
            <v>Patient Appliances - Income RSCH</v>
          </cell>
          <cell r="D203" t="str">
            <v>Surgery</v>
          </cell>
          <cell r="E203" t="str">
            <v>ELTRAUM</v>
          </cell>
          <cell r="F203" t="str">
            <v>Trauma &amp; Orthopaedics</v>
          </cell>
        </row>
        <row r="204">
          <cell r="B204" t="str">
            <v>0016522</v>
          </cell>
          <cell r="C204" t="str">
            <v>Patient Appliances PRH</v>
          </cell>
          <cell r="D204" t="str">
            <v>Surgery</v>
          </cell>
          <cell r="E204" t="str">
            <v>ELTRAUM</v>
          </cell>
          <cell r="F204" t="str">
            <v>Trauma &amp; Orthopaedics</v>
          </cell>
        </row>
        <row r="205">
          <cell r="B205" t="str">
            <v>0016523</v>
          </cell>
          <cell r="C205" t="str">
            <v>Patient Appliances - Income PRH</v>
          </cell>
          <cell r="D205" t="str">
            <v>Surgery</v>
          </cell>
          <cell r="E205" t="str">
            <v>ELTRAUM</v>
          </cell>
          <cell r="F205" t="str">
            <v>Trauma &amp; Orthopaedics</v>
          </cell>
        </row>
        <row r="206">
          <cell r="B206" t="str">
            <v>0016602</v>
          </cell>
          <cell r="C206" t="str">
            <v>Financial Planning Urology</v>
          </cell>
          <cell r="D206" t="str">
            <v>Surgery</v>
          </cell>
          <cell r="E206" t="str">
            <v>ELUROLO</v>
          </cell>
          <cell r="F206" t="str">
            <v>Urology</v>
          </cell>
        </row>
        <row r="207">
          <cell r="B207" t="str">
            <v>0016603</v>
          </cell>
          <cell r="C207" t="str">
            <v>Urology</v>
          </cell>
          <cell r="D207" t="str">
            <v>Surgery</v>
          </cell>
          <cell r="E207" t="str">
            <v>ELUROLO</v>
          </cell>
          <cell r="F207" t="str">
            <v>Urology</v>
          </cell>
        </row>
        <row r="208">
          <cell r="B208" t="str">
            <v>0016604</v>
          </cell>
          <cell r="C208" t="str">
            <v>Urology Admin</v>
          </cell>
          <cell r="D208" t="str">
            <v>Surgery</v>
          </cell>
          <cell r="E208" t="str">
            <v>ELADMIN</v>
          </cell>
          <cell r="F208" t="str">
            <v>Administration</v>
          </cell>
        </row>
        <row r="209">
          <cell r="B209" t="str">
            <v>0016705</v>
          </cell>
          <cell r="C209" t="str">
            <v>Ansty Ward</v>
          </cell>
          <cell r="D209" t="str">
            <v>Surgery</v>
          </cell>
          <cell r="E209" t="str">
            <v>ELPRHWR</v>
          </cell>
          <cell r="F209" t="str">
            <v>PRH Wards</v>
          </cell>
        </row>
        <row r="210">
          <cell r="B210" t="str">
            <v>0016706</v>
          </cell>
          <cell r="C210" t="str">
            <v>Vascular Surgery Junior Doctors</v>
          </cell>
          <cell r="D210" t="str">
            <v>Surgery</v>
          </cell>
          <cell r="E210" t="str">
            <v>ELVASCU</v>
          </cell>
          <cell r="F210" t="str">
            <v>Vascular Surgery</v>
          </cell>
        </row>
        <row r="211">
          <cell r="B211" t="str">
            <v>0016707</v>
          </cell>
          <cell r="C211" t="str">
            <v>Vascular  Pact</v>
          </cell>
          <cell r="D211" t="str">
            <v>Surgery</v>
          </cell>
          <cell r="E211" t="str">
            <v>ELVASCU</v>
          </cell>
          <cell r="F211" t="str">
            <v>Vascular Surgery</v>
          </cell>
        </row>
        <row r="212">
          <cell r="B212" t="str">
            <v>0016708</v>
          </cell>
          <cell r="C212" t="str">
            <v>Level 8 Ward (32 beds)</v>
          </cell>
          <cell r="D212" t="str">
            <v>Surgery</v>
          </cell>
          <cell r="E212" t="str">
            <v>ELVASCU</v>
          </cell>
          <cell r="F212" t="str">
            <v>Vascular Surgery</v>
          </cell>
        </row>
        <row r="213">
          <cell r="B213" t="str">
            <v>0016709</v>
          </cell>
          <cell r="C213" t="str">
            <v>Vascular Lab</v>
          </cell>
          <cell r="D213" t="str">
            <v>Surgery</v>
          </cell>
          <cell r="E213" t="str">
            <v>ELVASCU</v>
          </cell>
          <cell r="F213" t="str">
            <v>Vascular Surgery</v>
          </cell>
        </row>
        <row r="214">
          <cell r="B214" t="str">
            <v>0016710</v>
          </cell>
          <cell r="C214" t="str">
            <v>Vascular - Sift</v>
          </cell>
          <cell r="D214" t="str">
            <v>Surgery</v>
          </cell>
          <cell r="E214" t="str">
            <v>ELVASCU</v>
          </cell>
          <cell r="F214" t="str">
            <v>Vascular Surgery</v>
          </cell>
        </row>
        <row r="215">
          <cell r="B215" t="str">
            <v>0016711</v>
          </cell>
          <cell r="C215" t="str">
            <v>Financial Planning Vascular</v>
          </cell>
          <cell r="D215" t="str">
            <v>Surgery</v>
          </cell>
          <cell r="E215" t="str">
            <v>ELVASCU</v>
          </cell>
          <cell r="F215" t="str">
            <v>Vascular Surgery</v>
          </cell>
        </row>
        <row r="216">
          <cell r="B216" t="str">
            <v>0017001</v>
          </cell>
          <cell r="C216" t="str">
            <v>Park Centre Outpatients</v>
          </cell>
          <cell r="D216" t="str">
            <v>Surgery</v>
          </cell>
          <cell r="E216" t="str">
            <v>ELBREAS</v>
          </cell>
          <cell r="F216" t="str">
            <v>Breast Surgery</v>
          </cell>
        </row>
        <row r="217">
          <cell r="B217" t="str">
            <v>0017010</v>
          </cell>
          <cell r="C217" t="str">
            <v>Breast Care Nursing</v>
          </cell>
          <cell r="D217" t="str">
            <v>Surgery</v>
          </cell>
          <cell r="E217" t="str">
            <v>ELBREAS</v>
          </cell>
          <cell r="F217" t="str">
            <v>Breast Surgery</v>
          </cell>
        </row>
        <row r="218">
          <cell r="B218" t="str">
            <v>0017020</v>
          </cell>
          <cell r="C218" t="str">
            <v>Park Centre Outpatients (Management)</v>
          </cell>
          <cell r="D218" t="str">
            <v>Surgery</v>
          </cell>
          <cell r="E218" t="str">
            <v>ELBREAS</v>
          </cell>
          <cell r="F218" t="str">
            <v>Breast Surgery</v>
          </cell>
        </row>
        <row r="219">
          <cell r="B219" t="str">
            <v>0017100</v>
          </cell>
          <cell r="C219" t="str">
            <v>RACH Maxillofacial</v>
          </cell>
          <cell r="D219" t="str">
            <v>Women &amp; Children</v>
          </cell>
          <cell r="E219" t="str">
            <v>WCPAEDM</v>
          </cell>
          <cell r="F219" t="str">
            <v>Paediatrics</v>
          </cell>
        </row>
        <row r="220">
          <cell r="B220" t="str">
            <v>0017101</v>
          </cell>
          <cell r="C220" t="str">
            <v>RAH Dental Services</v>
          </cell>
          <cell r="D220" t="str">
            <v>Women &amp; Children</v>
          </cell>
          <cell r="E220" t="str">
            <v>WCPAEDM</v>
          </cell>
          <cell r="F220" t="str">
            <v>Paediatrics</v>
          </cell>
        </row>
        <row r="221">
          <cell r="B221" t="str">
            <v>0017105</v>
          </cell>
          <cell r="C221" t="str">
            <v>Financial Planning Breast Services</v>
          </cell>
          <cell r="D221" t="str">
            <v>Surgery</v>
          </cell>
          <cell r="E221" t="str">
            <v>ELBREAS</v>
          </cell>
          <cell r="F221" t="str">
            <v>Breast Surgery</v>
          </cell>
        </row>
        <row r="222">
          <cell r="B222" t="str">
            <v>0017200</v>
          </cell>
          <cell r="C222" t="str">
            <v>Maternity Management</v>
          </cell>
          <cell r="D222" t="str">
            <v>Women &amp; Children</v>
          </cell>
          <cell r="E222" t="str">
            <v>WCOBSTE</v>
          </cell>
          <cell r="F222" t="str">
            <v>Obstetrics</v>
          </cell>
        </row>
        <row r="223">
          <cell r="B223" t="str">
            <v>0017201</v>
          </cell>
          <cell r="C223" t="str">
            <v>Pathology Trading Account</v>
          </cell>
          <cell r="D223" t="str">
            <v>Specialist</v>
          </cell>
          <cell r="E223" t="str">
            <v>SSMANAG</v>
          </cell>
          <cell r="F223" t="str">
            <v>Specialised Services Management</v>
          </cell>
        </row>
        <row r="224">
          <cell r="B224" t="str">
            <v>0017202</v>
          </cell>
          <cell r="C224" t="str">
            <v>Obstetrics Public Health</v>
          </cell>
          <cell r="D224" t="str">
            <v>Women &amp; Children</v>
          </cell>
          <cell r="E224" t="str">
            <v>WCOBSTE</v>
          </cell>
          <cell r="F224" t="str">
            <v>Obstetrics</v>
          </cell>
        </row>
        <row r="225">
          <cell r="B225" t="str">
            <v>0017210</v>
          </cell>
          <cell r="C225" t="str">
            <v>W&amp;C Management</v>
          </cell>
          <cell r="D225" t="str">
            <v>Women &amp; Children</v>
          </cell>
          <cell r="E225" t="str">
            <v>WCMANAG</v>
          </cell>
          <cell r="F225" t="str">
            <v>W and C Management</v>
          </cell>
        </row>
        <row r="226">
          <cell r="B226" t="str">
            <v>0017300</v>
          </cell>
          <cell r="C226" t="str">
            <v>T.M.B.U.</v>
          </cell>
          <cell r="D226" t="str">
            <v>Women &amp; Children</v>
          </cell>
          <cell r="E226" t="str">
            <v>WCNEONA</v>
          </cell>
          <cell r="F226" t="str">
            <v>Neonatology</v>
          </cell>
        </row>
        <row r="227">
          <cell r="B227" t="str">
            <v>0017301</v>
          </cell>
          <cell r="C227" t="str">
            <v>SCBU -  PRH</v>
          </cell>
          <cell r="D227" t="str">
            <v>Women &amp; Children</v>
          </cell>
          <cell r="E227" t="str">
            <v>WCNEONA</v>
          </cell>
          <cell r="F227" t="str">
            <v>Neonatology</v>
          </cell>
        </row>
        <row r="228">
          <cell r="B228" t="str">
            <v>0017302</v>
          </cell>
          <cell r="C228" t="str">
            <v>ANNP'S</v>
          </cell>
          <cell r="D228" t="str">
            <v>Women &amp; Children</v>
          </cell>
          <cell r="E228" t="str">
            <v>WCNEONA</v>
          </cell>
          <cell r="F228" t="str">
            <v>Neonatology</v>
          </cell>
        </row>
        <row r="229">
          <cell r="B229" t="str">
            <v>0017303</v>
          </cell>
          <cell r="C229" t="str">
            <v>TMBU Medical Staff</v>
          </cell>
          <cell r="D229" t="str">
            <v>Women &amp; Children</v>
          </cell>
          <cell r="E229" t="str">
            <v>WCNEONA</v>
          </cell>
          <cell r="F229" t="str">
            <v>Neonatology</v>
          </cell>
        </row>
        <row r="230">
          <cell r="B230" t="str">
            <v>0017305</v>
          </cell>
          <cell r="C230" t="str">
            <v>Financial Planning Neonatology</v>
          </cell>
          <cell r="D230" t="str">
            <v>Women &amp; Children</v>
          </cell>
          <cell r="E230" t="str">
            <v>WCNEONA</v>
          </cell>
          <cell r="F230" t="str">
            <v>Neonatology</v>
          </cell>
        </row>
        <row r="231">
          <cell r="B231" t="str">
            <v>0017400</v>
          </cell>
          <cell r="C231" t="str">
            <v>Midwifery Students</v>
          </cell>
          <cell r="D231" t="str">
            <v>Women &amp; Children</v>
          </cell>
          <cell r="E231" t="str">
            <v>WCOBSTE</v>
          </cell>
          <cell r="F231" t="str">
            <v>Obstetrics</v>
          </cell>
        </row>
        <row r="232">
          <cell r="B232" t="str">
            <v>0017401</v>
          </cell>
          <cell r="C232" t="str">
            <v>Financial Planning Obstetrics</v>
          </cell>
          <cell r="D232" t="str">
            <v>Women &amp; Children</v>
          </cell>
          <cell r="E232" t="str">
            <v>WCOBSTE</v>
          </cell>
          <cell r="F232" t="str">
            <v>Obstetrics</v>
          </cell>
        </row>
        <row r="233">
          <cell r="B233" t="str">
            <v>0017402</v>
          </cell>
          <cell r="C233" t="str">
            <v>O/G Medical Staff PRH</v>
          </cell>
          <cell r="D233" t="str">
            <v>Women &amp; Children</v>
          </cell>
          <cell r="E233" t="str">
            <v>WCOBSTE</v>
          </cell>
          <cell r="F233" t="str">
            <v>Obstetrics</v>
          </cell>
        </row>
        <row r="234">
          <cell r="B234" t="str">
            <v>0017403</v>
          </cell>
          <cell r="C234" t="str">
            <v>O/G Medical Staff RSCH</v>
          </cell>
          <cell r="D234" t="str">
            <v>Women &amp; Children</v>
          </cell>
          <cell r="E234" t="str">
            <v>WCOBSTE</v>
          </cell>
          <cell r="F234" t="str">
            <v>Obstetrics</v>
          </cell>
        </row>
        <row r="235">
          <cell r="B235" t="str">
            <v>0017404</v>
          </cell>
          <cell r="C235" t="str">
            <v>PP Obs &amp; Gynae Directo</v>
          </cell>
          <cell r="D235" t="str">
            <v>Women &amp; Children</v>
          </cell>
          <cell r="E235" t="str">
            <v>WCOBSTE</v>
          </cell>
          <cell r="F235" t="str">
            <v>Obstetrics</v>
          </cell>
        </row>
        <row r="236">
          <cell r="B236" t="str">
            <v>0017405</v>
          </cell>
          <cell r="C236" t="str">
            <v>RSCH Midwives</v>
          </cell>
          <cell r="D236" t="str">
            <v>Women &amp; Children</v>
          </cell>
          <cell r="E236" t="str">
            <v>WCOBSTE</v>
          </cell>
          <cell r="F236" t="str">
            <v>Obstetrics</v>
          </cell>
        </row>
        <row r="237">
          <cell r="B237" t="str">
            <v>0017406</v>
          </cell>
          <cell r="C237" t="str">
            <v>Bolney Ward PRH</v>
          </cell>
          <cell r="D237" t="str">
            <v>Women &amp; Children</v>
          </cell>
          <cell r="E237" t="str">
            <v>WCOBSTE</v>
          </cell>
          <cell r="F237" t="str">
            <v>Obstetrics</v>
          </cell>
        </row>
        <row r="238">
          <cell r="B238" t="str">
            <v>0017407</v>
          </cell>
          <cell r="C238" t="str">
            <v>Fertility Clinic</v>
          </cell>
          <cell r="D238" t="str">
            <v>Women &amp; Children</v>
          </cell>
          <cell r="E238" t="str">
            <v>WCOBSTE</v>
          </cell>
          <cell r="F238" t="str">
            <v>Obstetrics</v>
          </cell>
        </row>
        <row r="239">
          <cell r="B239" t="str">
            <v>0017408</v>
          </cell>
          <cell r="C239" t="str">
            <v>Horsted Keynes - Gynae Ward</v>
          </cell>
          <cell r="D239" t="str">
            <v>Women &amp; Children</v>
          </cell>
          <cell r="E239" t="str">
            <v>WCGYNAE</v>
          </cell>
          <cell r="F239" t="str">
            <v>Gynaecology</v>
          </cell>
        </row>
        <row r="240">
          <cell r="B240" t="str">
            <v>0017409</v>
          </cell>
          <cell r="C240" t="str">
            <v>Maternity Medical Records</v>
          </cell>
          <cell r="D240" t="str">
            <v>Women &amp; Children</v>
          </cell>
          <cell r="E240" t="str">
            <v>WCOBSTE</v>
          </cell>
          <cell r="F240" t="str">
            <v>Obstetrics</v>
          </cell>
        </row>
        <row r="241">
          <cell r="B241" t="str">
            <v>0017410</v>
          </cell>
          <cell r="C241" t="str">
            <v>Obstetric Sec. - PRH</v>
          </cell>
          <cell r="D241" t="str">
            <v>Women &amp; Children</v>
          </cell>
          <cell r="E241" t="str">
            <v>WCOBSTE</v>
          </cell>
          <cell r="F241" t="str">
            <v>Obstetrics</v>
          </cell>
        </row>
        <row r="242">
          <cell r="B242" t="str">
            <v>0017411</v>
          </cell>
          <cell r="C242" t="str">
            <v>Level 11 Gynae Ward</v>
          </cell>
          <cell r="D242" t="str">
            <v>Women &amp; Children</v>
          </cell>
          <cell r="E242" t="str">
            <v>WCGYNAE</v>
          </cell>
          <cell r="F242" t="str">
            <v>Gynaecology</v>
          </cell>
        </row>
        <row r="243">
          <cell r="B243" t="str">
            <v>0017412</v>
          </cell>
          <cell r="C243" t="str">
            <v>Gynae Admin</v>
          </cell>
          <cell r="D243" t="str">
            <v>Women &amp; Children</v>
          </cell>
          <cell r="E243" t="str">
            <v>WCGYNAE</v>
          </cell>
          <cell r="F243" t="str">
            <v>Gynaecology</v>
          </cell>
        </row>
        <row r="244">
          <cell r="B244" t="str">
            <v>0017413</v>
          </cell>
          <cell r="C244" t="str">
            <v>Financial Planning Gynae</v>
          </cell>
          <cell r="D244" t="str">
            <v>Women &amp; Children</v>
          </cell>
          <cell r="E244" t="str">
            <v>WCGYNAE</v>
          </cell>
          <cell r="F244" t="str">
            <v>Gynaecology</v>
          </cell>
        </row>
        <row r="245">
          <cell r="B245" t="str">
            <v>0017414</v>
          </cell>
          <cell r="C245" t="str">
            <v>Early Pregnancy Assessment Clinic (EPAC)</v>
          </cell>
          <cell r="D245" t="str">
            <v>Women &amp; Children</v>
          </cell>
          <cell r="E245" t="str">
            <v>WCGYNAE</v>
          </cell>
          <cell r="F245" t="str">
            <v>Gynaecology</v>
          </cell>
        </row>
        <row r="246">
          <cell r="B246" t="str">
            <v>0017415</v>
          </cell>
          <cell r="C246" t="str">
            <v>Obstetrics Training and Audit Cost Centre</v>
          </cell>
          <cell r="D246" t="str">
            <v>Women &amp; Children</v>
          </cell>
          <cell r="E246" t="str">
            <v>WCOBSTE</v>
          </cell>
          <cell r="F246" t="str">
            <v>Obstetrics</v>
          </cell>
        </row>
        <row r="247">
          <cell r="B247" t="str">
            <v>0017416</v>
          </cell>
          <cell r="C247" t="str">
            <v>Down Screening Set Up Costs</v>
          </cell>
          <cell r="D247" t="str">
            <v>Women &amp; Children</v>
          </cell>
          <cell r="E247" t="str">
            <v>WCOBSTE</v>
          </cell>
          <cell r="F247" t="str">
            <v>Obstetrics</v>
          </cell>
        </row>
        <row r="248">
          <cell r="B248" t="str">
            <v>0017500</v>
          </cell>
          <cell r="C248" t="str">
            <v>RACH Nurse Management</v>
          </cell>
          <cell r="D248" t="str">
            <v>Women &amp; Children</v>
          </cell>
          <cell r="E248" t="str">
            <v>WCPAEDM</v>
          </cell>
          <cell r="F248" t="str">
            <v>Paediatrics</v>
          </cell>
        </row>
        <row r="249">
          <cell r="B249" t="str">
            <v>0017502</v>
          </cell>
          <cell r="C249" t="str">
            <v>RACH Administration</v>
          </cell>
          <cell r="D249" t="str">
            <v>Women &amp; Children</v>
          </cell>
          <cell r="E249" t="str">
            <v>WCPAEDM</v>
          </cell>
          <cell r="F249" t="str">
            <v>Paediatrics</v>
          </cell>
        </row>
        <row r="250">
          <cell r="B250" t="str">
            <v>0017503</v>
          </cell>
          <cell r="C250" t="str">
            <v>RACH Secretarial Services</v>
          </cell>
          <cell r="D250" t="str">
            <v>Women &amp; Children</v>
          </cell>
          <cell r="E250" t="str">
            <v>WCPAEDM</v>
          </cell>
          <cell r="F250" t="str">
            <v>Paediatrics</v>
          </cell>
        </row>
        <row r="251">
          <cell r="B251" t="str">
            <v>0017505</v>
          </cell>
          <cell r="C251" t="str">
            <v>RACH Patient Appliances</v>
          </cell>
          <cell r="D251" t="str">
            <v>Women &amp; Children</v>
          </cell>
          <cell r="E251" t="str">
            <v>WCPAEDM</v>
          </cell>
          <cell r="F251" t="str">
            <v>Paediatrics</v>
          </cell>
        </row>
        <row r="252">
          <cell r="B252" t="str">
            <v>0017507</v>
          </cell>
          <cell r="C252" t="str">
            <v>RACH HDU/PICU</v>
          </cell>
          <cell r="D252" t="str">
            <v>Women &amp; Children</v>
          </cell>
          <cell r="E252" t="str">
            <v>WCPAEDM</v>
          </cell>
          <cell r="F252" t="str">
            <v>Paediatrics</v>
          </cell>
        </row>
        <row r="253">
          <cell r="B253" t="str">
            <v>0017508</v>
          </cell>
          <cell r="C253" t="str">
            <v>RACH Surgical Ward</v>
          </cell>
          <cell r="D253" t="str">
            <v>Women &amp; Children</v>
          </cell>
          <cell r="E253" t="str">
            <v>WCPAEDM</v>
          </cell>
          <cell r="F253" t="str">
            <v>Paediatrics</v>
          </cell>
        </row>
        <row r="254">
          <cell r="B254" t="str">
            <v>0017509</v>
          </cell>
          <cell r="C254" t="str">
            <v>RACH Radiography Services</v>
          </cell>
          <cell r="D254" t="str">
            <v>Specialist</v>
          </cell>
          <cell r="E254" t="str">
            <v>SSIMAGI</v>
          </cell>
          <cell r="F254" t="str">
            <v>Imaging/Nuclear Medicine</v>
          </cell>
        </row>
        <row r="255">
          <cell r="B255" t="str">
            <v>0017512</v>
          </cell>
          <cell r="C255" t="str">
            <v>RACH Medical Ward</v>
          </cell>
          <cell r="D255" t="str">
            <v>Women &amp; Children</v>
          </cell>
          <cell r="E255" t="str">
            <v>WCPAEDM</v>
          </cell>
          <cell r="F255" t="str">
            <v>Paediatrics</v>
          </cell>
        </row>
        <row r="256">
          <cell r="B256" t="str">
            <v>0017514</v>
          </cell>
          <cell r="C256" t="str">
            <v>RACH Medical Services</v>
          </cell>
          <cell r="D256" t="str">
            <v>Women &amp; Children</v>
          </cell>
          <cell r="E256" t="str">
            <v>WCPAEDM</v>
          </cell>
          <cell r="F256" t="str">
            <v>Paediatrics</v>
          </cell>
        </row>
        <row r="257">
          <cell r="B257" t="str">
            <v>0017515</v>
          </cell>
          <cell r="C257" t="str">
            <v>RACH Receptionists</v>
          </cell>
          <cell r="D257" t="str">
            <v>Women &amp; Children</v>
          </cell>
          <cell r="E257" t="str">
            <v>WCPAEDM</v>
          </cell>
          <cell r="F257" t="str">
            <v>Paediatrics</v>
          </cell>
        </row>
        <row r="258">
          <cell r="B258" t="str">
            <v>0017516</v>
          </cell>
          <cell r="C258" t="str">
            <v>Royal College Examinations - PAEDS</v>
          </cell>
          <cell r="D258" t="str">
            <v>Women &amp; Children</v>
          </cell>
          <cell r="E258" t="str">
            <v>WCPAEDM</v>
          </cell>
          <cell r="F258" t="str">
            <v>Paediatrics</v>
          </cell>
        </row>
        <row r="259">
          <cell r="B259" t="str">
            <v>0017518</v>
          </cell>
          <cell r="C259" t="str">
            <v>RACH Theatres</v>
          </cell>
          <cell r="D259" t="str">
            <v>Women &amp; Children</v>
          </cell>
          <cell r="E259" t="str">
            <v>WCPAEDM</v>
          </cell>
          <cell r="F259" t="str">
            <v>Paediatrics</v>
          </cell>
        </row>
        <row r="260">
          <cell r="B260" t="str">
            <v>0017519</v>
          </cell>
          <cell r="C260" t="str">
            <v>RACH Respiratory</v>
          </cell>
          <cell r="D260" t="str">
            <v>Women &amp; Children</v>
          </cell>
          <cell r="E260" t="str">
            <v>WCPAEDM</v>
          </cell>
          <cell r="F260" t="str">
            <v>Paediatrics</v>
          </cell>
        </row>
        <row r="261">
          <cell r="B261" t="str">
            <v>0017522</v>
          </cell>
          <cell r="C261" t="str">
            <v xml:space="preserve"> RACH CASU/ Zone 4</v>
          </cell>
          <cell r="D261" t="str">
            <v>Women &amp; Children</v>
          </cell>
          <cell r="E261" t="str">
            <v>WCPAEDM</v>
          </cell>
          <cell r="F261" t="str">
            <v>Paediatrics</v>
          </cell>
        </row>
        <row r="262">
          <cell r="B262" t="str">
            <v>0017523</v>
          </cell>
          <cell r="C262" t="str">
            <v>RACH Surgical Services</v>
          </cell>
          <cell r="D262" t="str">
            <v>Women &amp; Children</v>
          </cell>
          <cell r="E262" t="str">
            <v>WCPAEDM</v>
          </cell>
          <cell r="F262" t="str">
            <v>Paediatrics</v>
          </cell>
        </row>
        <row r="263">
          <cell r="B263" t="str">
            <v>0017524</v>
          </cell>
          <cell r="C263" t="str">
            <v>PRH Ambulatory Care (Paeds)</v>
          </cell>
          <cell r="D263" t="str">
            <v>Women &amp; Children</v>
          </cell>
          <cell r="E263" t="str">
            <v>WCPAEDM</v>
          </cell>
          <cell r="F263" t="str">
            <v>Paediatrics</v>
          </cell>
        </row>
        <row r="264">
          <cell r="B264" t="str">
            <v>0017525</v>
          </cell>
          <cell r="C264" t="str">
            <v>Child Community Nursing Team</v>
          </cell>
          <cell r="D264" t="str">
            <v>Women &amp; Children</v>
          </cell>
          <cell r="E264" t="str">
            <v>WCPAEDM</v>
          </cell>
          <cell r="F264" t="str">
            <v>Paediatrics</v>
          </cell>
        </row>
        <row r="265">
          <cell r="B265" t="str">
            <v>0017526</v>
          </cell>
          <cell r="C265" t="str">
            <v>RACH Day Case Ward &amp; OPD</v>
          </cell>
          <cell r="D265" t="str">
            <v>Women &amp; Children</v>
          </cell>
          <cell r="E265" t="str">
            <v>WCPAEDM</v>
          </cell>
          <cell r="F265" t="str">
            <v>Paediatrics</v>
          </cell>
        </row>
        <row r="266">
          <cell r="B266" t="str">
            <v>0017530</v>
          </cell>
          <cell r="C266" t="str">
            <v>RACH Patient Access Services</v>
          </cell>
          <cell r="D266" t="str">
            <v>Women &amp; Children</v>
          </cell>
          <cell r="E266" t="str">
            <v>WCPAEDM</v>
          </cell>
          <cell r="F266" t="str">
            <v>Paediatrics</v>
          </cell>
        </row>
        <row r="267">
          <cell r="B267" t="str">
            <v>0017543</v>
          </cell>
          <cell r="C267" t="str">
            <v>RACH Receptionists</v>
          </cell>
          <cell r="D267" t="str">
            <v>Women &amp; Children</v>
          </cell>
          <cell r="E267" t="str">
            <v>WCPAEDM</v>
          </cell>
          <cell r="F267" t="str">
            <v>Paediatrics</v>
          </cell>
        </row>
        <row r="268">
          <cell r="B268" t="str">
            <v>0017544</v>
          </cell>
          <cell r="C268" t="str">
            <v>RACH Ward Clerks</v>
          </cell>
          <cell r="D268" t="str">
            <v>Women &amp; Children</v>
          </cell>
          <cell r="E268" t="str">
            <v>WCPAEDM</v>
          </cell>
          <cell r="F268" t="str">
            <v>Paediatrics</v>
          </cell>
        </row>
        <row r="269">
          <cell r="B269" t="str">
            <v>0017550</v>
          </cell>
          <cell r="C269" t="str">
            <v>Financial Planning Paediatrics</v>
          </cell>
          <cell r="D269" t="str">
            <v>Women &amp; Children</v>
          </cell>
          <cell r="E269" t="str">
            <v>WCPAEDM</v>
          </cell>
          <cell r="F269" t="str">
            <v>Paediatrics</v>
          </cell>
        </row>
        <row r="270">
          <cell r="B270" t="str">
            <v>0018000</v>
          </cell>
          <cell r="C270" t="str">
            <v>Ambulance Service Contracts</v>
          </cell>
          <cell r="D270" t="str">
            <v>Facilities</v>
          </cell>
          <cell r="E270" t="str">
            <v>FACOTH</v>
          </cell>
          <cell r="F270" t="str">
            <v>Facilities - Other Services Provided</v>
          </cell>
        </row>
        <row r="271">
          <cell r="B271" t="str">
            <v>0018100</v>
          </cell>
          <cell r="C271" t="str">
            <v>Outpatients (RSCH)</v>
          </cell>
          <cell r="D271" t="str">
            <v>Surgery</v>
          </cell>
          <cell r="E271" t="str">
            <v>ELOUTPA</v>
          </cell>
          <cell r="F271" t="str">
            <v>Outpatient Services</v>
          </cell>
        </row>
        <row r="272">
          <cell r="B272" t="str">
            <v>0018102</v>
          </cell>
          <cell r="C272" t="str">
            <v>Outpatients Appointments (RSCH)</v>
          </cell>
          <cell r="D272" t="str">
            <v>Surgery</v>
          </cell>
          <cell r="E272" t="str">
            <v>ELOUTPA</v>
          </cell>
          <cell r="F272" t="str">
            <v>Outpatient Services</v>
          </cell>
        </row>
        <row r="273">
          <cell r="B273" t="str">
            <v>0018103</v>
          </cell>
          <cell r="C273" t="str">
            <v>Outpatients (PRH)</v>
          </cell>
          <cell r="D273" t="str">
            <v>Surgery</v>
          </cell>
          <cell r="E273" t="str">
            <v>ELOUTPA</v>
          </cell>
          <cell r="F273" t="str">
            <v>Outpatient Services</v>
          </cell>
        </row>
        <row r="274">
          <cell r="B274" t="str">
            <v>0018105</v>
          </cell>
          <cell r="C274" t="str">
            <v>Outpatients Appointments (PRH)</v>
          </cell>
          <cell r="D274" t="str">
            <v>Surgery</v>
          </cell>
          <cell r="E274" t="str">
            <v>ELOUTPA</v>
          </cell>
          <cell r="F274" t="str">
            <v>Outpatient Services</v>
          </cell>
        </row>
        <row r="275">
          <cell r="B275" t="str">
            <v>0018106</v>
          </cell>
          <cell r="C275" t="str">
            <v>Financial Planning Outpatient Services</v>
          </cell>
          <cell r="D275" t="str">
            <v>Surgery</v>
          </cell>
          <cell r="E275" t="str">
            <v>ELOUTPA</v>
          </cell>
          <cell r="F275" t="str">
            <v>Outpatient Services</v>
          </cell>
        </row>
        <row r="276">
          <cell r="B276" t="str">
            <v>0018107</v>
          </cell>
          <cell r="C276" t="str">
            <v>Choose Book Project</v>
          </cell>
          <cell r="D276" t="str">
            <v>Surgery</v>
          </cell>
          <cell r="E276" t="str">
            <v>ELOUTPA</v>
          </cell>
          <cell r="F276" t="str">
            <v>Outpatient Services</v>
          </cell>
        </row>
        <row r="277">
          <cell r="B277" t="str">
            <v>0018200</v>
          </cell>
          <cell r="C277" t="str">
            <v>Admin Social Work Support (RSCH)</v>
          </cell>
          <cell r="D277" t="str">
            <v>Corporate</v>
          </cell>
          <cell r="E277" t="str">
            <v>FUCHFEX</v>
          </cell>
          <cell r="F277" t="str">
            <v>Chief Executive</v>
          </cell>
        </row>
        <row r="278">
          <cell r="B278" t="str">
            <v>0018300</v>
          </cell>
          <cell r="C278" t="str">
            <v>Dermatology (Trust)</v>
          </cell>
          <cell r="D278" t="str">
            <v>Medicine</v>
          </cell>
          <cell r="E278" t="str">
            <v>EMDERMA</v>
          </cell>
          <cell r="F278" t="str">
            <v>Dermatology</v>
          </cell>
        </row>
        <row r="279">
          <cell r="B279" t="str">
            <v>0018301</v>
          </cell>
          <cell r="C279" t="str">
            <v>Financial Planning Dermatology</v>
          </cell>
          <cell r="D279" t="str">
            <v>Medicine</v>
          </cell>
          <cell r="E279" t="str">
            <v>EMDERMA</v>
          </cell>
          <cell r="F279" t="str">
            <v>Dermatology</v>
          </cell>
        </row>
        <row r="280">
          <cell r="B280" t="str">
            <v>0018304</v>
          </cell>
          <cell r="C280" t="str">
            <v>Dermatology Admin</v>
          </cell>
          <cell r="D280" t="str">
            <v>Medicine</v>
          </cell>
          <cell r="E280" t="str">
            <v>EMDERMA</v>
          </cell>
          <cell r="F280" t="str">
            <v>Dermatology</v>
          </cell>
        </row>
        <row r="281">
          <cell r="B281" t="str">
            <v>0018305</v>
          </cell>
          <cell r="C281" t="str">
            <v>Financial Planning Elective Admin</v>
          </cell>
          <cell r="D281" t="str">
            <v>Medicine</v>
          </cell>
          <cell r="E281" t="str">
            <v>EMDERMA</v>
          </cell>
          <cell r="F281" t="str">
            <v>Dermatology</v>
          </cell>
        </row>
        <row r="282">
          <cell r="B282" t="str">
            <v>0018400</v>
          </cell>
          <cell r="C282" t="str">
            <v>Rheumatology</v>
          </cell>
          <cell r="D282" t="str">
            <v>Medicine</v>
          </cell>
          <cell r="E282" t="str">
            <v>EMRHEUM</v>
          </cell>
          <cell r="F282" t="str">
            <v>Rheumatology</v>
          </cell>
        </row>
        <row r="283">
          <cell r="B283" t="str">
            <v>0018401</v>
          </cell>
          <cell r="C283" t="str">
            <v>Rheumatology Training Budget</v>
          </cell>
          <cell r="D283" t="str">
            <v>Medicine</v>
          </cell>
          <cell r="E283" t="str">
            <v>EMRHEUM</v>
          </cell>
          <cell r="F283" t="str">
            <v>Rheumatology</v>
          </cell>
        </row>
        <row r="284">
          <cell r="B284" t="str">
            <v>0018402</v>
          </cell>
          <cell r="C284" t="str">
            <v>Financial Planning Rheumatology</v>
          </cell>
          <cell r="D284" t="str">
            <v>Medicine</v>
          </cell>
          <cell r="E284" t="str">
            <v>EMRHEUM</v>
          </cell>
          <cell r="F284" t="str">
            <v>Rheumatology</v>
          </cell>
        </row>
        <row r="285">
          <cell r="B285" t="str">
            <v>0018403</v>
          </cell>
          <cell r="C285" t="str">
            <v>Rheumatology (Admin.)</v>
          </cell>
          <cell r="D285" t="str">
            <v>Medicine</v>
          </cell>
          <cell r="E285" t="str">
            <v>EMRHEUM</v>
          </cell>
          <cell r="F285" t="str">
            <v>Rheumatology</v>
          </cell>
        </row>
        <row r="286">
          <cell r="B286" t="str">
            <v>0018500</v>
          </cell>
          <cell r="C286" t="str">
            <v>Ophthalmology Admin</v>
          </cell>
          <cell r="D286" t="str">
            <v>Surgery</v>
          </cell>
          <cell r="E286" t="str">
            <v>ELOPTHA</v>
          </cell>
          <cell r="F286" t="str">
            <v>Opthalmology</v>
          </cell>
        </row>
        <row r="287">
          <cell r="B287" t="str">
            <v>0018501</v>
          </cell>
          <cell r="C287" t="str">
            <v>Pickford Ward - 16 Beds</v>
          </cell>
          <cell r="D287" t="str">
            <v>Surgery</v>
          </cell>
          <cell r="E287" t="str">
            <v>ELOPTHA</v>
          </cell>
          <cell r="F287" t="str">
            <v>Opthalmology</v>
          </cell>
        </row>
        <row r="288">
          <cell r="B288" t="str">
            <v>0018502</v>
          </cell>
          <cell r="C288" t="str">
            <v>Ophthalmology PRH</v>
          </cell>
          <cell r="D288" t="str">
            <v>Surgery</v>
          </cell>
          <cell r="E288" t="str">
            <v>ELOPTHA</v>
          </cell>
          <cell r="F288" t="str">
            <v>Opthalmology</v>
          </cell>
        </row>
        <row r="289">
          <cell r="B289" t="str">
            <v>0018503</v>
          </cell>
          <cell r="C289" t="str">
            <v>Orthoptists</v>
          </cell>
          <cell r="D289" t="str">
            <v>Surgery</v>
          </cell>
          <cell r="E289" t="str">
            <v>ELOPTHA</v>
          </cell>
          <cell r="F289" t="str">
            <v>Opthalmology</v>
          </cell>
        </row>
        <row r="290">
          <cell r="B290" t="str">
            <v>0018504</v>
          </cell>
          <cell r="C290" t="str">
            <v>Opticians</v>
          </cell>
          <cell r="D290" t="str">
            <v>Surgery</v>
          </cell>
          <cell r="E290" t="str">
            <v>ELOPTHA</v>
          </cell>
          <cell r="F290" t="str">
            <v>Opthalmology</v>
          </cell>
        </row>
        <row r="291">
          <cell r="B291" t="str">
            <v>0018505</v>
          </cell>
          <cell r="C291" t="str">
            <v>Contact Lens</v>
          </cell>
          <cell r="D291" t="str">
            <v>Surgery</v>
          </cell>
          <cell r="E291" t="str">
            <v>ELOPTHA</v>
          </cell>
          <cell r="F291" t="str">
            <v>Opthalmology</v>
          </cell>
        </row>
        <row r="292">
          <cell r="B292" t="str">
            <v>0018506</v>
          </cell>
          <cell r="C292" t="str">
            <v>Ophthalmology A&amp;E and Outpatients</v>
          </cell>
          <cell r="D292" t="str">
            <v>Surgery</v>
          </cell>
          <cell r="E292" t="str">
            <v>ELOPTHA</v>
          </cell>
          <cell r="F292" t="str">
            <v>Opthalmology</v>
          </cell>
        </row>
        <row r="293">
          <cell r="B293" t="str">
            <v>0018507</v>
          </cell>
          <cell r="C293" t="str">
            <v>Ophthalmology</v>
          </cell>
          <cell r="D293" t="str">
            <v>Surgery</v>
          </cell>
          <cell r="E293" t="str">
            <v>ELOPTHA</v>
          </cell>
          <cell r="F293" t="str">
            <v>Opthalmology</v>
          </cell>
        </row>
        <row r="294">
          <cell r="B294" t="str">
            <v>0018508</v>
          </cell>
          <cell r="C294" t="str">
            <v>Ophthalmology OPD Admin</v>
          </cell>
          <cell r="D294" t="str">
            <v>Surgery</v>
          </cell>
          <cell r="E294" t="str">
            <v>ELOPTHA</v>
          </cell>
          <cell r="F294" t="str">
            <v>Opthalmology</v>
          </cell>
        </row>
        <row r="295">
          <cell r="B295" t="str">
            <v>0018509</v>
          </cell>
          <cell r="C295" t="str">
            <v>Ophthalmology Theatres</v>
          </cell>
          <cell r="D295" t="str">
            <v>Surgery</v>
          </cell>
          <cell r="E295" t="str">
            <v>ELOPTHA</v>
          </cell>
          <cell r="F295" t="str">
            <v>Opthalmology</v>
          </cell>
        </row>
        <row r="296">
          <cell r="B296" t="str">
            <v>0018510</v>
          </cell>
          <cell r="C296" t="str">
            <v>Financial Planning Ophthalmology</v>
          </cell>
          <cell r="D296" t="str">
            <v>Surgery</v>
          </cell>
          <cell r="E296" t="str">
            <v>ELOPTHA</v>
          </cell>
          <cell r="F296" t="str">
            <v>Opthalmology</v>
          </cell>
        </row>
        <row r="297">
          <cell r="B297" t="str">
            <v>0018512</v>
          </cell>
          <cell r="C297" t="str">
            <v>IVAN Trial</v>
          </cell>
          <cell r="D297" t="str">
            <v>Surgery</v>
          </cell>
          <cell r="E297" t="str">
            <v>ELOPTHA</v>
          </cell>
          <cell r="F297" t="str">
            <v>Opthalmology</v>
          </cell>
        </row>
        <row r="298">
          <cell r="B298" t="str">
            <v>0018515</v>
          </cell>
          <cell r="C298" t="str">
            <v>OOKP (Osteo Odontic Keratoprosthesis)</v>
          </cell>
          <cell r="D298" t="str">
            <v>Surgery</v>
          </cell>
          <cell r="E298" t="str">
            <v>ELOPTHA</v>
          </cell>
          <cell r="F298" t="str">
            <v>Opthalmology</v>
          </cell>
        </row>
        <row r="299">
          <cell r="B299" t="str">
            <v>0021100</v>
          </cell>
          <cell r="C299" t="str">
            <v>Bed Bureau/Admissions</v>
          </cell>
          <cell r="D299" t="str">
            <v>Corporate</v>
          </cell>
          <cell r="E299" t="str">
            <v>FUCHFEX</v>
          </cell>
          <cell r="F299" t="str">
            <v>Chief Executive</v>
          </cell>
        </row>
        <row r="300">
          <cell r="B300" t="str">
            <v>0021101</v>
          </cell>
          <cell r="C300" t="str">
            <v>Admin Social Work Support (PRH)</v>
          </cell>
          <cell r="D300" t="str">
            <v>Corporate</v>
          </cell>
          <cell r="E300" t="str">
            <v>FUCHFEX</v>
          </cell>
          <cell r="F300" t="str">
            <v>Chief Executive</v>
          </cell>
        </row>
        <row r="301">
          <cell r="B301" t="str">
            <v>0021200</v>
          </cell>
          <cell r="C301" t="str">
            <v>Clinical Site Management</v>
          </cell>
          <cell r="D301" t="str">
            <v>Corporate</v>
          </cell>
          <cell r="E301" t="str">
            <v>FUCHFEX</v>
          </cell>
          <cell r="F301" t="str">
            <v>Chief Executive</v>
          </cell>
        </row>
        <row r="302">
          <cell r="B302" t="str">
            <v>0021202</v>
          </cell>
          <cell r="C302" t="str">
            <v>Pool Nurses</v>
          </cell>
          <cell r="D302" t="str">
            <v>Corporate</v>
          </cell>
          <cell r="E302" t="str">
            <v>FUCHFEX</v>
          </cell>
          <cell r="F302" t="str">
            <v>Chief Executive</v>
          </cell>
        </row>
        <row r="303">
          <cell r="B303" t="str">
            <v>0021300</v>
          </cell>
          <cell r="C303" t="str">
            <v>Discharge Lounge - RSCH</v>
          </cell>
          <cell r="D303" t="str">
            <v>Corporate</v>
          </cell>
          <cell r="E303" t="str">
            <v>FUCHFEX</v>
          </cell>
          <cell r="F303" t="str">
            <v>Chief Executive</v>
          </cell>
        </row>
        <row r="304">
          <cell r="B304" t="str">
            <v>0021301</v>
          </cell>
          <cell r="C304" t="str">
            <v>Discharge Lounge - PRH</v>
          </cell>
          <cell r="D304" t="str">
            <v>Corporate</v>
          </cell>
          <cell r="E304" t="str">
            <v>FUCHFEX</v>
          </cell>
          <cell r="F304" t="str">
            <v>Chief Executive</v>
          </cell>
        </row>
        <row r="305">
          <cell r="B305" t="str">
            <v>0021401</v>
          </cell>
          <cell r="C305" t="str">
            <v>Emergency Planning</v>
          </cell>
          <cell r="D305" t="str">
            <v>Corporate</v>
          </cell>
          <cell r="E305" t="str">
            <v>FUCHFEX</v>
          </cell>
          <cell r="F305" t="str">
            <v>Chief Executive</v>
          </cell>
        </row>
        <row r="306">
          <cell r="B306" t="str">
            <v>0021402</v>
          </cell>
          <cell r="C306" t="str">
            <v>Flu Pandemic</v>
          </cell>
          <cell r="D306" t="str">
            <v>Corporate</v>
          </cell>
          <cell r="E306" t="str">
            <v>FUCHFEX</v>
          </cell>
          <cell r="F306" t="str">
            <v>Chief Executive</v>
          </cell>
        </row>
        <row r="307">
          <cell r="B307" t="str">
            <v>0022003</v>
          </cell>
          <cell r="C307" t="str">
            <v>Therapies Psychology</v>
          </cell>
          <cell r="D307" t="str">
            <v>Surgery</v>
          </cell>
          <cell r="E307" t="str">
            <v>ELMANAG</v>
          </cell>
          <cell r="F307" t="str">
            <v>Management</v>
          </cell>
        </row>
        <row r="308">
          <cell r="B308" t="str">
            <v>0022004</v>
          </cell>
          <cell r="C308" t="str">
            <v>Therapies Chiropody</v>
          </cell>
          <cell r="D308" t="str">
            <v>Surgery</v>
          </cell>
          <cell r="E308" t="str">
            <v>ELMANAG</v>
          </cell>
          <cell r="F308" t="str">
            <v>Management</v>
          </cell>
        </row>
        <row r="309">
          <cell r="B309" t="str">
            <v>0022005</v>
          </cell>
          <cell r="C309" t="str">
            <v>Speech and Language Therapy SLA</v>
          </cell>
          <cell r="D309" t="str">
            <v>Surgery</v>
          </cell>
          <cell r="E309" t="str">
            <v>ELMANAG</v>
          </cell>
          <cell r="F309" t="str">
            <v>Management</v>
          </cell>
        </row>
        <row r="310">
          <cell r="B310" t="str">
            <v>0022100</v>
          </cell>
          <cell r="C310" t="str">
            <v>Dietetics</v>
          </cell>
          <cell r="D310" t="str">
            <v>Medicine</v>
          </cell>
          <cell r="E310" t="str">
            <v>EMDIETE</v>
          </cell>
          <cell r="F310" t="str">
            <v>Dietetics</v>
          </cell>
        </row>
        <row r="311">
          <cell r="B311" t="str">
            <v>0022101</v>
          </cell>
          <cell r="C311" t="str">
            <v>Financial Planning Dietetics</v>
          </cell>
          <cell r="D311" t="str">
            <v>Medicine</v>
          </cell>
          <cell r="E311" t="str">
            <v>EMDIETE</v>
          </cell>
          <cell r="F311" t="str">
            <v>Dietetics</v>
          </cell>
        </row>
        <row r="312">
          <cell r="B312" t="str">
            <v>0022200</v>
          </cell>
          <cell r="C312" t="str">
            <v>Senior Medical Staff Imaging</v>
          </cell>
          <cell r="D312" t="str">
            <v>Specialist</v>
          </cell>
          <cell r="E312" t="str">
            <v>SSIMAGI</v>
          </cell>
          <cell r="F312" t="str">
            <v>Imaging/Nuclear Medicine</v>
          </cell>
        </row>
        <row r="313">
          <cell r="B313" t="str">
            <v>0022201</v>
          </cell>
          <cell r="C313" t="str">
            <v>Cross Sectional Imaging</v>
          </cell>
          <cell r="D313" t="str">
            <v>Specialist</v>
          </cell>
          <cell r="E313" t="str">
            <v>SSIMAGI</v>
          </cell>
          <cell r="F313" t="str">
            <v>Imaging/Nuclear Medicine</v>
          </cell>
        </row>
        <row r="314">
          <cell r="B314" t="str">
            <v>0022202</v>
          </cell>
          <cell r="C314" t="str">
            <v>Ultrasound</v>
          </cell>
          <cell r="D314" t="str">
            <v>Specialist</v>
          </cell>
          <cell r="E314" t="str">
            <v>SSIMAGI</v>
          </cell>
          <cell r="F314" t="str">
            <v>Imaging/Nuclear Medicine</v>
          </cell>
        </row>
        <row r="315">
          <cell r="B315" t="str">
            <v>0022203</v>
          </cell>
          <cell r="C315" t="str">
            <v>Radiology Admin</v>
          </cell>
          <cell r="D315" t="str">
            <v>Specialist</v>
          </cell>
          <cell r="E315" t="str">
            <v>SSIMAGI</v>
          </cell>
          <cell r="F315" t="str">
            <v>Imaging/Nuclear Medicine</v>
          </cell>
        </row>
        <row r="316">
          <cell r="B316" t="str">
            <v>0022204</v>
          </cell>
          <cell r="C316" t="str">
            <v>Angiography</v>
          </cell>
          <cell r="D316" t="str">
            <v>Specialist</v>
          </cell>
          <cell r="E316" t="str">
            <v>SSIMAGI</v>
          </cell>
          <cell r="F316" t="str">
            <v>Imaging/Nuclear Medicine</v>
          </cell>
        </row>
        <row r="317">
          <cell r="B317" t="str">
            <v>0022206</v>
          </cell>
          <cell r="C317" t="str">
            <v>Plain Film</v>
          </cell>
          <cell r="D317" t="str">
            <v>Specialist</v>
          </cell>
          <cell r="E317" t="str">
            <v>SSIMAGI</v>
          </cell>
          <cell r="F317" t="str">
            <v>Imaging/Nuclear Medicine</v>
          </cell>
        </row>
        <row r="318">
          <cell r="B318" t="str">
            <v>0022207</v>
          </cell>
          <cell r="C318" t="str">
            <v>Neurosciences Imaging</v>
          </cell>
          <cell r="D318" t="str">
            <v>Specialist</v>
          </cell>
          <cell r="E318" t="str">
            <v>SSIMAGI</v>
          </cell>
          <cell r="F318" t="str">
            <v>Imaging/Nuclear Medicine</v>
          </cell>
        </row>
        <row r="319">
          <cell r="B319" t="str">
            <v>0022208</v>
          </cell>
          <cell r="C319" t="str">
            <v>Imaging Management Support</v>
          </cell>
          <cell r="D319" t="str">
            <v>Specialist</v>
          </cell>
          <cell r="E319" t="str">
            <v>SSIMAGI</v>
          </cell>
          <cell r="F319" t="str">
            <v>Imaging/Nuclear Medicine</v>
          </cell>
        </row>
        <row r="320">
          <cell r="B320" t="str">
            <v>0022209</v>
          </cell>
          <cell r="C320" t="str">
            <v>Imaging Nursing</v>
          </cell>
          <cell r="D320" t="str">
            <v>Specialist</v>
          </cell>
          <cell r="E320" t="str">
            <v>SSIMAGI</v>
          </cell>
          <cell r="F320" t="str">
            <v>Imaging/Nuclear Medicine</v>
          </cell>
        </row>
        <row r="321">
          <cell r="B321" t="str">
            <v>0022210</v>
          </cell>
          <cell r="C321" t="str">
            <v>Private Patients Imaging</v>
          </cell>
          <cell r="D321" t="str">
            <v>Specialist</v>
          </cell>
          <cell r="E321" t="str">
            <v>SSIMAGI</v>
          </cell>
          <cell r="F321" t="str">
            <v>Imaging/Nuclear Medicine</v>
          </cell>
        </row>
        <row r="322">
          <cell r="B322" t="str">
            <v>0022211</v>
          </cell>
          <cell r="C322" t="str">
            <v>Imaging Trading Account</v>
          </cell>
          <cell r="D322" t="str">
            <v>Specialist</v>
          </cell>
          <cell r="E322" t="str">
            <v>SSIMAGI</v>
          </cell>
          <cell r="F322" t="str">
            <v>Imaging/Nuclear Medicine</v>
          </cell>
        </row>
        <row r="323">
          <cell r="B323" t="str">
            <v>0022212</v>
          </cell>
          <cell r="C323" t="str">
            <v>Park Centre - Breast Imaging</v>
          </cell>
          <cell r="D323" t="str">
            <v>Specialist</v>
          </cell>
          <cell r="E323" t="str">
            <v>SSBRESC</v>
          </cell>
          <cell r="F323" t="str">
            <v>Breast Screening</v>
          </cell>
        </row>
        <row r="324">
          <cell r="B324" t="str">
            <v>0022213</v>
          </cell>
          <cell r="C324" t="str">
            <v xml:space="preserve"> Financial Planning Imaging</v>
          </cell>
          <cell r="D324" t="str">
            <v>Specialist</v>
          </cell>
          <cell r="E324" t="str">
            <v>SSIMAGI</v>
          </cell>
          <cell r="F324" t="str">
            <v>Imaging/Nuclear Medicine</v>
          </cell>
        </row>
        <row r="325">
          <cell r="B325" t="str">
            <v>0022214</v>
          </cell>
          <cell r="C325" t="str">
            <v>Imaging Contracts/Leases</v>
          </cell>
          <cell r="D325" t="str">
            <v>Specialist</v>
          </cell>
          <cell r="E325" t="str">
            <v>SSIMAGI</v>
          </cell>
          <cell r="F325" t="str">
            <v>Imaging/Nuclear Medicine</v>
          </cell>
        </row>
        <row r="326">
          <cell r="B326" t="str">
            <v>0022215</v>
          </cell>
          <cell r="C326" t="str">
            <v>PACS</v>
          </cell>
          <cell r="D326" t="str">
            <v>Specialist</v>
          </cell>
          <cell r="E326" t="str">
            <v>SSIMAGI</v>
          </cell>
          <cell r="F326" t="str">
            <v>Imaging/Nuclear Medicine</v>
          </cell>
        </row>
        <row r="327">
          <cell r="B327" t="str">
            <v>0022216</v>
          </cell>
          <cell r="C327" t="str">
            <v>Park Centre - Breast Sympthematic</v>
          </cell>
          <cell r="D327" t="str">
            <v>Specialist</v>
          </cell>
          <cell r="E327" t="str">
            <v>SSBRESC</v>
          </cell>
          <cell r="F327" t="str">
            <v>Breast Screening</v>
          </cell>
        </row>
        <row r="328">
          <cell r="B328" t="str">
            <v>0022217</v>
          </cell>
          <cell r="C328" t="str">
            <v>Park Centre - Management</v>
          </cell>
          <cell r="D328" t="str">
            <v>Specialist</v>
          </cell>
          <cell r="E328" t="str">
            <v>SSBRESC</v>
          </cell>
          <cell r="F328" t="str">
            <v>Breast Screening</v>
          </cell>
        </row>
        <row r="329">
          <cell r="B329" t="str">
            <v>0022300</v>
          </cell>
          <cell r="C329" t="str">
            <v>Medical Photography</v>
          </cell>
          <cell r="D329" t="str">
            <v>Surgery</v>
          </cell>
          <cell r="E329" t="str">
            <v>ELMEDIC</v>
          </cell>
          <cell r="F329" t="str">
            <v>Medical Photography</v>
          </cell>
        </row>
        <row r="330">
          <cell r="B330" t="str">
            <v>0022301</v>
          </cell>
          <cell r="C330" t="str">
            <v>Retinopathy Screening BH PCT</v>
          </cell>
          <cell r="D330" t="str">
            <v>Surgery</v>
          </cell>
          <cell r="E330" t="str">
            <v>ELMEDIC</v>
          </cell>
          <cell r="F330" t="str">
            <v>Medical Photography</v>
          </cell>
        </row>
        <row r="331">
          <cell r="B331" t="str">
            <v>0022302</v>
          </cell>
          <cell r="C331" t="str">
            <v>Financial Planning Medical Photography</v>
          </cell>
          <cell r="D331" t="str">
            <v>Surgery</v>
          </cell>
          <cell r="E331" t="str">
            <v>ELMEDIC</v>
          </cell>
          <cell r="F331" t="str">
            <v>Medical Photography</v>
          </cell>
        </row>
        <row r="332">
          <cell r="B332" t="str">
            <v>0022400</v>
          </cell>
          <cell r="C332" t="str">
            <v>Medical Physics</v>
          </cell>
          <cell r="D332" t="str">
            <v>Specialist</v>
          </cell>
          <cell r="E332" t="str">
            <v>SSMEDIC</v>
          </cell>
          <cell r="F332" t="str">
            <v>Medical Physics</v>
          </cell>
        </row>
        <row r="333">
          <cell r="B333" t="str">
            <v>0022401</v>
          </cell>
          <cell r="C333" t="str">
            <v>Clinical Imaging Sciences Central (CISC)</v>
          </cell>
          <cell r="D333" t="str">
            <v>Specialist</v>
          </cell>
          <cell r="E333" t="str">
            <v>SSMEDIC</v>
          </cell>
          <cell r="F333" t="str">
            <v>Medical Physics</v>
          </cell>
        </row>
        <row r="334">
          <cell r="B334" t="str">
            <v>0022500</v>
          </cell>
          <cell r="C334" t="str">
            <v>Nuclear Medicine</v>
          </cell>
          <cell r="D334" t="str">
            <v>Specialist</v>
          </cell>
          <cell r="E334" t="str">
            <v>SSIMAGI</v>
          </cell>
          <cell r="F334" t="str">
            <v>Imaging/Nuclear Medicine</v>
          </cell>
        </row>
        <row r="335">
          <cell r="B335" t="str">
            <v>0022501</v>
          </cell>
          <cell r="C335" t="str">
            <v>PET</v>
          </cell>
          <cell r="D335" t="str">
            <v>Specialist</v>
          </cell>
          <cell r="E335" t="str">
            <v>SSCANCE</v>
          </cell>
          <cell r="F335" t="str">
            <v>Cancer Services</v>
          </cell>
        </row>
        <row r="336">
          <cell r="B336" t="str">
            <v>0022502</v>
          </cell>
          <cell r="C336" t="str">
            <v>Nuclear Medicine Management</v>
          </cell>
          <cell r="D336" t="str">
            <v>Specialist</v>
          </cell>
          <cell r="E336" t="str">
            <v>SSIMAGI</v>
          </cell>
          <cell r="F336" t="str">
            <v>Imaging/Nuclear Medicine</v>
          </cell>
        </row>
        <row r="337">
          <cell r="B337" t="str">
            <v>0022600</v>
          </cell>
          <cell r="C337" t="str">
            <v>Cytopathology</v>
          </cell>
          <cell r="D337" t="str">
            <v>Specialist</v>
          </cell>
          <cell r="E337" t="str">
            <v>SSPATHO</v>
          </cell>
          <cell r="F337" t="str">
            <v>Pathology</v>
          </cell>
        </row>
        <row r="338">
          <cell r="B338" t="str">
            <v>0022610</v>
          </cell>
          <cell r="C338" t="str">
            <v>Mortuary &amp; Histology RSCH</v>
          </cell>
          <cell r="D338" t="str">
            <v>Specialist</v>
          </cell>
          <cell r="E338" t="str">
            <v>SSPATHO</v>
          </cell>
          <cell r="F338" t="str">
            <v>Pathology</v>
          </cell>
        </row>
        <row r="339">
          <cell r="B339" t="str">
            <v>0022619</v>
          </cell>
          <cell r="C339" t="str">
            <v>Biomedical Scientist Training</v>
          </cell>
          <cell r="D339" t="str">
            <v>Specialist</v>
          </cell>
          <cell r="E339" t="str">
            <v>SSPATHO</v>
          </cell>
          <cell r="F339" t="str">
            <v>Pathology</v>
          </cell>
        </row>
        <row r="340">
          <cell r="B340" t="str">
            <v>0022621</v>
          </cell>
          <cell r="C340" t="str">
            <v>General Pathology</v>
          </cell>
          <cell r="D340" t="str">
            <v>Specialist</v>
          </cell>
          <cell r="E340" t="str">
            <v>SSPATHO</v>
          </cell>
          <cell r="F340" t="str">
            <v>Pathology</v>
          </cell>
        </row>
        <row r="341">
          <cell r="B341" t="str">
            <v>0022630</v>
          </cell>
          <cell r="C341" t="str">
            <v>Blood Transfusion Product RSCH</v>
          </cell>
          <cell r="D341" t="str">
            <v>Specialist</v>
          </cell>
          <cell r="E341" t="str">
            <v>SSPATHO</v>
          </cell>
          <cell r="F341" t="str">
            <v>Pathology</v>
          </cell>
        </row>
        <row r="342">
          <cell r="B342" t="str">
            <v>0022631</v>
          </cell>
          <cell r="C342" t="str">
            <v>Laboratory Haemotology</v>
          </cell>
          <cell r="D342" t="str">
            <v>Specialist</v>
          </cell>
          <cell r="E342" t="str">
            <v>SSPATHO</v>
          </cell>
          <cell r="F342" t="str">
            <v>Pathology</v>
          </cell>
        </row>
        <row r="343">
          <cell r="B343" t="str">
            <v>0022650</v>
          </cell>
          <cell r="C343" t="str">
            <v>Microbiology RSCH</v>
          </cell>
          <cell r="D343" t="str">
            <v>Specialist</v>
          </cell>
          <cell r="E343" t="str">
            <v>SSPATHO</v>
          </cell>
          <cell r="F343" t="str">
            <v>Pathology</v>
          </cell>
        </row>
        <row r="344">
          <cell r="B344" t="str">
            <v>0022651</v>
          </cell>
          <cell r="C344" t="str">
            <v>Microbiology PRH (now 0022650)</v>
          </cell>
          <cell r="D344" t="str">
            <v>Specialist</v>
          </cell>
          <cell r="E344" t="str">
            <v>SSPATHO</v>
          </cell>
          <cell r="F344" t="str">
            <v>Pathology</v>
          </cell>
        </row>
        <row r="345">
          <cell r="B345" t="str">
            <v>0022652</v>
          </cell>
          <cell r="C345" t="str">
            <v>Microbiology Registrars</v>
          </cell>
          <cell r="D345" t="str">
            <v>Specialist</v>
          </cell>
          <cell r="E345" t="str">
            <v>SSPATHO</v>
          </cell>
          <cell r="F345" t="str">
            <v>Pathology</v>
          </cell>
        </row>
        <row r="346">
          <cell r="B346" t="str">
            <v>0022661</v>
          </cell>
          <cell r="C346" t="str">
            <v>Pathology Central Services RSCH</v>
          </cell>
          <cell r="D346" t="str">
            <v>Specialist</v>
          </cell>
          <cell r="E346" t="str">
            <v>SSPATHO</v>
          </cell>
          <cell r="F346" t="str">
            <v>Pathology</v>
          </cell>
        </row>
        <row r="347">
          <cell r="B347" t="str">
            <v>0022681</v>
          </cell>
          <cell r="C347" t="str">
            <v>Pathology BSMS</v>
          </cell>
          <cell r="D347" t="str">
            <v>Specialist</v>
          </cell>
          <cell r="E347" t="str">
            <v>SSPATHO</v>
          </cell>
          <cell r="F347" t="str">
            <v>Pathology</v>
          </cell>
        </row>
        <row r="348">
          <cell r="B348" t="str">
            <v>0022690</v>
          </cell>
          <cell r="C348" t="str">
            <v>Biochemistry RSCH</v>
          </cell>
          <cell r="D348" t="str">
            <v>Specialist</v>
          </cell>
          <cell r="E348" t="str">
            <v>SSPATHO</v>
          </cell>
          <cell r="F348" t="str">
            <v>Pathology</v>
          </cell>
        </row>
        <row r="349">
          <cell r="B349" t="str">
            <v>0022692</v>
          </cell>
          <cell r="C349" t="str">
            <v>Biochemistry Training</v>
          </cell>
          <cell r="D349" t="str">
            <v>Specialist</v>
          </cell>
          <cell r="E349" t="str">
            <v>SSPATHO</v>
          </cell>
          <cell r="F349" t="str">
            <v>Pathology</v>
          </cell>
        </row>
        <row r="350">
          <cell r="B350" t="str">
            <v>0022693</v>
          </cell>
          <cell r="C350" t="str">
            <v>Financial Planning Pathology</v>
          </cell>
          <cell r="D350" t="str">
            <v>Specialist</v>
          </cell>
          <cell r="E350" t="str">
            <v>SSPATHO</v>
          </cell>
          <cell r="F350" t="str">
            <v>Pathology</v>
          </cell>
        </row>
        <row r="351">
          <cell r="B351" t="str">
            <v>0022700</v>
          </cell>
          <cell r="C351" t="str">
            <v>RSCH Pharmacy</v>
          </cell>
          <cell r="D351" t="str">
            <v>Medicine</v>
          </cell>
          <cell r="E351" t="str">
            <v>EMPHARM</v>
          </cell>
          <cell r="F351" t="str">
            <v>Pharmacy</v>
          </cell>
        </row>
        <row r="352">
          <cell r="B352" t="str">
            <v>0022701</v>
          </cell>
          <cell r="C352" t="str">
            <v>PRH Pharmacy</v>
          </cell>
          <cell r="D352" t="str">
            <v>Medicine</v>
          </cell>
          <cell r="E352" t="str">
            <v>EMPHARM</v>
          </cell>
          <cell r="F352" t="str">
            <v>Pharmacy</v>
          </cell>
        </row>
        <row r="353">
          <cell r="B353" t="str">
            <v>0022702</v>
          </cell>
          <cell r="C353" t="str">
            <v>RAH Pharmacy</v>
          </cell>
          <cell r="D353" t="str">
            <v>Medicine</v>
          </cell>
          <cell r="E353" t="str">
            <v>EMPHARM</v>
          </cell>
          <cell r="F353" t="str">
            <v>Pharmacy</v>
          </cell>
        </row>
        <row r="354">
          <cell r="B354" t="str">
            <v>0022703</v>
          </cell>
          <cell r="C354" t="str">
            <v>BGH Pharmacy</v>
          </cell>
          <cell r="D354" t="str">
            <v>Medicine</v>
          </cell>
          <cell r="E354" t="str">
            <v>EMPHARM</v>
          </cell>
          <cell r="F354" t="str">
            <v>Pharmacy</v>
          </cell>
        </row>
        <row r="355">
          <cell r="B355" t="str">
            <v>0022704</v>
          </cell>
          <cell r="C355" t="str">
            <v>Central Pharmacy</v>
          </cell>
          <cell r="D355" t="str">
            <v>Medicine</v>
          </cell>
          <cell r="E355" t="str">
            <v>EMPHARM</v>
          </cell>
          <cell r="F355" t="str">
            <v>Pharmacy</v>
          </cell>
        </row>
        <row r="356">
          <cell r="B356" t="str">
            <v>0022705</v>
          </cell>
          <cell r="C356" t="str">
            <v>Drugs Trading Account</v>
          </cell>
          <cell r="D356" t="str">
            <v>Medicine</v>
          </cell>
          <cell r="E356" t="str">
            <v>EMPHARM</v>
          </cell>
          <cell r="F356" t="str">
            <v>Pharmacy</v>
          </cell>
        </row>
        <row r="357">
          <cell r="B357" t="str">
            <v>0022706</v>
          </cell>
          <cell r="C357" t="str">
            <v>Drugs Expenditure</v>
          </cell>
          <cell r="D357" t="str">
            <v>Medicine</v>
          </cell>
          <cell r="E357" t="str">
            <v>EMPHARM</v>
          </cell>
          <cell r="F357" t="str">
            <v>Pharmacy</v>
          </cell>
        </row>
        <row r="358">
          <cell r="B358" t="str">
            <v>0022707</v>
          </cell>
          <cell r="C358" t="str">
            <v>Pharmacy Research</v>
          </cell>
          <cell r="D358" t="str">
            <v>Medicine</v>
          </cell>
          <cell r="E358" t="str">
            <v>EMPHARM</v>
          </cell>
          <cell r="F358" t="str">
            <v>Pharmacy</v>
          </cell>
        </row>
        <row r="359">
          <cell r="B359" t="str">
            <v>0022708</v>
          </cell>
          <cell r="C359" t="str">
            <v>Pharmacy Training</v>
          </cell>
          <cell r="D359" t="str">
            <v>Medicine</v>
          </cell>
          <cell r="E359" t="str">
            <v>EMPHARM</v>
          </cell>
          <cell r="F359" t="str">
            <v>Pharmacy</v>
          </cell>
        </row>
        <row r="360">
          <cell r="B360" t="str">
            <v>0022709</v>
          </cell>
          <cell r="C360" t="str">
            <v xml:space="preserve"> Hospital Shop</v>
          </cell>
          <cell r="D360" t="str">
            <v>Medicine</v>
          </cell>
          <cell r="E360" t="str">
            <v>EMPHARM</v>
          </cell>
          <cell r="F360" t="str">
            <v>Pharmacy</v>
          </cell>
        </row>
        <row r="361">
          <cell r="B361" t="str">
            <v>0022710</v>
          </cell>
          <cell r="C361" t="str">
            <v>Financial Planning Pharmacy</v>
          </cell>
          <cell r="D361" t="str">
            <v>Medicine</v>
          </cell>
          <cell r="E361" t="str">
            <v>EMPHARM</v>
          </cell>
          <cell r="F361" t="str">
            <v>Pharmacy</v>
          </cell>
        </row>
        <row r="362">
          <cell r="B362" t="str">
            <v>0022800</v>
          </cell>
          <cell r="C362" t="str">
            <v xml:space="preserve"> Physiotherapy (Trust)</v>
          </cell>
          <cell r="D362" t="str">
            <v>Surgery</v>
          </cell>
          <cell r="E362" t="str">
            <v>_x000C_ELPHYSI</v>
          </cell>
          <cell r="F362" t="str">
            <v xml:space="preserve"> Physiotherapy</v>
          </cell>
        </row>
        <row r="363">
          <cell r="B363" t="str">
            <v>0022801</v>
          </cell>
          <cell r="C363" t="str">
            <v>Financial Planning Physiotherapy</v>
          </cell>
          <cell r="D363" t="str">
            <v>Surgery</v>
          </cell>
          <cell r="E363" t="str">
            <v>_x000C_ELPHYSI</v>
          </cell>
          <cell r="F363" t="str">
            <v xml:space="preserve"> Physiotherapy</v>
          </cell>
        </row>
        <row r="364">
          <cell r="B364" t="str">
            <v>0022900</v>
          </cell>
          <cell r="C364" t="str">
            <v>Occupational Therapy</v>
          </cell>
          <cell r="D364" t="str">
            <v>Surgery</v>
          </cell>
          <cell r="E364" t="str">
            <v>ELOCCTH</v>
          </cell>
          <cell r="F364" t="str">
            <v>Occupational Therapy</v>
          </cell>
        </row>
        <row r="365">
          <cell r="B365" t="str">
            <v>0023002</v>
          </cell>
          <cell r="C365" t="str">
            <v>Waiting List Validation</v>
          </cell>
          <cell r="D365" t="str">
            <v>Surgery</v>
          </cell>
          <cell r="E365" t="str">
            <v>ELMANAG</v>
          </cell>
          <cell r="F365" t="str">
            <v>Management</v>
          </cell>
        </row>
        <row r="366">
          <cell r="B366" t="str">
            <v>0023003</v>
          </cell>
          <cell r="C366" t="str">
            <v>T and O Initiatives</v>
          </cell>
          <cell r="D366" t="str">
            <v>Surgery</v>
          </cell>
          <cell r="E366" t="str">
            <v>ELTRAUM</v>
          </cell>
          <cell r="F366" t="str">
            <v>Trauma &amp; Orthopaedics</v>
          </cell>
        </row>
        <row r="367">
          <cell r="B367" t="str">
            <v>0031003</v>
          </cell>
          <cell r="C367" t="str">
            <v>PMO Project Support</v>
          </cell>
          <cell r="D367" t="str">
            <v>Corporate</v>
          </cell>
          <cell r="E367" t="str">
            <v>FUFNPMO</v>
          </cell>
          <cell r="F367" t="str">
            <v>PMO</v>
          </cell>
        </row>
        <row r="368">
          <cell r="B368" t="str">
            <v>0031004</v>
          </cell>
          <cell r="C368" t="str">
            <v>Chief Executive</v>
          </cell>
          <cell r="D368" t="str">
            <v>Corporate</v>
          </cell>
          <cell r="E368" t="str">
            <v>FUCHFEX</v>
          </cell>
          <cell r="F368" t="str">
            <v>Chief Executive</v>
          </cell>
        </row>
        <row r="369">
          <cell r="B369" t="str">
            <v>0031005</v>
          </cell>
          <cell r="C369" t="str">
            <v>Sussex House PA's Office</v>
          </cell>
          <cell r="D369" t="str">
            <v>Corporate</v>
          </cell>
          <cell r="E369" t="str">
            <v>FUCHFEX</v>
          </cell>
          <cell r="F369" t="str">
            <v>Chief Executive</v>
          </cell>
        </row>
        <row r="370">
          <cell r="B370" t="str">
            <v>0031006</v>
          </cell>
          <cell r="C370" t="str">
            <v>Consultancy Fees</v>
          </cell>
          <cell r="D370" t="str">
            <v>Corporate</v>
          </cell>
          <cell r="E370" t="str">
            <v>FUCHFEX</v>
          </cell>
          <cell r="F370" t="str">
            <v>Chief Executive</v>
          </cell>
        </row>
        <row r="371">
          <cell r="B371" t="str">
            <v>0031007</v>
          </cell>
          <cell r="C371" t="str">
            <v>PMO</v>
          </cell>
          <cell r="D371" t="str">
            <v>Corporate</v>
          </cell>
          <cell r="E371" t="str">
            <v>FUFNPMO</v>
          </cell>
          <cell r="F371" t="str">
            <v>PMO</v>
          </cell>
        </row>
        <row r="372">
          <cell r="B372" t="str">
            <v>0031008</v>
          </cell>
          <cell r="C372" t="str">
            <v>Redundancy Provision</v>
          </cell>
          <cell r="D372" t="str">
            <v>Corporate</v>
          </cell>
          <cell r="E372" t="str">
            <v>FUTRNRD</v>
          </cell>
          <cell r="F372" t="str">
            <v>Turnaround</v>
          </cell>
        </row>
        <row r="373">
          <cell r="B373" t="str">
            <v>0031009</v>
          </cell>
          <cell r="C373" t="str">
            <v>Spend to Save (Revenue Items)</v>
          </cell>
          <cell r="D373" t="str">
            <v>Corporate</v>
          </cell>
          <cell r="E373" t="str">
            <v>FUTRNRD</v>
          </cell>
          <cell r="F373" t="str">
            <v>Turnaround</v>
          </cell>
        </row>
        <row r="374">
          <cell r="B374" t="str">
            <v>0031012</v>
          </cell>
          <cell r="C374" t="str">
            <v>Discharge Team</v>
          </cell>
          <cell r="D374" t="str">
            <v>Corporate</v>
          </cell>
          <cell r="E374" t="str">
            <v>FUCHFEX</v>
          </cell>
          <cell r="F374" t="str">
            <v>Chief Executive</v>
          </cell>
        </row>
        <row r="375">
          <cell r="B375" t="str">
            <v>0031013</v>
          </cell>
          <cell r="C375" t="str">
            <v>Operations Team</v>
          </cell>
          <cell r="D375" t="str">
            <v>Corporate</v>
          </cell>
          <cell r="E375" t="str">
            <v>FUCHFEX</v>
          </cell>
          <cell r="F375" t="str">
            <v>Chief Executive</v>
          </cell>
        </row>
        <row r="376">
          <cell r="B376" t="str">
            <v>0031014</v>
          </cell>
          <cell r="C376" t="str">
            <v>Clinical Ethics Committee</v>
          </cell>
          <cell r="D376" t="str">
            <v>Corporate</v>
          </cell>
          <cell r="E376" t="str">
            <v>FUCHFEX</v>
          </cell>
          <cell r="F376" t="str">
            <v>Chief Executive</v>
          </cell>
        </row>
        <row r="377">
          <cell r="B377" t="str">
            <v>0031015</v>
          </cell>
          <cell r="C377" t="str">
            <v>Financial Planning Chief Exec</v>
          </cell>
          <cell r="D377" t="str">
            <v>Corporate</v>
          </cell>
          <cell r="E377" t="str">
            <v>FUCHFEX</v>
          </cell>
          <cell r="F377" t="str">
            <v>Chief Executive</v>
          </cell>
        </row>
        <row r="378">
          <cell r="B378" t="str">
            <v>0031016</v>
          </cell>
          <cell r="C378" t="str">
            <v>PST Funding</v>
          </cell>
          <cell r="D378" t="str">
            <v>Corporate</v>
          </cell>
          <cell r="E378" t="str">
            <v>FUCHFEX</v>
          </cell>
          <cell r="F378" t="str">
            <v>Chief Executive</v>
          </cell>
        </row>
        <row r="379">
          <cell r="B379" t="str">
            <v>0031017</v>
          </cell>
          <cell r="C379" t="str">
            <v>3T Project</v>
          </cell>
          <cell r="D379" t="str">
            <v>Corporate</v>
          </cell>
          <cell r="E379" t="str">
            <v>FUSVIMP</v>
          </cell>
          <cell r="F379" t="str">
            <v>TTT's</v>
          </cell>
        </row>
        <row r="380">
          <cell r="B380" t="str">
            <v>0031018</v>
          </cell>
          <cell r="C380" t="str">
            <v>Chief of Safety</v>
          </cell>
          <cell r="D380" t="str">
            <v>Corporate</v>
          </cell>
          <cell r="E380" t="str">
            <v>FUCHFEX</v>
          </cell>
          <cell r="F380" t="str">
            <v>Chief Executive</v>
          </cell>
        </row>
        <row r="381">
          <cell r="B381" t="str">
            <v>0031019</v>
          </cell>
          <cell r="C381" t="str">
            <v>Foundation Trust Application</v>
          </cell>
          <cell r="D381" t="str">
            <v>Corporate</v>
          </cell>
          <cell r="E381" t="str">
            <v>FUCHFEX</v>
          </cell>
          <cell r="F381" t="str">
            <v>Chief Executive</v>
          </cell>
        </row>
        <row r="382">
          <cell r="B382" t="str">
            <v>0031020</v>
          </cell>
          <cell r="C382" t="str">
            <v>Renal Project</v>
          </cell>
          <cell r="D382" t="str">
            <v>Corporate</v>
          </cell>
          <cell r="E382" t="str">
            <v>FUCHFEX</v>
          </cell>
          <cell r="F382" t="str">
            <v>Chief Executive</v>
          </cell>
        </row>
        <row r="383">
          <cell r="B383" t="str">
            <v>0031021</v>
          </cell>
          <cell r="C383" t="str">
            <v>BME Network</v>
          </cell>
          <cell r="D383" t="str">
            <v>Corporate</v>
          </cell>
          <cell r="E383" t="str">
            <v>FUCHFEX</v>
          </cell>
          <cell r="F383" t="str">
            <v>Chief Executive</v>
          </cell>
        </row>
        <row r="384">
          <cell r="B384" t="str">
            <v>0031022</v>
          </cell>
          <cell r="C384" t="str">
            <v>Energy Management Controls Recommissioning</v>
          </cell>
          <cell r="D384" t="str">
            <v>Corporate</v>
          </cell>
          <cell r="E384" t="str">
            <v>FUCHFEX</v>
          </cell>
          <cell r="F384" t="str">
            <v>Chief Executive</v>
          </cell>
        </row>
        <row r="385">
          <cell r="B385" t="str">
            <v>0031023</v>
          </cell>
          <cell r="C385" t="str">
            <v>Print Management Project</v>
          </cell>
          <cell r="D385" t="str">
            <v>Corporate</v>
          </cell>
          <cell r="E385" t="str">
            <v>FUCHFEX</v>
          </cell>
          <cell r="F385" t="str">
            <v>Chief Executive</v>
          </cell>
        </row>
        <row r="386">
          <cell r="B386" t="str">
            <v>0031024</v>
          </cell>
          <cell r="C386" t="str">
            <v>Chief of Clinical Operations</v>
          </cell>
          <cell r="D386" t="str">
            <v>Corporate</v>
          </cell>
          <cell r="E386" t="str">
            <v>FUCHFEX</v>
          </cell>
          <cell r="F386" t="str">
            <v>Chief Executive</v>
          </cell>
        </row>
        <row r="387">
          <cell r="B387" t="str">
            <v>0031025</v>
          </cell>
          <cell r="C387" t="str">
            <v>Privacy and Dignity</v>
          </cell>
          <cell r="D387" t="str">
            <v>Corporate</v>
          </cell>
          <cell r="E387" t="str">
            <v>FUCHFEX</v>
          </cell>
          <cell r="F387" t="str">
            <v>Chief Executive</v>
          </cell>
        </row>
        <row r="388">
          <cell r="B388" t="str">
            <v>0032001</v>
          </cell>
          <cell r="C388" t="str">
            <v>Productive Ward Initiative</v>
          </cell>
          <cell r="D388" t="str">
            <v>Facilities</v>
          </cell>
          <cell r="E388" t="str">
            <v>FACEST</v>
          </cell>
          <cell r="F388" t="str">
            <v>Facilities - Estates</v>
          </cell>
        </row>
        <row r="389">
          <cell r="B389" t="str">
            <v>0032002</v>
          </cell>
          <cell r="C389" t="str">
            <v>Estates (New Alex)</v>
          </cell>
          <cell r="D389" t="str">
            <v>Facilities</v>
          </cell>
          <cell r="E389" t="str">
            <v>FACEST</v>
          </cell>
          <cell r="F389" t="str">
            <v>Facilities - Estates</v>
          </cell>
        </row>
        <row r="390">
          <cell r="B390" t="str">
            <v>0032003</v>
          </cell>
          <cell r="C390" t="str">
            <v>Estates (Btn) - RSCH Building</v>
          </cell>
          <cell r="D390" t="str">
            <v>Facilities</v>
          </cell>
          <cell r="E390" t="str">
            <v>FACEST</v>
          </cell>
          <cell r="F390" t="str">
            <v>Facilities - Estates</v>
          </cell>
        </row>
        <row r="391">
          <cell r="B391" t="str">
            <v>0032004</v>
          </cell>
          <cell r="C391" t="str">
            <v>Estates (Btn) - RSCH Mechanical</v>
          </cell>
          <cell r="D391" t="str">
            <v>Facilities</v>
          </cell>
          <cell r="E391" t="str">
            <v>FACEST</v>
          </cell>
          <cell r="F391" t="str">
            <v>Facilities - Estates</v>
          </cell>
        </row>
        <row r="392">
          <cell r="B392" t="str">
            <v>0032005</v>
          </cell>
          <cell r="C392" t="str">
            <v>Estates (Btn) - RSCH Works</v>
          </cell>
          <cell r="D392" t="str">
            <v>Facilities</v>
          </cell>
          <cell r="E392" t="str">
            <v>FACEST</v>
          </cell>
          <cell r="F392" t="str">
            <v>Facilities - Estates</v>
          </cell>
        </row>
        <row r="393">
          <cell r="B393" t="str">
            <v>0032007</v>
          </cell>
          <cell r="C393" t="str">
            <v>Education Centre (Btn)</v>
          </cell>
          <cell r="D393" t="str">
            <v>Facilities</v>
          </cell>
          <cell r="E393" t="str">
            <v>FACHOT</v>
          </cell>
          <cell r="F393" t="str">
            <v>Facilities - Hotel Services</v>
          </cell>
        </row>
        <row r="394">
          <cell r="B394" t="str">
            <v>0032008</v>
          </cell>
          <cell r="C394" t="str">
            <v>Estates (Btn) - RSCH Electrical</v>
          </cell>
          <cell r="D394" t="str">
            <v>Facilities</v>
          </cell>
          <cell r="E394" t="str">
            <v>FACEST</v>
          </cell>
          <cell r="F394" t="str">
            <v>Facilities - Estates</v>
          </cell>
        </row>
        <row r="395">
          <cell r="B395" t="str">
            <v>0032010</v>
          </cell>
          <cell r="C395" t="str">
            <v>Estates - Estates Energy Management</v>
          </cell>
          <cell r="D395" t="str">
            <v>Facilities</v>
          </cell>
          <cell r="E395" t="str">
            <v>FACEST</v>
          </cell>
          <cell r="F395" t="str">
            <v>Facilities - Estates</v>
          </cell>
        </row>
        <row r="396">
          <cell r="B396" t="str">
            <v>0032013</v>
          </cell>
          <cell r="C396" t="str">
            <v>Estates (Btn) - RSCH Avoidable Damage</v>
          </cell>
          <cell r="D396" t="str">
            <v>Facilities</v>
          </cell>
          <cell r="E396" t="str">
            <v>FACEST</v>
          </cell>
          <cell r="F396" t="str">
            <v>Facilities - Estates</v>
          </cell>
        </row>
        <row r="397">
          <cell r="B397" t="str">
            <v>0032014</v>
          </cell>
          <cell r="C397" t="str">
            <v xml:space="preserve"> Switchboard (Btn)</v>
          </cell>
          <cell r="D397" t="str">
            <v>Facilities</v>
          </cell>
          <cell r="E397" t="str">
            <v>FACOTH</v>
          </cell>
          <cell r="F397" t="str">
            <v>Facilities - Other Services Provided</v>
          </cell>
        </row>
        <row r="398">
          <cell r="B398" t="str">
            <v>0032015</v>
          </cell>
          <cell r="C398" t="str">
            <v>Switchboard (PRH)</v>
          </cell>
          <cell r="D398" t="str">
            <v>Facilities</v>
          </cell>
          <cell r="E398" t="str">
            <v>FACOTH</v>
          </cell>
          <cell r="F398" t="str">
            <v>Facilities - Other Services Provided</v>
          </cell>
        </row>
        <row r="399">
          <cell r="B399" t="str">
            <v>0032016</v>
          </cell>
          <cell r="C399" t="str">
            <v>Switchboard (New Alex)</v>
          </cell>
          <cell r="D399" t="str">
            <v>Facilities</v>
          </cell>
          <cell r="E399" t="str">
            <v>FACOTH</v>
          </cell>
          <cell r="F399" t="str">
            <v>Facilities - Other Services Provided</v>
          </cell>
        </row>
        <row r="400">
          <cell r="B400" t="str">
            <v>0032021</v>
          </cell>
          <cell r="C400" t="str">
            <v>EBME (New Alex)</v>
          </cell>
          <cell r="D400" t="str">
            <v>Facilities</v>
          </cell>
          <cell r="E400" t="str">
            <v>FACEBME</v>
          </cell>
          <cell r="F400" t="str">
            <v>Facilities - EBME</v>
          </cell>
        </row>
        <row r="401">
          <cell r="B401" t="str">
            <v>0032022</v>
          </cell>
          <cell r="C401" t="str">
            <v>EBME (Trust)</v>
          </cell>
          <cell r="D401" t="str">
            <v>Facilities</v>
          </cell>
          <cell r="E401" t="str">
            <v>FACEBME</v>
          </cell>
          <cell r="F401" t="str">
            <v>Facilities - EBME</v>
          </cell>
        </row>
        <row r="402">
          <cell r="B402" t="str">
            <v>0032023</v>
          </cell>
          <cell r="C402" t="str">
            <v>EBME ENDO</v>
          </cell>
          <cell r="D402" t="str">
            <v>Facilities</v>
          </cell>
          <cell r="E402" t="str">
            <v>FACEBME</v>
          </cell>
          <cell r="F402" t="str">
            <v>Facilities - EBME</v>
          </cell>
        </row>
        <row r="403">
          <cell r="B403" t="str">
            <v>0032031</v>
          </cell>
          <cell r="C403" t="str">
            <v>Estate (PRH) - General</v>
          </cell>
          <cell r="D403" t="str">
            <v>Facilities</v>
          </cell>
          <cell r="E403" t="str">
            <v>FACEST</v>
          </cell>
          <cell r="F403" t="str">
            <v>Facilities - Estates</v>
          </cell>
        </row>
        <row r="404">
          <cell r="B404" t="str">
            <v>0032032</v>
          </cell>
          <cell r="C404" t="str">
            <v>Estates (PRH) - Electrical</v>
          </cell>
          <cell r="D404" t="str">
            <v>Facilities</v>
          </cell>
          <cell r="E404" t="str">
            <v>FACEST</v>
          </cell>
          <cell r="F404" t="str">
            <v>Facilities - Estates</v>
          </cell>
        </row>
        <row r="405">
          <cell r="B405" t="str">
            <v>0032033</v>
          </cell>
          <cell r="C405" t="str">
            <v>Estates (PRH) - Mechanical</v>
          </cell>
          <cell r="D405" t="str">
            <v>Facilities</v>
          </cell>
          <cell r="E405" t="str">
            <v>FACEST</v>
          </cell>
          <cell r="F405" t="str">
            <v>Facilities - Estates</v>
          </cell>
        </row>
        <row r="406">
          <cell r="B406" t="str">
            <v>0032034</v>
          </cell>
          <cell r="C406" t="str">
            <v>Estates (PRH) - Building</v>
          </cell>
          <cell r="D406" t="str">
            <v>Facilities</v>
          </cell>
          <cell r="E406" t="str">
            <v>FACEST</v>
          </cell>
          <cell r="F406" t="str">
            <v>Facilities - Estates</v>
          </cell>
        </row>
        <row r="407">
          <cell r="B407" t="str">
            <v>0032035</v>
          </cell>
          <cell r="C407" t="str">
            <v>Grounds (PRH)</v>
          </cell>
          <cell r="D407" t="str">
            <v>Facilities</v>
          </cell>
          <cell r="E407" t="str">
            <v>FACEST</v>
          </cell>
          <cell r="F407" t="str">
            <v>Facilities - Estates</v>
          </cell>
        </row>
        <row r="408">
          <cell r="B408" t="str">
            <v>0032036</v>
          </cell>
          <cell r="C408" t="str">
            <v>Utilities, Rent and Rates (Trust)</v>
          </cell>
          <cell r="D408" t="str">
            <v>Facilities</v>
          </cell>
          <cell r="E408" t="str">
            <v>FACCAP</v>
          </cell>
          <cell r="F408" t="str">
            <v>Facilities - Capital Development</v>
          </cell>
        </row>
        <row r="409">
          <cell r="B409" t="str">
            <v>0032037</v>
          </cell>
          <cell r="C409" t="str">
            <v>Utilities (New Alex)</v>
          </cell>
          <cell r="D409" t="str">
            <v>Facilities</v>
          </cell>
          <cell r="E409" t="str">
            <v>FACCAP</v>
          </cell>
          <cell r="F409" t="str">
            <v>Facilities - Capital Development</v>
          </cell>
        </row>
        <row r="410">
          <cell r="B410" t="str">
            <v>0032039</v>
          </cell>
          <cell r="C410" t="str">
            <v>Grounds (Brighton)</v>
          </cell>
          <cell r="D410" t="str">
            <v>Facilities</v>
          </cell>
          <cell r="E410" t="str">
            <v>FACHOT</v>
          </cell>
          <cell r="F410" t="str">
            <v>Facilities - Hotel Services</v>
          </cell>
        </row>
        <row r="411">
          <cell r="B411" t="str">
            <v>0032041</v>
          </cell>
          <cell r="C411" t="str">
            <v>Gas (Trust)</v>
          </cell>
          <cell r="D411" t="str">
            <v>Facilities</v>
          </cell>
          <cell r="E411" t="str">
            <v>FACCAP</v>
          </cell>
          <cell r="F411" t="str">
            <v>Facilities - Capital Development</v>
          </cell>
        </row>
        <row r="412">
          <cell r="B412" t="str">
            <v>0032042</v>
          </cell>
          <cell r="C412" t="str">
            <v>Electricity (Trust)</v>
          </cell>
          <cell r="D412" t="str">
            <v>Facilities</v>
          </cell>
          <cell r="E412" t="str">
            <v>FACCAP</v>
          </cell>
          <cell r="F412" t="str">
            <v>Facilities - Capital Development</v>
          </cell>
        </row>
        <row r="413">
          <cell r="B413" t="str">
            <v>0032043</v>
          </cell>
          <cell r="C413" t="str">
            <v>Rates (Trust)</v>
          </cell>
          <cell r="D413" t="str">
            <v>Facilities</v>
          </cell>
          <cell r="E413" t="str">
            <v>FACCAP</v>
          </cell>
          <cell r="F413" t="str">
            <v>Facilities - Capital Development</v>
          </cell>
        </row>
        <row r="414">
          <cell r="B414" t="str">
            <v>0032045</v>
          </cell>
          <cell r="C414" t="str">
            <v>Estates (PRH) Avoidable Damage</v>
          </cell>
          <cell r="D414" t="str">
            <v>Facilities</v>
          </cell>
          <cell r="E414" t="str">
            <v>FACEST</v>
          </cell>
          <cell r="F414" t="str">
            <v>Facilities - Estates</v>
          </cell>
        </row>
        <row r="415">
          <cell r="B415" t="str">
            <v>0032051</v>
          </cell>
          <cell r="C415" t="str">
            <v>Capital Development (Trust)</v>
          </cell>
          <cell r="D415" t="str">
            <v>Facilities</v>
          </cell>
          <cell r="E415" t="str">
            <v>FACCAP</v>
          </cell>
          <cell r="F415" t="str">
            <v>Facilities - Capital Development</v>
          </cell>
        </row>
        <row r="416">
          <cell r="B416" t="str">
            <v>0032100</v>
          </cell>
          <cell r="C416" t="str">
            <v>Director Of Facilities and Capital Development</v>
          </cell>
          <cell r="D416" t="str">
            <v>Facilities</v>
          </cell>
          <cell r="E416" t="str">
            <v>FACDIR</v>
          </cell>
          <cell r="F416" t="str">
            <v>Facilities - Director</v>
          </cell>
        </row>
        <row r="417">
          <cell r="B417" t="str">
            <v>0032101</v>
          </cell>
          <cell r="C417" t="str">
            <v>Deputy Director Of Facilities and Capital Deve</v>
          </cell>
          <cell r="D417" t="str">
            <v>Facilities</v>
          </cell>
          <cell r="E417" t="str">
            <v>FACDIR</v>
          </cell>
          <cell r="F417" t="str">
            <v>Facilities - Director</v>
          </cell>
        </row>
        <row r="418">
          <cell r="B418" t="str">
            <v>0032102</v>
          </cell>
          <cell r="C418" t="str">
            <v>Financial Planning Facilities</v>
          </cell>
          <cell r="D418" t="str">
            <v>Facilities</v>
          </cell>
          <cell r="E418" t="str">
            <v>FACDIR</v>
          </cell>
          <cell r="F418" t="str">
            <v>Facilities - Director</v>
          </cell>
        </row>
        <row r="419">
          <cell r="B419" t="str">
            <v>0032104</v>
          </cell>
          <cell r="C419" t="str">
            <v>Facilities Common Service Agreements</v>
          </cell>
          <cell r="D419" t="str">
            <v>Facilities</v>
          </cell>
          <cell r="E419" t="str">
            <v>FACDIR</v>
          </cell>
          <cell r="F419" t="str">
            <v>Facilities - Director</v>
          </cell>
        </row>
        <row r="420">
          <cell r="B420" t="str">
            <v>0032107</v>
          </cell>
          <cell r="C420" t="str">
            <v>Business and Administration Support</v>
          </cell>
          <cell r="D420" t="str">
            <v>Facilities</v>
          </cell>
          <cell r="E420" t="str">
            <v>FACCAP</v>
          </cell>
          <cell r="F420" t="str">
            <v>Facilities - Capital Development</v>
          </cell>
        </row>
        <row r="421">
          <cell r="B421" t="str">
            <v>0032108</v>
          </cell>
          <cell r="C421" t="str">
            <v>Assistant Director of Facilities</v>
          </cell>
          <cell r="D421" t="str">
            <v>Facilities</v>
          </cell>
          <cell r="E421" t="str">
            <v>FACOTH</v>
          </cell>
          <cell r="F421" t="str">
            <v>Facilities - Other Services Provided</v>
          </cell>
        </row>
        <row r="422">
          <cell r="B422" t="str">
            <v>0032109</v>
          </cell>
          <cell r="C422" t="str">
            <v>Sussex House Rent</v>
          </cell>
          <cell r="D422" t="str">
            <v>Facilities</v>
          </cell>
          <cell r="E422" t="str">
            <v>FACCAP</v>
          </cell>
          <cell r="F422" t="str">
            <v>Facilities - Capital Development</v>
          </cell>
        </row>
        <row r="423">
          <cell r="B423" t="str">
            <v>0032111</v>
          </cell>
          <cell r="C423" t="str">
            <v>SDH / Rehab Team</v>
          </cell>
          <cell r="D423" t="str">
            <v>Facilities</v>
          </cell>
          <cell r="E423" t="str">
            <v>FACCAP</v>
          </cell>
          <cell r="F423" t="str">
            <v>Facilities - Capital Development</v>
          </cell>
        </row>
        <row r="424">
          <cell r="B424" t="str">
            <v>0032112</v>
          </cell>
          <cell r="C424" t="str">
            <v>Sussex House Dilapidations</v>
          </cell>
          <cell r="D424" t="str">
            <v>Facilities</v>
          </cell>
          <cell r="E424" t="str">
            <v>FACCAP</v>
          </cell>
          <cell r="F424" t="str">
            <v>Facilities - Capital Development</v>
          </cell>
        </row>
        <row r="425">
          <cell r="B425" t="str">
            <v>0032200</v>
          </cell>
          <cell r="C425" t="str">
            <v>Admin General Services (PRH)</v>
          </cell>
          <cell r="D425" t="str">
            <v>Facilities</v>
          </cell>
          <cell r="E425" t="str">
            <v>FACHOT</v>
          </cell>
          <cell r="F425" t="str">
            <v>Facilities - Hotel Services</v>
          </cell>
        </row>
        <row r="426">
          <cell r="B426" t="str">
            <v>0032201</v>
          </cell>
          <cell r="C426" t="str">
            <v>Facilities Services (PRH)</v>
          </cell>
          <cell r="D426" t="str">
            <v>Facilities</v>
          </cell>
          <cell r="E426" t="str">
            <v>FACOTH</v>
          </cell>
          <cell r="F426" t="str">
            <v>Facilities - Other Services Provided</v>
          </cell>
        </row>
        <row r="427">
          <cell r="B427" t="str">
            <v>0032202</v>
          </cell>
          <cell r="C427" t="str">
            <v>Transport - Non-Ambulance (PRH)</v>
          </cell>
          <cell r="D427" t="str">
            <v>Facilities</v>
          </cell>
          <cell r="E427" t="str">
            <v>FACOTH</v>
          </cell>
          <cell r="F427" t="str">
            <v>Facilities - Other Services Provided</v>
          </cell>
        </row>
        <row r="428">
          <cell r="B428" t="str">
            <v>0032203</v>
          </cell>
          <cell r="C428" t="str">
            <v>Voluntary Services (Trust)</v>
          </cell>
          <cell r="D428" t="str">
            <v>Facilities</v>
          </cell>
          <cell r="E428" t="str">
            <v>FACCAP</v>
          </cell>
          <cell r="F428" t="str">
            <v>Facilities - Capital Development</v>
          </cell>
        </row>
        <row r="429">
          <cell r="B429" t="str">
            <v>0032300</v>
          </cell>
          <cell r="C429" t="str">
            <v>Hotel Services (Btn)</v>
          </cell>
          <cell r="D429" t="str">
            <v>Facilities</v>
          </cell>
          <cell r="E429" t="str">
            <v>FACHOT</v>
          </cell>
          <cell r="F429" t="str">
            <v>Facilities - Hotel Services</v>
          </cell>
        </row>
        <row r="430">
          <cell r="B430" t="str">
            <v>0032302</v>
          </cell>
          <cell r="C430" t="str">
            <v>Hotel Services (New Alex)</v>
          </cell>
          <cell r="D430" t="str">
            <v>Facilities</v>
          </cell>
          <cell r="E430" t="str">
            <v>FACHOT</v>
          </cell>
          <cell r="F430" t="str">
            <v>Facilities - Hotel Services</v>
          </cell>
        </row>
        <row r="431">
          <cell r="B431" t="str">
            <v>0032303</v>
          </cell>
          <cell r="C431" t="str">
            <v>Housekeeping (PRH)</v>
          </cell>
          <cell r="D431" t="str">
            <v>Facilities</v>
          </cell>
          <cell r="E431" t="str">
            <v>FACHOT</v>
          </cell>
          <cell r="F431" t="str">
            <v>Facilities - Hotel Services</v>
          </cell>
        </row>
        <row r="432">
          <cell r="B432" t="str">
            <v>0032306</v>
          </cell>
          <cell r="C432" t="str">
            <v>Clinical Waste (PRH) (now 0032300)</v>
          </cell>
          <cell r="D432" t="str">
            <v>Facilities</v>
          </cell>
          <cell r="E432" t="str">
            <v>FACHOT</v>
          </cell>
          <cell r="F432" t="str">
            <v>Facilities - Hotel Services</v>
          </cell>
        </row>
        <row r="433">
          <cell r="B433" t="str">
            <v>0032307</v>
          </cell>
          <cell r="C433" t="str">
            <v>Deep Cleaning at BSUH</v>
          </cell>
          <cell r="D433" t="str">
            <v>Facilities</v>
          </cell>
          <cell r="E433" t="str">
            <v>FACOTH</v>
          </cell>
          <cell r="F433" t="str">
            <v>Facilities - Other Services Provided</v>
          </cell>
        </row>
        <row r="434">
          <cell r="B434" t="str">
            <v>0032308</v>
          </cell>
          <cell r="C434" t="str">
            <v>Fleming &amp; Lister Hotel Services</v>
          </cell>
          <cell r="D434" t="str">
            <v>Facilities</v>
          </cell>
          <cell r="E434" t="str">
            <v>FACHOT</v>
          </cell>
          <cell r="F434" t="str">
            <v>Facilities - Hotel Services</v>
          </cell>
        </row>
        <row r="435">
          <cell r="B435" t="str">
            <v>0032400</v>
          </cell>
          <cell r="C435" t="str">
            <v>Laundry (Btn)</v>
          </cell>
          <cell r="D435" t="str">
            <v>Facilities</v>
          </cell>
          <cell r="E435" t="str">
            <v>FACHOT</v>
          </cell>
          <cell r="F435" t="str">
            <v>Facilities - Hotel Services</v>
          </cell>
        </row>
        <row r="436">
          <cell r="B436" t="str">
            <v>0032401</v>
          </cell>
          <cell r="C436" t="str">
            <v>Laundry (PRH)</v>
          </cell>
          <cell r="D436" t="str">
            <v>Facilities</v>
          </cell>
          <cell r="E436" t="str">
            <v>FACHOT</v>
          </cell>
          <cell r="F436" t="str">
            <v>Facilities - Hotel Services</v>
          </cell>
        </row>
        <row r="437">
          <cell r="B437" t="str">
            <v>0032402</v>
          </cell>
          <cell r="C437" t="str">
            <v>Linen (PRH)</v>
          </cell>
          <cell r="D437" t="str">
            <v>Facilities</v>
          </cell>
          <cell r="E437" t="str">
            <v>FACHOT</v>
          </cell>
          <cell r="F437" t="str">
            <v>Facilities - Hotel Services</v>
          </cell>
        </row>
        <row r="438">
          <cell r="B438" t="str">
            <v>0032500</v>
          </cell>
          <cell r="C438" t="str">
            <v>Accommodation - L&amp;Q - PRH</v>
          </cell>
          <cell r="D438" t="str">
            <v>Facilities</v>
          </cell>
          <cell r="E438" t="str">
            <v>FACOTH</v>
          </cell>
          <cell r="F438" t="str">
            <v>Facilities - Other Services Provided</v>
          </cell>
        </row>
        <row r="439">
          <cell r="B439" t="str">
            <v>0032501</v>
          </cell>
          <cell r="C439" t="str">
            <v>RSCH Residencies (Btn)</v>
          </cell>
          <cell r="D439" t="str">
            <v>Facilities</v>
          </cell>
          <cell r="E439" t="str">
            <v>FACOTH</v>
          </cell>
          <cell r="F439" t="str">
            <v>Facilities - Other Services Provided</v>
          </cell>
        </row>
        <row r="440">
          <cell r="B440" t="str">
            <v>0032600</v>
          </cell>
          <cell r="C440" t="str">
            <v>Unitary Payment (New Alex)</v>
          </cell>
          <cell r="D440" t="str">
            <v>Facilities</v>
          </cell>
          <cell r="E440" t="str">
            <v>FACNAL</v>
          </cell>
          <cell r="F440" t="str">
            <v>Facilities - EST New Alex</v>
          </cell>
        </row>
        <row r="441">
          <cell r="B441" t="str">
            <v>0032601</v>
          </cell>
          <cell r="C441" t="str">
            <v>New Alex Additional Costs</v>
          </cell>
          <cell r="D441" t="str">
            <v>Facilities</v>
          </cell>
          <cell r="E441" t="str">
            <v>FACNAL</v>
          </cell>
          <cell r="F441" t="str">
            <v>Facilities - EST New Alex</v>
          </cell>
        </row>
        <row r="442">
          <cell r="B442" t="str">
            <v>0032701</v>
          </cell>
          <cell r="C442" t="str">
            <v>Security (New Alex)</v>
          </cell>
          <cell r="D442" t="str">
            <v>Facilities</v>
          </cell>
          <cell r="E442" t="str">
            <v>FACOTH</v>
          </cell>
          <cell r="F442" t="str">
            <v>Facilities - Other Services Provided</v>
          </cell>
        </row>
        <row r="443">
          <cell r="B443" t="str">
            <v>0032703</v>
          </cell>
          <cell r="C443" t="str">
            <v>Healthy Transport Initiatives</v>
          </cell>
          <cell r="D443" t="str">
            <v>Facilities</v>
          </cell>
          <cell r="E443" t="str">
            <v>FACOTH</v>
          </cell>
          <cell r="F443" t="str">
            <v>Facilities - Other Services Provided</v>
          </cell>
        </row>
        <row r="444">
          <cell r="B444" t="str">
            <v>0032705</v>
          </cell>
          <cell r="C444" t="str">
            <v>Car Parking (Trust)</v>
          </cell>
          <cell r="D444" t="str">
            <v>Facilities</v>
          </cell>
          <cell r="E444" t="str">
            <v>FACOTH</v>
          </cell>
          <cell r="F444" t="str">
            <v>Facilities - Other Services Provided</v>
          </cell>
        </row>
        <row r="445">
          <cell r="B445" t="str">
            <v>0032706</v>
          </cell>
          <cell r="C445" t="str">
            <v>Security (Trust)</v>
          </cell>
          <cell r="D445" t="str">
            <v>Facilities</v>
          </cell>
          <cell r="E445" t="str">
            <v>FACOTH</v>
          </cell>
          <cell r="F445" t="str">
            <v>Facilities - Other Services Provided</v>
          </cell>
        </row>
        <row r="446">
          <cell r="B446" t="str">
            <v>0032800</v>
          </cell>
          <cell r="C446" t="str">
            <v>Sterile Services (Btn)</v>
          </cell>
          <cell r="D446" t="str">
            <v>Facilities</v>
          </cell>
          <cell r="E446" t="str">
            <v>FACSSD</v>
          </cell>
          <cell r="F446" t="str">
            <v>Facilities - Sterile Services</v>
          </cell>
        </row>
        <row r="447">
          <cell r="B447" t="str">
            <v>0032801</v>
          </cell>
          <cell r="C447" t="str">
            <v>Sterile Services (PRH)</v>
          </cell>
          <cell r="D447" t="str">
            <v>Facilities</v>
          </cell>
          <cell r="E447" t="str">
            <v>FACSSD</v>
          </cell>
          <cell r="F447" t="str">
            <v>Facilities - Sterile Services</v>
          </cell>
        </row>
        <row r="448">
          <cell r="B448" t="str">
            <v>0032802</v>
          </cell>
          <cell r="C448" t="str">
            <v>Sterile Services (ENDO)</v>
          </cell>
          <cell r="D448" t="str">
            <v>Facilities</v>
          </cell>
          <cell r="E448" t="str">
            <v>FACSSD</v>
          </cell>
          <cell r="F448" t="str">
            <v>Facilities - Sterile Services</v>
          </cell>
        </row>
        <row r="449">
          <cell r="B449" t="str">
            <v>0032900</v>
          </cell>
          <cell r="C449" t="str">
            <v>Procurement &amp; Supplies Dept (Trust)</v>
          </cell>
          <cell r="D449" t="str">
            <v>Facilities</v>
          </cell>
          <cell r="E449" t="str">
            <v>FACPRO</v>
          </cell>
          <cell r="F449" t="str">
            <v>Facilities - Procurement</v>
          </cell>
        </row>
        <row r="450">
          <cell r="B450" t="str">
            <v>0032901</v>
          </cell>
          <cell r="C450" t="str">
            <v>Procurement &amp; Supplies Dept (Confederation)</v>
          </cell>
          <cell r="D450" t="str">
            <v>Facilities</v>
          </cell>
          <cell r="E450" t="str">
            <v>FACPRO</v>
          </cell>
          <cell r="F450" t="str">
            <v>Facilities - Procurement</v>
          </cell>
        </row>
        <row r="451">
          <cell r="B451" t="str">
            <v>0033001</v>
          </cell>
          <cell r="C451" t="str">
            <v>Director Of Finance</v>
          </cell>
          <cell r="D451" t="str">
            <v>Corporate</v>
          </cell>
          <cell r="E451" t="str">
            <v>FUFNFMA</v>
          </cell>
          <cell r="F451" t="str">
            <v>Financial Management</v>
          </cell>
        </row>
        <row r="452">
          <cell r="B452" t="str">
            <v>0033002</v>
          </cell>
          <cell r="C452" t="str">
            <v>Financial Management</v>
          </cell>
          <cell r="D452" t="str">
            <v>Corporate</v>
          </cell>
          <cell r="E452" t="str">
            <v>FUFNFMA</v>
          </cell>
          <cell r="F452" t="str">
            <v>Financial Management</v>
          </cell>
        </row>
        <row r="453">
          <cell r="B453" t="str">
            <v>0033003</v>
          </cell>
          <cell r="C453" t="str">
            <v>Finance and Procurement System</v>
          </cell>
          <cell r="D453" t="str">
            <v>Corporate</v>
          </cell>
          <cell r="E453" t="str">
            <v>FUFNFMA</v>
          </cell>
          <cell r="F453" t="str">
            <v>Financial Management</v>
          </cell>
        </row>
        <row r="454">
          <cell r="B454" t="str">
            <v>0033005</v>
          </cell>
          <cell r="C454" t="str">
            <v>Private Patients</v>
          </cell>
          <cell r="D454" t="str">
            <v>Corporate</v>
          </cell>
          <cell r="E454" t="str">
            <v>FUFNFSV</v>
          </cell>
          <cell r="F454" t="str">
            <v>Financial Services</v>
          </cell>
        </row>
        <row r="455">
          <cell r="B455" t="str">
            <v>0033006</v>
          </cell>
          <cell r="C455" t="str">
            <v>Income</v>
          </cell>
          <cell r="D455" t="str">
            <v>Corporate</v>
          </cell>
          <cell r="E455" t="str">
            <v>FUFNFSV</v>
          </cell>
          <cell r="F455" t="str">
            <v>Financial Services</v>
          </cell>
        </row>
        <row r="456">
          <cell r="B456" t="str">
            <v>0033007</v>
          </cell>
          <cell r="C456" t="str">
            <v>Cashiers</v>
          </cell>
          <cell r="D456" t="str">
            <v>Corporate</v>
          </cell>
          <cell r="E456" t="str">
            <v>FUFNFSV</v>
          </cell>
          <cell r="F456" t="str">
            <v>Financial Services</v>
          </cell>
        </row>
        <row r="457">
          <cell r="B457" t="str">
            <v>0033008</v>
          </cell>
          <cell r="C457" t="str">
            <v>Financial Control</v>
          </cell>
          <cell r="D457" t="str">
            <v>Corporate</v>
          </cell>
          <cell r="E457" t="str">
            <v>FUFNFSV</v>
          </cell>
          <cell r="F457" t="str">
            <v>Financial Services</v>
          </cell>
        </row>
        <row r="458">
          <cell r="B458" t="str">
            <v>0033009</v>
          </cell>
          <cell r="C458" t="str">
            <v>Payments</v>
          </cell>
          <cell r="D458" t="str">
            <v>Corporate</v>
          </cell>
          <cell r="E458" t="str">
            <v>FUFNFSV</v>
          </cell>
          <cell r="F458" t="str">
            <v>Financial Services</v>
          </cell>
        </row>
        <row r="459">
          <cell r="B459" t="str">
            <v>0033010</v>
          </cell>
          <cell r="C459" t="str">
            <v>Payroll</v>
          </cell>
          <cell r="D459" t="str">
            <v>Corporate</v>
          </cell>
          <cell r="E459" t="str">
            <v>FUFNFSV</v>
          </cell>
          <cell r="F459" t="str">
            <v>Financial Services</v>
          </cell>
        </row>
        <row r="460">
          <cell r="B460" t="str">
            <v>0033012</v>
          </cell>
          <cell r="C460" t="str">
            <v>Payroll and Personnel Systems</v>
          </cell>
          <cell r="D460" t="str">
            <v>Corporate</v>
          </cell>
          <cell r="E460" t="str">
            <v>FUFNFSV</v>
          </cell>
          <cell r="F460" t="str">
            <v>Financial Services</v>
          </cell>
        </row>
        <row r="461">
          <cell r="B461" t="str">
            <v>0033013</v>
          </cell>
          <cell r="C461" t="str">
            <v>Financial Planning and Commissioning</v>
          </cell>
          <cell r="D461" t="str">
            <v>Corporate</v>
          </cell>
          <cell r="E461" t="str">
            <v>FUFNFMA</v>
          </cell>
          <cell r="F461" t="str">
            <v>Financial Management</v>
          </cell>
        </row>
        <row r="462">
          <cell r="B462" t="str">
            <v>0033014</v>
          </cell>
          <cell r="C462" t="str">
            <v>Care Records System</v>
          </cell>
          <cell r="D462" t="str">
            <v>Corporate</v>
          </cell>
          <cell r="E462" t="str">
            <v>FUFNFMA</v>
          </cell>
          <cell r="F462" t="str">
            <v>Financial Management</v>
          </cell>
        </row>
        <row r="463">
          <cell r="B463" t="str">
            <v>0033015</v>
          </cell>
          <cell r="C463" t="str">
            <v>Financial Planning Finance</v>
          </cell>
          <cell r="D463" t="str">
            <v>Corporate</v>
          </cell>
          <cell r="E463" t="str">
            <v>FUFNFMA</v>
          </cell>
          <cell r="F463" t="str">
            <v>Financial Management</v>
          </cell>
        </row>
        <row r="464">
          <cell r="B464" t="str">
            <v>0033999</v>
          </cell>
          <cell r="C464" t="str">
            <v>Payments Uncoded Invoices</v>
          </cell>
          <cell r="D464" t="str">
            <v>Corporate</v>
          </cell>
          <cell r="E464" t="str">
            <v>FURESRV</v>
          </cell>
          <cell r="F464" t="str">
            <v>Reserves</v>
          </cell>
        </row>
        <row r="465">
          <cell r="B465" t="str">
            <v>0034000</v>
          </cell>
          <cell r="C465" t="str">
            <v>Commissioning</v>
          </cell>
          <cell r="D465" t="str">
            <v>Corporate</v>
          </cell>
          <cell r="E465" t="str">
            <v>FUFNBUS</v>
          </cell>
          <cell r="F465" t="str">
            <v>Business Support</v>
          </cell>
        </row>
        <row r="466">
          <cell r="B466" t="str">
            <v>0034003</v>
          </cell>
          <cell r="C466" t="str">
            <v>Medical Records Freshfields Road Ind. Est.</v>
          </cell>
          <cell r="D466" t="str">
            <v>Corporate</v>
          </cell>
          <cell r="E466" t="str">
            <v>FUFNBUS</v>
          </cell>
          <cell r="F466" t="str">
            <v>Business Support</v>
          </cell>
        </row>
        <row r="467">
          <cell r="B467" t="str">
            <v>0034100</v>
          </cell>
          <cell r="C467" t="str">
            <v>Computing</v>
          </cell>
          <cell r="D467" t="str">
            <v>Facilities</v>
          </cell>
          <cell r="E467" t="str">
            <v>FAIT</v>
          </cell>
          <cell r="F467" t="str">
            <v>Facilities - IT</v>
          </cell>
        </row>
        <row r="468">
          <cell r="B468" t="str">
            <v>0034102</v>
          </cell>
          <cell r="C468" t="str">
            <v>Holding Account</v>
          </cell>
          <cell r="D468" t="str">
            <v>Facilities</v>
          </cell>
          <cell r="E468" t="str">
            <v>FAIT</v>
          </cell>
          <cell r="F468" t="str">
            <v>Facilities - IT</v>
          </cell>
        </row>
        <row r="469">
          <cell r="B469" t="str">
            <v>0034108</v>
          </cell>
          <cell r="C469" t="str">
            <v>Sussex H.I.S.</v>
          </cell>
          <cell r="D469" t="str">
            <v>Facilities</v>
          </cell>
          <cell r="E469" t="str">
            <v>FAIT</v>
          </cell>
          <cell r="F469" t="str">
            <v>Facilities - IT</v>
          </cell>
        </row>
        <row r="470">
          <cell r="B470" t="str">
            <v>0034200</v>
          </cell>
          <cell r="C470" t="str">
            <v>Coding</v>
          </cell>
          <cell r="D470" t="str">
            <v>Corporate</v>
          </cell>
          <cell r="E470" t="str">
            <v>FUFNBUS</v>
          </cell>
          <cell r="F470" t="str">
            <v>Business Support</v>
          </cell>
        </row>
        <row r="471">
          <cell r="B471" t="str">
            <v>0034201</v>
          </cell>
          <cell r="C471" t="str">
            <v>Data Quality</v>
          </cell>
          <cell r="D471" t="str">
            <v>Corporate</v>
          </cell>
          <cell r="E471" t="str">
            <v>FUFNBUS</v>
          </cell>
          <cell r="F471" t="str">
            <v>Business Support</v>
          </cell>
        </row>
        <row r="472">
          <cell r="B472" t="str">
            <v>0034202</v>
          </cell>
          <cell r="C472" t="str">
            <v>Information Governance</v>
          </cell>
          <cell r="D472" t="str">
            <v>Corporate</v>
          </cell>
          <cell r="E472" t="str">
            <v>FUFNBUS</v>
          </cell>
          <cell r="F472" t="str">
            <v>Business Support</v>
          </cell>
        </row>
        <row r="473">
          <cell r="B473" t="str">
            <v>0034301</v>
          </cell>
          <cell r="C473" t="str">
            <v>Corporate Information</v>
          </cell>
          <cell r="D473" t="str">
            <v>Corporate</v>
          </cell>
          <cell r="E473" t="str">
            <v>FUFNBUS</v>
          </cell>
          <cell r="F473" t="str">
            <v>Business Support</v>
          </cell>
        </row>
        <row r="474">
          <cell r="B474" t="str">
            <v>0034306</v>
          </cell>
          <cell r="C474" t="str">
            <v>Service Improvement</v>
          </cell>
          <cell r="D474" t="str">
            <v>Corporate</v>
          </cell>
          <cell r="E474" t="str">
            <v>FUPROFP</v>
          </cell>
          <cell r="F474" t="str">
            <v>Professional Services and Governence</v>
          </cell>
        </row>
        <row r="475">
          <cell r="B475" t="str">
            <v>0034400</v>
          </cell>
          <cell r="C475" t="str">
            <v>Strategy</v>
          </cell>
          <cell r="D475" t="str">
            <v>Corporate</v>
          </cell>
          <cell r="E475" t="str">
            <v>FUSVIMP</v>
          </cell>
          <cell r="F475" t="str">
            <v>TTT's</v>
          </cell>
        </row>
        <row r="476">
          <cell r="B476" t="str">
            <v>0035000</v>
          </cell>
          <cell r="C476" t="str">
            <v>Director - Human Resources</v>
          </cell>
          <cell r="D476" t="str">
            <v>Corporate</v>
          </cell>
          <cell r="E476" t="str">
            <v>FUHRPER</v>
          </cell>
          <cell r="F476" t="str">
            <v>Personnel</v>
          </cell>
        </row>
        <row r="477">
          <cell r="B477" t="str">
            <v>0035001</v>
          </cell>
          <cell r="C477" t="str">
            <v>Human Resources Management</v>
          </cell>
          <cell r="D477" t="str">
            <v>Corporate</v>
          </cell>
          <cell r="E477" t="str">
            <v>FUHRPER</v>
          </cell>
          <cell r="F477" t="str">
            <v>Personnel</v>
          </cell>
        </row>
        <row r="478">
          <cell r="B478" t="str">
            <v>0035003</v>
          </cell>
          <cell r="C478" t="str">
            <v>Human Resources Bank</v>
          </cell>
          <cell r="D478" t="str">
            <v>Corporate</v>
          </cell>
          <cell r="E478" t="str">
            <v>FUHRPER</v>
          </cell>
          <cell r="F478" t="str">
            <v>Personnel</v>
          </cell>
        </row>
        <row r="479">
          <cell r="B479" t="str">
            <v>0035004</v>
          </cell>
          <cell r="C479" t="str">
            <v>Medical Staffing</v>
          </cell>
          <cell r="D479" t="str">
            <v>Corporate</v>
          </cell>
          <cell r="E479" t="str">
            <v>FUHRPER</v>
          </cell>
          <cell r="F479" t="str">
            <v>Personnel</v>
          </cell>
        </row>
        <row r="480">
          <cell r="B480" t="str">
            <v>0035005</v>
          </cell>
          <cell r="C480" t="str">
            <v>Communications</v>
          </cell>
          <cell r="D480" t="str">
            <v>Corporate</v>
          </cell>
          <cell r="E480" t="str">
            <v>FUCHFEX</v>
          </cell>
          <cell r="F480" t="str">
            <v>Chief Executive</v>
          </cell>
        </row>
        <row r="481">
          <cell r="B481" t="str">
            <v>0035010</v>
          </cell>
          <cell r="C481" t="str">
            <v>Relocation Expenses</v>
          </cell>
          <cell r="D481" t="str">
            <v>Corporate</v>
          </cell>
          <cell r="E481" t="str">
            <v>FUHRPER</v>
          </cell>
          <cell r="F481" t="str">
            <v>Personnel</v>
          </cell>
        </row>
        <row r="482">
          <cell r="B482" t="str">
            <v>0035011</v>
          </cell>
          <cell r="C482" t="str">
            <v>Removal Expenses - Junior Doctors</v>
          </cell>
          <cell r="D482" t="str">
            <v>Corporate</v>
          </cell>
          <cell r="E482" t="str">
            <v>FUHRPER</v>
          </cell>
          <cell r="F482" t="str">
            <v>Personnel</v>
          </cell>
        </row>
        <row r="483">
          <cell r="B483" t="str">
            <v>0035012</v>
          </cell>
          <cell r="C483" t="str">
            <v>Occupational Health (B'TON)</v>
          </cell>
          <cell r="D483" t="str">
            <v>Corporate</v>
          </cell>
          <cell r="E483" t="str">
            <v>FUHRPER</v>
          </cell>
          <cell r="F483" t="str">
            <v>Personnel</v>
          </cell>
        </row>
        <row r="484">
          <cell r="B484" t="str">
            <v>0035013</v>
          </cell>
          <cell r="C484" t="str">
            <v>Training And Development</v>
          </cell>
          <cell r="D484" t="str">
            <v>Corporate</v>
          </cell>
          <cell r="E484" t="str">
            <v>FUHRPER</v>
          </cell>
          <cell r="F484" t="str">
            <v>Personnel</v>
          </cell>
        </row>
        <row r="485">
          <cell r="B485" t="str">
            <v>0035014</v>
          </cell>
          <cell r="C485" t="str">
            <v>Pay Rise Funds</v>
          </cell>
          <cell r="D485" t="str">
            <v>Corporate</v>
          </cell>
          <cell r="E485" t="str">
            <v>FUHRPER</v>
          </cell>
          <cell r="F485" t="str">
            <v>Personnel</v>
          </cell>
        </row>
        <row r="486">
          <cell r="B486" t="str">
            <v>0035017</v>
          </cell>
          <cell r="C486" t="str">
            <v>F1/F2 Trainee Doctors</v>
          </cell>
          <cell r="D486" t="str">
            <v>Corporate</v>
          </cell>
          <cell r="E486" t="str">
            <v>FUHRPER</v>
          </cell>
          <cell r="F486" t="str">
            <v>Personnel</v>
          </cell>
        </row>
        <row r="487">
          <cell r="B487" t="str">
            <v>0035020</v>
          </cell>
          <cell r="C487" t="str">
            <v>Sussex House Nursery</v>
          </cell>
          <cell r="D487" t="str">
            <v>Corporate</v>
          </cell>
          <cell r="E487" t="str">
            <v>FUHRCHC</v>
          </cell>
          <cell r="F487" t="str">
            <v>Childcare</v>
          </cell>
        </row>
        <row r="488">
          <cell r="B488" t="str">
            <v>0035022</v>
          </cell>
          <cell r="C488" t="str">
            <v>Wendy House Nursery</v>
          </cell>
          <cell r="D488" t="str">
            <v>Corporate</v>
          </cell>
          <cell r="E488" t="str">
            <v>FUHRCHC</v>
          </cell>
          <cell r="F488" t="str">
            <v>Childcare</v>
          </cell>
        </row>
        <row r="489">
          <cell r="B489" t="str">
            <v>0035023</v>
          </cell>
          <cell r="C489" t="str">
            <v>Childcare Saving Scheme</v>
          </cell>
          <cell r="D489" t="str">
            <v>Corporate</v>
          </cell>
          <cell r="E489" t="str">
            <v>FUHRCHC</v>
          </cell>
          <cell r="F489" t="str">
            <v>Childcare</v>
          </cell>
        </row>
        <row r="490">
          <cell r="B490" t="str">
            <v>0035025</v>
          </cell>
          <cell r="C490" t="str">
            <v>Childcare Management</v>
          </cell>
          <cell r="D490" t="str">
            <v>Corporate</v>
          </cell>
          <cell r="E490" t="str">
            <v>FUHRCHC</v>
          </cell>
          <cell r="F490" t="str">
            <v>Childcare</v>
          </cell>
        </row>
        <row r="491">
          <cell r="B491" t="str">
            <v>0035030</v>
          </cell>
          <cell r="C491" t="str">
            <v>PGMC Brighton</v>
          </cell>
          <cell r="D491" t="str">
            <v>Corporate</v>
          </cell>
          <cell r="E491" t="str">
            <v>FUHRMED</v>
          </cell>
          <cell r="F491" t="str">
            <v>MedicalCentre</v>
          </cell>
        </row>
        <row r="492">
          <cell r="B492" t="str">
            <v>0035031</v>
          </cell>
          <cell r="C492" t="str">
            <v>PGMC Libray Brighton</v>
          </cell>
          <cell r="D492" t="str">
            <v>Corporate</v>
          </cell>
          <cell r="E492" t="str">
            <v>FUHRLBR</v>
          </cell>
          <cell r="F492" t="str">
            <v>Libraries</v>
          </cell>
        </row>
        <row r="493">
          <cell r="B493" t="str">
            <v>0035032</v>
          </cell>
          <cell r="C493" t="str">
            <v>IT - SIFT</v>
          </cell>
          <cell r="D493" t="str">
            <v>Corporate</v>
          </cell>
          <cell r="E493" t="str">
            <v>FUHRLBR</v>
          </cell>
          <cell r="F493" t="str">
            <v>Libraries</v>
          </cell>
        </row>
        <row r="494">
          <cell r="B494" t="str">
            <v>0035033</v>
          </cell>
          <cell r="C494" t="str">
            <v>Foundation Programme</v>
          </cell>
          <cell r="D494" t="str">
            <v>Corporate</v>
          </cell>
          <cell r="E494" t="str">
            <v>FUHRMED</v>
          </cell>
          <cell r="F494" t="str">
            <v>MedicalCentre</v>
          </cell>
        </row>
        <row r="495">
          <cell r="B495" t="str">
            <v>0035034</v>
          </cell>
          <cell r="C495" t="str">
            <v>PGMC PRH</v>
          </cell>
          <cell r="D495" t="str">
            <v>Corporate</v>
          </cell>
          <cell r="E495" t="str">
            <v>FUHRMED</v>
          </cell>
          <cell r="F495" t="str">
            <v>MedicalCentre</v>
          </cell>
        </row>
        <row r="496">
          <cell r="B496" t="str">
            <v>0035035</v>
          </cell>
          <cell r="C496" t="str">
            <v>Library PRH</v>
          </cell>
          <cell r="D496" t="str">
            <v>Corporate</v>
          </cell>
          <cell r="E496" t="str">
            <v>FUHRLBR</v>
          </cell>
          <cell r="F496" t="str">
            <v>Libraries</v>
          </cell>
        </row>
        <row r="497">
          <cell r="B497" t="str">
            <v>0035036</v>
          </cell>
          <cell r="C497" t="str">
            <v>Library (Med Audit)</v>
          </cell>
          <cell r="D497" t="str">
            <v>Corporate</v>
          </cell>
          <cell r="E497" t="str">
            <v>FUHRLBR</v>
          </cell>
          <cell r="F497" t="str">
            <v>Libraries</v>
          </cell>
        </row>
        <row r="498">
          <cell r="B498" t="str">
            <v>0035037</v>
          </cell>
          <cell r="C498" t="str">
            <v>SAS Doctors - Training Funds</v>
          </cell>
          <cell r="D498" t="str">
            <v>Corporate</v>
          </cell>
          <cell r="E498" t="str">
            <v>FUHRMED</v>
          </cell>
          <cell r="F498" t="str">
            <v>MedicalCentre</v>
          </cell>
        </row>
        <row r="499">
          <cell r="B499" t="str">
            <v>0035038</v>
          </cell>
          <cell r="C499" t="str">
            <v>Medical School - Undergraduate PRH</v>
          </cell>
          <cell r="D499" t="str">
            <v>Corporate</v>
          </cell>
          <cell r="E499" t="str">
            <v>FUHRMED</v>
          </cell>
          <cell r="F499" t="str">
            <v>MedicalCentre</v>
          </cell>
        </row>
        <row r="500">
          <cell r="B500" t="str">
            <v>0035039</v>
          </cell>
          <cell r="C500" t="str">
            <v>Managing Quality of Medical Training</v>
          </cell>
          <cell r="D500" t="str">
            <v>Corporate</v>
          </cell>
          <cell r="E500" t="str">
            <v>FUHRMED</v>
          </cell>
          <cell r="F500" t="str">
            <v>MedicalCentre</v>
          </cell>
        </row>
        <row r="501">
          <cell r="B501" t="str">
            <v>0035040</v>
          </cell>
          <cell r="C501" t="str">
            <v>AEB Management</v>
          </cell>
          <cell r="D501" t="str">
            <v>Corporate</v>
          </cell>
          <cell r="E501" t="str">
            <v>FUHRMED</v>
          </cell>
          <cell r="F501" t="str">
            <v>MedicalCentre</v>
          </cell>
        </row>
        <row r="502">
          <cell r="B502" t="str">
            <v>0035041</v>
          </cell>
          <cell r="C502" t="str">
            <v>GP Tutor</v>
          </cell>
          <cell r="D502" t="str">
            <v>Corporate</v>
          </cell>
          <cell r="E502" t="str">
            <v>FUHRMED</v>
          </cell>
          <cell r="F502" t="str">
            <v>MedicalCentre</v>
          </cell>
        </row>
        <row r="503">
          <cell r="B503" t="str">
            <v>0035042</v>
          </cell>
          <cell r="C503" t="str">
            <v>ATLS</v>
          </cell>
          <cell r="D503" t="str">
            <v>Corporate</v>
          </cell>
          <cell r="E503" t="str">
            <v>FUHRMED</v>
          </cell>
          <cell r="F503" t="str">
            <v>MedicalCentre</v>
          </cell>
        </row>
        <row r="504">
          <cell r="B504" t="str">
            <v>0035044</v>
          </cell>
          <cell r="C504" t="str">
            <v>Certificate In Teaching</v>
          </cell>
          <cell r="D504" t="str">
            <v>Corporate</v>
          </cell>
          <cell r="E504" t="str">
            <v>FUHRMED</v>
          </cell>
          <cell r="F504" t="str">
            <v>MedicalCentre</v>
          </cell>
        </row>
        <row r="505">
          <cell r="B505" t="str">
            <v>0035045</v>
          </cell>
          <cell r="C505" t="str">
            <v>Dental Training RSCH</v>
          </cell>
          <cell r="D505" t="str">
            <v>Corporate</v>
          </cell>
          <cell r="E505" t="str">
            <v>FUHRMED</v>
          </cell>
          <cell r="F505" t="str">
            <v>MedicalCentre</v>
          </cell>
        </row>
        <row r="506">
          <cell r="B506" t="str">
            <v>0035046</v>
          </cell>
          <cell r="C506" t="str">
            <v>Junior Doctors - Study Leave</v>
          </cell>
          <cell r="D506" t="str">
            <v>Corporate</v>
          </cell>
          <cell r="E506" t="str">
            <v>FUHRMED</v>
          </cell>
          <cell r="F506" t="str">
            <v>MedicalCentre</v>
          </cell>
        </row>
        <row r="507">
          <cell r="B507" t="str">
            <v>0035047</v>
          </cell>
          <cell r="C507" t="str">
            <v>GP Tutor - PRH</v>
          </cell>
          <cell r="D507" t="str">
            <v>Corporate</v>
          </cell>
          <cell r="E507" t="str">
            <v>FUHRMED</v>
          </cell>
          <cell r="F507" t="str">
            <v>MedicalCentre</v>
          </cell>
        </row>
        <row r="508">
          <cell r="B508" t="str">
            <v>0035048</v>
          </cell>
          <cell r="C508" t="str">
            <v>Dental Training - PRH</v>
          </cell>
          <cell r="D508" t="str">
            <v>Corporate</v>
          </cell>
          <cell r="E508" t="str">
            <v>FUHRMED</v>
          </cell>
          <cell r="F508" t="str">
            <v>MedicalCentre</v>
          </cell>
        </row>
        <row r="509">
          <cell r="B509" t="str">
            <v>0035049</v>
          </cell>
          <cell r="C509" t="str">
            <v xml:space="preserve"> Library - Mill View Hospital</v>
          </cell>
          <cell r="D509" t="str">
            <v>Corporate</v>
          </cell>
          <cell r="E509" t="str">
            <v>FUHRLBR</v>
          </cell>
          <cell r="F509" t="str">
            <v>Libraries</v>
          </cell>
        </row>
        <row r="510">
          <cell r="B510" t="str">
            <v>0035050</v>
          </cell>
          <cell r="C510" t="str">
            <v>Library Non-pay SIFT</v>
          </cell>
          <cell r="D510" t="str">
            <v>Corporate</v>
          </cell>
          <cell r="E510" t="str">
            <v>FUHRLBR</v>
          </cell>
          <cell r="F510" t="str">
            <v>Libraries</v>
          </cell>
        </row>
        <row r="511">
          <cell r="B511" t="str">
            <v>0035052</v>
          </cell>
          <cell r="C511" t="str">
            <v>PACES Exams</v>
          </cell>
          <cell r="D511" t="str">
            <v>Corporate</v>
          </cell>
          <cell r="E511" t="str">
            <v>FUHRMED</v>
          </cell>
          <cell r="F511" t="str">
            <v>MedicalCentre</v>
          </cell>
        </row>
        <row r="512">
          <cell r="B512" t="str">
            <v>0035053</v>
          </cell>
          <cell r="C512" t="str">
            <v>GP e-Portfolio</v>
          </cell>
          <cell r="D512" t="str">
            <v>Corporate</v>
          </cell>
          <cell r="E512" t="str">
            <v>FUHRMED</v>
          </cell>
          <cell r="F512" t="str">
            <v>MedicalCentre</v>
          </cell>
        </row>
        <row r="513">
          <cell r="B513" t="str">
            <v>0035054</v>
          </cell>
          <cell r="C513" t="str">
            <v>PGMC Library Brighton - SNM Funding</v>
          </cell>
          <cell r="D513" t="str">
            <v>Corporate</v>
          </cell>
          <cell r="E513" t="str">
            <v>FUHRLBR</v>
          </cell>
          <cell r="F513" t="str">
            <v>Libraries</v>
          </cell>
        </row>
        <row r="514">
          <cell r="B514" t="str">
            <v>0035055</v>
          </cell>
          <cell r="C514" t="str">
            <v>Member of Royal College of Physicians</v>
          </cell>
          <cell r="D514" t="str">
            <v>Corporate</v>
          </cell>
          <cell r="E514" t="str">
            <v>FUHRMED</v>
          </cell>
          <cell r="F514" t="str">
            <v>MedicalCentre</v>
          </cell>
        </row>
        <row r="515">
          <cell r="B515" t="str">
            <v>0035056</v>
          </cell>
          <cell r="C515" t="str">
            <v>GP - VTS</v>
          </cell>
          <cell r="D515" t="str">
            <v>Corporate</v>
          </cell>
          <cell r="E515" t="str">
            <v>FUHRMED</v>
          </cell>
          <cell r="F515" t="str">
            <v>MedicalCentre</v>
          </cell>
        </row>
        <row r="516">
          <cell r="B516" t="str">
            <v>0035057</v>
          </cell>
          <cell r="C516" t="str">
            <v>Equality and Diversity</v>
          </cell>
          <cell r="D516" t="str">
            <v>Corporate</v>
          </cell>
          <cell r="E516" t="str">
            <v>FUHRPER</v>
          </cell>
          <cell r="F516" t="str">
            <v>Personnel</v>
          </cell>
        </row>
        <row r="517">
          <cell r="B517" t="str">
            <v>0035058</v>
          </cell>
          <cell r="C517" t="str">
            <v>Legal Settlements</v>
          </cell>
          <cell r="D517" t="str">
            <v>Corporate</v>
          </cell>
          <cell r="E517" t="str">
            <v>FUHRPER</v>
          </cell>
          <cell r="F517" t="str">
            <v>Personnel</v>
          </cell>
        </row>
        <row r="518">
          <cell r="B518" t="str">
            <v>0035059</v>
          </cell>
          <cell r="C518" t="str">
            <v>GP Trainer Development</v>
          </cell>
          <cell r="D518" t="str">
            <v>Corporate</v>
          </cell>
          <cell r="E518" t="str">
            <v>FUHRMED</v>
          </cell>
          <cell r="F518" t="str">
            <v>MedicalCentre</v>
          </cell>
        </row>
        <row r="519">
          <cell r="B519" t="str">
            <v>0035060</v>
          </cell>
          <cell r="C519" t="str">
            <v>QESP</v>
          </cell>
          <cell r="D519" t="str">
            <v>Corporate</v>
          </cell>
          <cell r="E519" t="str">
            <v>FUHRMED</v>
          </cell>
          <cell r="F519" t="str">
            <v>MedicalCentre</v>
          </cell>
        </row>
        <row r="520">
          <cell r="B520" t="str">
            <v>0035061</v>
          </cell>
          <cell r="C520" t="str">
            <v>Development Director</v>
          </cell>
          <cell r="D520" t="str">
            <v>Corporate</v>
          </cell>
          <cell r="E520" t="str">
            <v>FUHRPER</v>
          </cell>
          <cell r="F520" t="str">
            <v>Personnel</v>
          </cell>
        </row>
        <row r="521">
          <cell r="B521" t="str">
            <v>0035062</v>
          </cell>
          <cell r="C521" t="str">
            <v>Psychological Support Services</v>
          </cell>
          <cell r="D521" t="str">
            <v>Corporate</v>
          </cell>
          <cell r="E521" t="str">
            <v>FUHRPER</v>
          </cell>
          <cell r="F521" t="str">
            <v>Personnel</v>
          </cell>
        </row>
        <row r="522">
          <cell r="B522" t="str">
            <v>0036000</v>
          </cell>
          <cell r="C522" t="str">
            <v>Director Of Nursing</v>
          </cell>
          <cell r="D522" t="str">
            <v>Corporate</v>
          </cell>
          <cell r="E522" t="str">
            <v>FUPROFP</v>
          </cell>
          <cell r="F522" t="str">
            <v>Professional Services and Governence</v>
          </cell>
        </row>
        <row r="523">
          <cell r="B523" t="str">
            <v>0036001</v>
          </cell>
          <cell r="C523" t="str">
            <v>Medical Director</v>
          </cell>
          <cell r="D523" t="str">
            <v>Corporate</v>
          </cell>
          <cell r="E523" t="str">
            <v>FUPROFP</v>
          </cell>
          <cell r="F523" t="str">
            <v>Professional Services and Governence</v>
          </cell>
        </row>
        <row r="524">
          <cell r="B524" t="str">
            <v>0036004</v>
          </cell>
          <cell r="C524" t="str">
            <v>Nurse Management</v>
          </cell>
          <cell r="D524" t="str">
            <v>Corporate</v>
          </cell>
          <cell r="E524" t="str">
            <v>FUPROFP</v>
          </cell>
          <cell r="F524" t="str">
            <v>Professional Services and Governence</v>
          </cell>
        </row>
        <row r="525">
          <cell r="B525" t="str">
            <v>0036005</v>
          </cell>
          <cell r="C525" t="str">
            <v>PTDE Allocation - ST and T Staff</v>
          </cell>
          <cell r="D525" t="str">
            <v>Corporate</v>
          </cell>
          <cell r="E525" t="str">
            <v>FUPROFP</v>
          </cell>
          <cell r="F525" t="str">
            <v>Professional Services and Governence</v>
          </cell>
        </row>
        <row r="526">
          <cell r="B526" t="str">
            <v>0036006</v>
          </cell>
          <cell r="C526" t="str">
            <v>PTDE Allocation - Nurses and Midwives</v>
          </cell>
          <cell r="D526" t="str">
            <v>Corporate</v>
          </cell>
          <cell r="E526" t="str">
            <v>FUPROFP</v>
          </cell>
          <cell r="F526" t="str">
            <v>Professional Services and Governence</v>
          </cell>
        </row>
        <row r="527">
          <cell r="B527" t="str">
            <v>0036010</v>
          </cell>
          <cell r="C527" t="str">
            <v>Ast Dir -  Clinical Governance</v>
          </cell>
          <cell r="D527" t="str">
            <v>Corporate</v>
          </cell>
          <cell r="E527" t="str">
            <v>FUPROFP</v>
          </cell>
          <cell r="F527" t="str">
            <v>Professional Services and Governence</v>
          </cell>
        </row>
        <row r="528">
          <cell r="B528" t="str">
            <v>0036011</v>
          </cell>
          <cell r="C528" t="str">
            <v>Clinical Risk</v>
          </cell>
          <cell r="D528" t="str">
            <v>Corporate</v>
          </cell>
          <cell r="E528" t="str">
            <v>FUPROFP</v>
          </cell>
          <cell r="F528" t="str">
            <v>Professional Services and Governence</v>
          </cell>
        </row>
        <row r="529">
          <cell r="B529" t="str">
            <v>0036020</v>
          </cell>
          <cell r="C529" t="str">
            <v>Clinical Effectiveness Support</v>
          </cell>
          <cell r="D529" t="str">
            <v>Corporate</v>
          </cell>
          <cell r="E529" t="str">
            <v>FUPROFP</v>
          </cell>
          <cell r="F529" t="str">
            <v>Professional Services and Governence</v>
          </cell>
        </row>
        <row r="530">
          <cell r="B530" t="str">
            <v>0036022</v>
          </cell>
          <cell r="C530" t="str">
            <v>Chaplaincy</v>
          </cell>
          <cell r="D530" t="str">
            <v>Corporate</v>
          </cell>
          <cell r="E530" t="str">
            <v>FUPROFP</v>
          </cell>
          <cell r="F530" t="str">
            <v>Professional Services and Governence</v>
          </cell>
        </row>
        <row r="531">
          <cell r="B531" t="str">
            <v>0036023</v>
          </cell>
          <cell r="C531" t="str">
            <v>Patients Advocate</v>
          </cell>
          <cell r="D531" t="str">
            <v>Corporate</v>
          </cell>
          <cell r="E531" t="str">
            <v>FUPROFP</v>
          </cell>
          <cell r="F531" t="str">
            <v>Professional Services and Governence</v>
          </cell>
        </row>
        <row r="532">
          <cell r="B532" t="str">
            <v>0036025</v>
          </cell>
          <cell r="C532" t="str">
            <v>Complaints</v>
          </cell>
          <cell r="D532" t="str">
            <v>Corporate</v>
          </cell>
          <cell r="E532" t="str">
            <v>FUPROFP</v>
          </cell>
          <cell r="F532" t="str">
            <v>Professional Services and Governence</v>
          </cell>
        </row>
        <row r="533">
          <cell r="B533" t="str">
            <v>0036040</v>
          </cell>
          <cell r="C533" t="str">
            <v>PRDN Secondment</v>
          </cell>
          <cell r="D533" t="str">
            <v>Corporate</v>
          </cell>
          <cell r="E533" t="str">
            <v>FUPROFP</v>
          </cell>
          <cell r="F533" t="str">
            <v>Professional Services and Governence</v>
          </cell>
        </row>
        <row r="534">
          <cell r="B534" t="str">
            <v>0036041</v>
          </cell>
          <cell r="C534" t="str">
            <v>Nurse Education</v>
          </cell>
          <cell r="D534" t="str">
            <v>Corporate</v>
          </cell>
          <cell r="E534" t="str">
            <v>FUPROFP</v>
          </cell>
          <cell r="F534" t="str">
            <v>Professional Services and Governence</v>
          </cell>
        </row>
        <row r="535">
          <cell r="B535" t="str">
            <v>0036050</v>
          </cell>
          <cell r="C535" t="str">
            <v>Snr Med Training</v>
          </cell>
          <cell r="D535" t="str">
            <v>Corporate</v>
          </cell>
          <cell r="E535" t="str">
            <v>FUPROFP</v>
          </cell>
          <cell r="F535" t="str">
            <v>Professional Services and Governence</v>
          </cell>
        </row>
        <row r="536">
          <cell r="B536" t="str">
            <v>0036054</v>
          </cell>
          <cell r="C536" t="str">
            <v>Medico Legal Services</v>
          </cell>
          <cell r="D536" t="str">
            <v>Corporate</v>
          </cell>
          <cell r="E536" t="str">
            <v>FUPROFP</v>
          </cell>
          <cell r="F536" t="str">
            <v>Professional Services and Governence</v>
          </cell>
        </row>
        <row r="537">
          <cell r="B537" t="str">
            <v>0036055</v>
          </cell>
          <cell r="C537" t="str">
            <v>Trust Insurance</v>
          </cell>
          <cell r="D537" t="str">
            <v>Corporate</v>
          </cell>
          <cell r="E537" t="str">
            <v>FUPROFP</v>
          </cell>
          <cell r="F537" t="str">
            <v>Professional Services and Governence</v>
          </cell>
        </row>
        <row r="538">
          <cell r="B538" t="str">
            <v>0036056</v>
          </cell>
          <cell r="C538" t="str">
            <v>Litigation And Insurance Premium</v>
          </cell>
          <cell r="D538" t="str">
            <v>Corporate</v>
          </cell>
          <cell r="E538" t="str">
            <v>FUPROFP</v>
          </cell>
          <cell r="F538" t="str">
            <v>Professional Services and Governence</v>
          </cell>
        </row>
        <row r="539">
          <cell r="B539" t="str">
            <v>0036057</v>
          </cell>
          <cell r="C539" t="str">
            <v>Non-Clinical Risk Management</v>
          </cell>
          <cell r="D539" t="str">
            <v>Corporate</v>
          </cell>
          <cell r="E539" t="str">
            <v>FUPROFP</v>
          </cell>
          <cell r="F539" t="str">
            <v>Professional Services and Governence</v>
          </cell>
        </row>
        <row r="540">
          <cell r="B540" t="str">
            <v>0036058</v>
          </cell>
          <cell r="C540" t="str">
            <v>Infection Control</v>
          </cell>
          <cell r="D540" t="str">
            <v>Corporate</v>
          </cell>
          <cell r="E540" t="str">
            <v>FUPROFP</v>
          </cell>
          <cell r="F540" t="str">
            <v>Professional Services and Governence</v>
          </cell>
        </row>
        <row r="541">
          <cell r="B541" t="str">
            <v>0036059</v>
          </cell>
          <cell r="C541" t="str">
            <v>Wound Care Team - Skin Integrity Trials</v>
          </cell>
          <cell r="D541" t="str">
            <v>Corporate</v>
          </cell>
          <cell r="E541" t="str">
            <v>FUPROFP</v>
          </cell>
          <cell r="F541" t="str">
            <v>Professional Services and Governence</v>
          </cell>
        </row>
        <row r="542">
          <cell r="B542" t="str">
            <v>0036060</v>
          </cell>
          <cell r="C542" t="str">
            <v>Productive Ward Funding - (Pilot)</v>
          </cell>
          <cell r="D542" t="str">
            <v>Corporate</v>
          </cell>
          <cell r="E542" t="str">
            <v>FUPROFP</v>
          </cell>
          <cell r="F542" t="str">
            <v>Professional Services and Governence</v>
          </cell>
        </row>
        <row r="543">
          <cell r="B543" t="str">
            <v>0036061</v>
          </cell>
          <cell r="C543" t="str">
            <v>Financial Planning DPSG</v>
          </cell>
          <cell r="D543" t="str">
            <v>Corporate</v>
          </cell>
          <cell r="E543" t="str">
            <v>FUPROFP</v>
          </cell>
          <cell r="F543" t="str">
            <v>Professional Services and Governence</v>
          </cell>
        </row>
        <row r="544">
          <cell r="B544" t="str">
            <v>0036062</v>
          </cell>
          <cell r="C544" t="str">
            <v>Productive Ward Funding</v>
          </cell>
          <cell r="D544" t="str">
            <v>Corporate</v>
          </cell>
          <cell r="E544" t="str">
            <v>FUPROFP</v>
          </cell>
          <cell r="F544" t="str">
            <v>Professional Services and Governence</v>
          </cell>
        </row>
        <row r="545">
          <cell r="B545" t="str">
            <v>0037001</v>
          </cell>
          <cell r="C545" t="str">
            <v>Renal Research Activity</v>
          </cell>
          <cell r="D545" t="str">
            <v>Corporate</v>
          </cell>
          <cell r="E545" t="str">
            <v>FURANDD</v>
          </cell>
          <cell r="F545" t="str">
            <v>Research &amp; Development</v>
          </cell>
        </row>
        <row r="546">
          <cell r="B546" t="str">
            <v>0037002</v>
          </cell>
          <cell r="C546" t="str">
            <v>Oncology Research</v>
          </cell>
          <cell r="D546" t="str">
            <v>Corporate</v>
          </cell>
          <cell r="E546" t="str">
            <v>FURANDD</v>
          </cell>
          <cell r="F546" t="str">
            <v>Research &amp; Development</v>
          </cell>
        </row>
        <row r="547">
          <cell r="B547" t="str">
            <v>0037003</v>
          </cell>
          <cell r="C547" t="str">
            <v>Sussex Cancer Research Network</v>
          </cell>
          <cell r="D547" t="str">
            <v>Corporate</v>
          </cell>
          <cell r="E547" t="str">
            <v>FURANDD</v>
          </cell>
          <cell r="F547" t="str">
            <v>Research &amp; Development</v>
          </cell>
        </row>
        <row r="548">
          <cell r="B548" t="str">
            <v>0037004</v>
          </cell>
          <cell r="C548" t="str">
            <v>ITU - MS</v>
          </cell>
          <cell r="D548" t="str">
            <v>Corporate</v>
          </cell>
          <cell r="E548" t="str">
            <v>FURANDD</v>
          </cell>
          <cell r="F548" t="str">
            <v>Research &amp; Development</v>
          </cell>
        </row>
        <row r="549">
          <cell r="B549" t="str">
            <v>0037005</v>
          </cell>
          <cell r="C549" t="str">
            <v>Infectious Diseases Research</v>
          </cell>
          <cell r="D549" t="str">
            <v>Corporate</v>
          </cell>
          <cell r="E549" t="str">
            <v>FURANDD</v>
          </cell>
          <cell r="F549" t="str">
            <v>Research &amp; Development</v>
          </cell>
        </row>
        <row r="550">
          <cell r="B550" t="str">
            <v>0037010</v>
          </cell>
          <cell r="C550" t="str">
            <v>Cardiac</v>
          </cell>
          <cell r="D550" t="str">
            <v>Corporate</v>
          </cell>
          <cell r="E550" t="str">
            <v>FURANDD</v>
          </cell>
          <cell r="F550" t="str">
            <v>Research &amp; Development</v>
          </cell>
        </row>
        <row r="551">
          <cell r="B551" t="str">
            <v>0037011</v>
          </cell>
          <cell r="C551" t="str">
            <v>Allergy Research</v>
          </cell>
          <cell r="D551" t="str">
            <v>Corporate</v>
          </cell>
          <cell r="E551" t="str">
            <v>FURANDD</v>
          </cell>
          <cell r="F551" t="str">
            <v>Research &amp; Development</v>
          </cell>
        </row>
        <row r="552">
          <cell r="B552" t="str">
            <v>0037012</v>
          </cell>
          <cell r="C552" t="str">
            <v>Ethics Research</v>
          </cell>
          <cell r="D552" t="str">
            <v>Corporate</v>
          </cell>
          <cell r="E552" t="str">
            <v>FURANDD</v>
          </cell>
          <cell r="F552" t="str">
            <v>Research &amp; Development</v>
          </cell>
        </row>
        <row r="553">
          <cell r="B553" t="str">
            <v>0037013</v>
          </cell>
          <cell r="C553" t="str">
            <v>Dementia Research</v>
          </cell>
          <cell r="D553" t="str">
            <v>Corporate</v>
          </cell>
          <cell r="E553" t="str">
            <v>FURANDD</v>
          </cell>
          <cell r="F553" t="str">
            <v>Research &amp; Development</v>
          </cell>
        </row>
        <row r="554">
          <cell r="B554" t="str">
            <v>0037020</v>
          </cell>
          <cell r="C554" t="str">
            <v>Endocrinology Research</v>
          </cell>
          <cell r="D554" t="str">
            <v>Corporate</v>
          </cell>
          <cell r="E554" t="str">
            <v>FURANDD</v>
          </cell>
          <cell r="F554" t="str">
            <v>Research &amp; Development</v>
          </cell>
        </row>
        <row r="555">
          <cell r="B555" t="str">
            <v>0037022</v>
          </cell>
          <cell r="C555" t="str">
            <v>BSMS Student Project Accounts</v>
          </cell>
          <cell r="D555" t="str">
            <v>Corporate</v>
          </cell>
          <cell r="E555" t="str">
            <v>FURANDD</v>
          </cell>
          <cell r="F555" t="str">
            <v>Research &amp; Development</v>
          </cell>
        </row>
        <row r="556">
          <cell r="B556" t="str">
            <v>0037023</v>
          </cell>
          <cell r="C556" t="str">
            <v>XIMA Trial</v>
          </cell>
          <cell r="D556" t="str">
            <v>Corporate</v>
          </cell>
          <cell r="E556" t="str">
            <v>FURANDD</v>
          </cell>
          <cell r="F556" t="str">
            <v>Research &amp; Development</v>
          </cell>
        </row>
        <row r="557">
          <cell r="B557" t="str">
            <v>0037024</v>
          </cell>
          <cell r="C557" t="str">
            <v>Spare 5</v>
          </cell>
          <cell r="D557" t="str">
            <v>Corporate</v>
          </cell>
          <cell r="E557" t="str">
            <v>FURANDD</v>
          </cell>
          <cell r="F557" t="str">
            <v>Research &amp; Development</v>
          </cell>
        </row>
        <row r="558">
          <cell r="B558" t="str">
            <v>0037030</v>
          </cell>
          <cell r="C558" t="str">
            <v>Stroke Research Network</v>
          </cell>
          <cell r="D558" t="str">
            <v>Corporate</v>
          </cell>
          <cell r="E558" t="str">
            <v>FURANDD</v>
          </cell>
          <cell r="F558" t="str">
            <v>Research &amp; Development</v>
          </cell>
        </row>
        <row r="559">
          <cell r="B559" t="str">
            <v>0037031</v>
          </cell>
          <cell r="C559" t="str">
            <v>Dementia Research</v>
          </cell>
          <cell r="D559" t="str">
            <v>Corporate</v>
          </cell>
          <cell r="E559" t="str">
            <v>FURANDD</v>
          </cell>
          <cell r="F559" t="str">
            <v>Research &amp; Development</v>
          </cell>
        </row>
        <row r="560">
          <cell r="B560" t="str">
            <v>0037032</v>
          </cell>
          <cell r="C560" t="str">
            <v>Elderly Care Research</v>
          </cell>
          <cell r="D560" t="str">
            <v>Corporate</v>
          </cell>
          <cell r="E560" t="str">
            <v>FURANDD</v>
          </cell>
          <cell r="F560" t="str">
            <v>Research &amp; Development</v>
          </cell>
        </row>
        <row r="561">
          <cell r="B561" t="str">
            <v>0037033</v>
          </cell>
          <cell r="C561" t="str">
            <v>HRT</v>
          </cell>
          <cell r="D561" t="str">
            <v>Corporate</v>
          </cell>
          <cell r="E561" t="str">
            <v>FURANDD</v>
          </cell>
          <cell r="F561" t="str">
            <v>Research &amp; Development</v>
          </cell>
        </row>
        <row r="562">
          <cell r="B562" t="str">
            <v>0037034</v>
          </cell>
          <cell r="C562" t="str">
            <v>Departmental</v>
          </cell>
          <cell r="D562" t="str">
            <v>Corporate</v>
          </cell>
          <cell r="E562" t="str">
            <v>FURANDD</v>
          </cell>
          <cell r="F562" t="str">
            <v>Research &amp; Development</v>
          </cell>
        </row>
        <row r="563">
          <cell r="B563" t="str">
            <v>0037035</v>
          </cell>
          <cell r="C563" t="str">
            <v>Naag Study</v>
          </cell>
          <cell r="D563" t="str">
            <v>Corporate</v>
          </cell>
          <cell r="E563" t="str">
            <v>FURANDD</v>
          </cell>
          <cell r="F563" t="str">
            <v>Research &amp; Development</v>
          </cell>
        </row>
        <row r="564">
          <cell r="B564" t="str">
            <v>0037036</v>
          </cell>
          <cell r="C564" t="str">
            <v xml:space="preserve"> Stroke Research</v>
          </cell>
          <cell r="D564" t="str">
            <v>Corporate</v>
          </cell>
          <cell r="E564" t="str">
            <v>FURANDD</v>
          </cell>
          <cell r="F564" t="str">
            <v>Research &amp; Development</v>
          </cell>
        </row>
        <row r="565">
          <cell r="B565" t="str">
            <v>0037037</v>
          </cell>
          <cell r="C565" t="str">
            <v>BRAVEs Study</v>
          </cell>
          <cell r="D565" t="str">
            <v>Corporate</v>
          </cell>
          <cell r="E565" t="str">
            <v>FURANDD</v>
          </cell>
          <cell r="F565" t="str">
            <v>Research &amp; Development</v>
          </cell>
        </row>
        <row r="566">
          <cell r="B566" t="str">
            <v>0037040</v>
          </cell>
          <cell r="C566" t="str">
            <v>Home Sampling Kits</v>
          </cell>
          <cell r="D566" t="str">
            <v>Corporate</v>
          </cell>
          <cell r="E566" t="str">
            <v>FURANDD</v>
          </cell>
          <cell r="F566" t="str">
            <v>Research &amp; Development</v>
          </cell>
        </row>
        <row r="567">
          <cell r="B567" t="str">
            <v>0037041</v>
          </cell>
          <cell r="C567" t="str">
            <v>Hiv/Aids</v>
          </cell>
          <cell r="D567" t="str">
            <v>Corporate</v>
          </cell>
          <cell r="E567" t="str">
            <v>FURANDD</v>
          </cell>
          <cell r="F567" t="str">
            <v>Research &amp; Development</v>
          </cell>
        </row>
        <row r="568">
          <cell r="B568" t="str">
            <v>0037042</v>
          </cell>
          <cell r="C568" t="str">
            <v>SHIFT Project</v>
          </cell>
          <cell r="D568" t="str">
            <v>Corporate</v>
          </cell>
          <cell r="E568" t="str">
            <v>FURANDD</v>
          </cell>
          <cell r="F568" t="str">
            <v>Research &amp; Development</v>
          </cell>
        </row>
        <row r="569">
          <cell r="B569" t="str">
            <v>0037043</v>
          </cell>
          <cell r="C569" t="str">
            <v>KAM PROJECT</v>
          </cell>
          <cell r="D569" t="str">
            <v>Corporate</v>
          </cell>
          <cell r="E569" t="str">
            <v>FURANDD</v>
          </cell>
          <cell r="F569" t="str">
            <v>Research &amp; Development</v>
          </cell>
        </row>
        <row r="570">
          <cell r="B570" t="str">
            <v>0037044</v>
          </cell>
          <cell r="C570" t="str">
            <v>RSCH Pharmacy Research</v>
          </cell>
          <cell r="D570" t="str">
            <v>Corporate</v>
          </cell>
          <cell r="E570" t="str">
            <v>FURANDD</v>
          </cell>
          <cell r="F570" t="str">
            <v>Research &amp; Development</v>
          </cell>
        </row>
        <row r="571">
          <cell r="B571" t="str">
            <v>0037045</v>
          </cell>
          <cell r="C571" t="str">
            <v>HIV Infection (Transmission) Grant</v>
          </cell>
          <cell r="D571" t="str">
            <v>Corporate</v>
          </cell>
          <cell r="E571" t="str">
            <v>FURANDD</v>
          </cell>
          <cell r="F571" t="str">
            <v>Research &amp; Development</v>
          </cell>
        </row>
        <row r="572">
          <cell r="B572" t="str">
            <v>0037046</v>
          </cell>
          <cell r="C572" t="str">
            <v>HIV Infection (Rheumatological) Grant</v>
          </cell>
          <cell r="D572" t="str">
            <v>Corporate</v>
          </cell>
          <cell r="E572" t="str">
            <v>FURANDD</v>
          </cell>
          <cell r="F572" t="str">
            <v>Research &amp; Development</v>
          </cell>
        </row>
        <row r="573">
          <cell r="B573" t="str">
            <v>0037047</v>
          </cell>
          <cell r="C573" t="str">
            <v>Nurses Network Group</v>
          </cell>
          <cell r="D573" t="str">
            <v>Corporate</v>
          </cell>
          <cell r="E573" t="str">
            <v>FURANDD</v>
          </cell>
          <cell r="F573" t="str">
            <v>Research &amp; Development</v>
          </cell>
        </row>
        <row r="574">
          <cell r="B574" t="str">
            <v>0037050</v>
          </cell>
          <cell r="C574" t="str">
            <v>Biochemistry</v>
          </cell>
          <cell r="D574" t="str">
            <v>Corporate</v>
          </cell>
          <cell r="E574" t="str">
            <v>FURANDD</v>
          </cell>
          <cell r="F574" t="str">
            <v>Research &amp; Development</v>
          </cell>
        </row>
        <row r="575">
          <cell r="B575" t="str">
            <v>0037051</v>
          </cell>
          <cell r="C575" t="str">
            <v>Haematology</v>
          </cell>
          <cell r="D575" t="str">
            <v>Corporate</v>
          </cell>
          <cell r="E575" t="str">
            <v>FURANDD</v>
          </cell>
          <cell r="F575" t="str">
            <v>Research &amp; Development</v>
          </cell>
        </row>
        <row r="576">
          <cell r="B576" t="str">
            <v>0037052</v>
          </cell>
          <cell r="C576" t="str">
            <v>Microbiology</v>
          </cell>
          <cell r="D576" t="str">
            <v>Corporate</v>
          </cell>
          <cell r="E576" t="str">
            <v>FURANDD</v>
          </cell>
          <cell r="F576" t="str">
            <v>Research &amp; Development</v>
          </cell>
        </row>
        <row r="577">
          <cell r="B577" t="str">
            <v>0037060</v>
          </cell>
          <cell r="C577" t="str">
            <v>Audiology Research</v>
          </cell>
          <cell r="D577" t="str">
            <v>Corporate</v>
          </cell>
          <cell r="E577" t="str">
            <v>FURANDD</v>
          </cell>
          <cell r="F577" t="str">
            <v>Research &amp; Development</v>
          </cell>
        </row>
        <row r="578">
          <cell r="B578" t="str">
            <v>0037061</v>
          </cell>
          <cell r="C578" t="str">
            <v>Opthalmology Research Activity</v>
          </cell>
          <cell r="D578" t="str">
            <v>Corporate</v>
          </cell>
          <cell r="E578" t="str">
            <v>FURANDD</v>
          </cell>
          <cell r="F578" t="str">
            <v>Research &amp; Development</v>
          </cell>
        </row>
        <row r="579">
          <cell r="B579" t="str">
            <v>0037062</v>
          </cell>
          <cell r="C579" t="str">
            <v>Monaco</v>
          </cell>
          <cell r="D579" t="str">
            <v>Corporate</v>
          </cell>
          <cell r="E579" t="str">
            <v>FURANDD</v>
          </cell>
          <cell r="F579" t="str">
            <v>Research &amp; Development</v>
          </cell>
        </row>
        <row r="580">
          <cell r="B580" t="str">
            <v>0037070</v>
          </cell>
          <cell r="C580" t="str">
            <v>Neonatal Research</v>
          </cell>
          <cell r="D580" t="str">
            <v>Corporate</v>
          </cell>
          <cell r="E580" t="str">
            <v>FURANDD</v>
          </cell>
          <cell r="F580" t="str">
            <v>Research &amp; Development</v>
          </cell>
        </row>
        <row r="581">
          <cell r="B581" t="str">
            <v>0037071</v>
          </cell>
          <cell r="C581" t="str">
            <v>TMBU Research Activity</v>
          </cell>
          <cell r="D581" t="str">
            <v>Corporate</v>
          </cell>
          <cell r="E581" t="str">
            <v>FURANDD</v>
          </cell>
          <cell r="F581" t="str">
            <v>Research &amp; Development</v>
          </cell>
        </row>
        <row r="582">
          <cell r="B582" t="str">
            <v>0037072</v>
          </cell>
          <cell r="C582" t="str">
            <v>Pulse Oximetry</v>
          </cell>
          <cell r="D582" t="str">
            <v>Corporate</v>
          </cell>
          <cell r="E582" t="str">
            <v>FURANDD</v>
          </cell>
          <cell r="F582" t="str">
            <v>Research &amp; Development</v>
          </cell>
        </row>
        <row r="583">
          <cell r="B583" t="str">
            <v>0037073</v>
          </cell>
          <cell r="C583" t="str">
            <v>Pulse Oximetry RFPB Grant</v>
          </cell>
          <cell r="D583" t="str">
            <v>Corporate</v>
          </cell>
          <cell r="E583" t="str">
            <v>FURANDD</v>
          </cell>
          <cell r="F583" t="str">
            <v>Research &amp; Development</v>
          </cell>
        </row>
        <row r="584">
          <cell r="B584" t="str">
            <v>0037074</v>
          </cell>
          <cell r="C584" t="str">
            <v>Gastroenterology Research</v>
          </cell>
          <cell r="D584" t="str">
            <v>Corporate</v>
          </cell>
          <cell r="E584" t="str">
            <v>FURANDD</v>
          </cell>
          <cell r="F584" t="str">
            <v>Research &amp; Development</v>
          </cell>
        </row>
        <row r="585">
          <cell r="B585" t="str">
            <v>0037075</v>
          </cell>
          <cell r="C585" t="str">
            <v>Obstetrics &amp; Gynaecology Research</v>
          </cell>
          <cell r="D585" t="str">
            <v>Corporate</v>
          </cell>
          <cell r="E585" t="str">
            <v>FURANDD</v>
          </cell>
          <cell r="F585" t="str">
            <v>Research &amp; Development</v>
          </cell>
        </row>
        <row r="586">
          <cell r="B586" t="str">
            <v>0037076</v>
          </cell>
          <cell r="C586" t="str">
            <v>Paediatric Research (Respiratory)</v>
          </cell>
          <cell r="D586" t="str">
            <v>Corporate</v>
          </cell>
          <cell r="E586" t="str">
            <v>FURANDD</v>
          </cell>
          <cell r="F586" t="str">
            <v>Research &amp; Development</v>
          </cell>
        </row>
        <row r="587">
          <cell r="B587" t="str">
            <v>0037077</v>
          </cell>
          <cell r="C587" t="str">
            <v>Paediatric Research (Diabetes)</v>
          </cell>
          <cell r="D587" t="str">
            <v>Corporate</v>
          </cell>
          <cell r="E587" t="str">
            <v>FURANDD</v>
          </cell>
          <cell r="F587" t="str">
            <v>Research &amp; Development</v>
          </cell>
        </row>
        <row r="588">
          <cell r="B588" t="str">
            <v>0037078</v>
          </cell>
          <cell r="C588" t="str">
            <v>Zambia Project</v>
          </cell>
          <cell r="D588" t="str">
            <v>Corporate</v>
          </cell>
          <cell r="E588" t="str">
            <v>FURANDD</v>
          </cell>
          <cell r="F588" t="str">
            <v>Research &amp; Development</v>
          </cell>
        </row>
        <row r="589">
          <cell r="B589" t="str">
            <v>0037080</v>
          </cell>
          <cell r="C589" t="str">
            <v>R&amp;D Management</v>
          </cell>
          <cell r="D589" t="str">
            <v>Corporate</v>
          </cell>
          <cell r="E589" t="str">
            <v>FURANDD</v>
          </cell>
          <cell r="F589" t="str">
            <v>Research &amp; Development</v>
          </cell>
        </row>
        <row r="590">
          <cell r="B590" t="str">
            <v>0037081</v>
          </cell>
          <cell r="C590" t="str">
            <v>Nuclear Medicine Research</v>
          </cell>
          <cell r="D590" t="str">
            <v>Corporate</v>
          </cell>
          <cell r="E590" t="str">
            <v>FURANDD</v>
          </cell>
          <cell r="F590" t="str">
            <v>Research &amp; Development</v>
          </cell>
        </row>
        <row r="591">
          <cell r="B591" t="str">
            <v>0037082</v>
          </cell>
          <cell r="C591" t="str">
            <v>HIV Pharmacy Research</v>
          </cell>
          <cell r="D591" t="str">
            <v>Corporate</v>
          </cell>
          <cell r="E591" t="str">
            <v>FURANDD</v>
          </cell>
          <cell r="F591" t="str">
            <v>Research &amp; Development</v>
          </cell>
        </row>
        <row r="592">
          <cell r="B592" t="str">
            <v>0037083</v>
          </cell>
          <cell r="C592" t="str">
            <v>Imaging</v>
          </cell>
          <cell r="D592" t="str">
            <v>Corporate</v>
          </cell>
          <cell r="E592" t="str">
            <v>FURANDD</v>
          </cell>
          <cell r="F592" t="str">
            <v>Research &amp; Development</v>
          </cell>
        </row>
        <row r="593">
          <cell r="B593" t="str">
            <v>0037084</v>
          </cell>
          <cell r="C593" t="str">
            <v>Overheads</v>
          </cell>
          <cell r="D593" t="str">
            <v>Corporate</v>
          </cell>
          <cell r="E593" t="str">
            <v>FURANDD</v>
          </cell>
          <cell r="F593" t="str">
            <v>Research &amp; Development</v>
          </cell>
        </row>
        <row r="594">
          <cell r="B594" t="str">
            <v>0037085</v>
          </cell>
          <cell r="C594" t="str">
            <v>Digestive Diseases Research Activity</v>
          </cell>
          <cell r="D594" t="str">
            <v>Corporate</v>
          </cell>
          <cell r="E594" t="str">
            <v>FURANDD</v>
          </cell>
          <cell r="F594" t="str">
            <v>Research &amp; Development</v>
          </cell>
        </row>
        <row r="595">
          <cell r="B595" t="str">
            <v>0037086</v>
          </cell>
          <cell r="C595" t="str">
            <v>Histopathology Research Activity</v>
          </cell>
          <cell r="D595" t="str">
            <v>Corporate</v>
          </cell>
          <cell r="E595" t="str">
            <v>FURANDD</v>
          </cell>
          <cell r="F595" t="str">
            <v>Research &amp; Development</v>
          </cell>
        </row>
        <row r="596">
          <cell r="B596" t="str">
            <v>0037087</v>
          </cell>
          <cell r="C596" t="str">
            <v>Neurosurgery Research Activity</v>
          </cell>
          <cell r="D596" t="str">
            <v>Corporate</v>
          </cell>
          <cell r="E596" t="str">
            <v>FURANDD</v>
          </cell>
          <cell r="F596" t="str">
            <v>Research &amp; Development</v>
          </cell>
        </row>
        <row r="597">
          <cell r="B597" t="str">
            <v>0037088</v>
          </cell>
          <cell r="C597" t="str">
            <v>ú1.5 BSMS Additional Research Funding</v>
          </cell>
          <cell r="D597" t="str">
            <v>Corporate</v>
          </cell>
          <cell r="E597" t="str">
            <v>FURANDD</v>
          </cell>
          <cell r="F597" t="str">
            <v>Research &amp; Development</v>
          </cell>
        </row>
        <row r="598">
          <cell r="B598" t="str">
            <v>0037089</v>
          </cell>
          <cell r="C598" t="str">
            <v>Clinical Investigation Research Unit (CIRU)</v>
          </cell>
          <cell r="D598" t="str">
            <v>Corporate</v>
          </cell>
          <cell r="E598" t="str">
            <v>FURANDD</v>
          </cell>
          <cell r="F598" t="str">
            <v>Research &amp; Development</v>
          </cell>
        </row>
        <row r="599">
          <cell r="B599" t="str">
            <v>0037090</v>
          </cell>
          <cell r="C599" t="str">
            <v>CIRU Fellowships</v>
          </cell>
          <cell r="D599" t="str">
            <v>Corporate</v>
          </cell>
          <cell r="E599" t="str">
            <v>FURANDD</v>
          </cell>
          <cell r="F599" t="str">
            <v>Research &amp; Development</v>
          </cell>
        </row>
        <row r="600">
          <cell r="B600" t="str">
            <v>0037091</v>
          </cell>
          <cell r="C600" t="str">
            <v>ITU Research</v>
          </cell>
          <cell r="D600" t="str">
            <v>Corporate</v>
          </cell>
          <cell r="E600" t="str">
            <v>FURANDD</v>
          </cell>
          <cell r="F600" t="str">
            <v>Research &amp; Development</v>
          </cell>
        </row>
        <row r="601">
          <cell r="B601" t="str">
            <v>0037100</v>
          </cell>
          <cell r="C601" t="str">
            <v>Clinical Imaging Sciences Centre</v>
          </cell>
          <cell r="D601" t="str">
            <v>Corporate</v>
          </cell>
          <cell r="E601" t="str">
            <v>FURANDD</v>
          </cell>
          <cell r="F601" t="str">
            <v>Research &amp; Development</v>
          </cell>
        </row>
        <row r="602">
          <cell r="B602" t="str">
            <v>0041000</v>
          </cell>
          <cell r="C602" t="str">
            <v>Capital Charges</v>
          </cell>
          <cell r="D602" t="str">
            <v>Corporate</v>
          </cell>
          <cell r="E602" t="str">
            <v>FUCAPCH</v>
          </cell>
          <cell r="F602" t="str">
            <v>Capital Charges &amp; Financing Costs</v>
          </cell>
        </row>
        <row r="603">
          <cell r="B603" t="str">
            <v>0041001</v>
          </cell>
          <cell r="C603" t="str">
            <v>Capital Charges Recharges</v>
          </cell>
          <cell r="D603" t="str">
            <v>Corporate</v>
          </cell>
          <cell r="E603" t="str">
            <v>FUCAPCH</v>
          </cell>
          <cell r="F603" t="str">
            <v>Capital Charges &amp; Financing Costs</v>
          </cell>
        </row>
        <row r="604">
          <cell r="B604" t="str">
            <v>0041002</v>
          </cell>
          <cell r="C604" t="str">
            <v>Profit / Loss on Disposal of Fixed Assets</v>
          </cell>
          <cell r="D604" t="str">
            <v>Corporate</v>
          </cell>
          <cell r="E604" t="str">
            <v>FUCAPCH</v>
          </cell>
          <cell r="F604" t="str">
            <v>Capital Charges &amp; Financing Costs</v>
          </cell>
        </row>
        <row r="605">
          <cell r="B605" t="str">
            <v>0041003</v>
          </cell>
          <cell r="C605" t="str">
            <v>Financing Costs</v>
          </cell>
          <cell r="D605" t="str">
            <v>Corporate</v>
          </cell>
          <cell r="E605" t="str">
            <v>FUCAPCH</v>
          </cell>
          <cell r="F605" t="str">
            <v>Capital Charges &amp; Financing Costs</v>
          </cell>
        </row>
        <row r="606">
          <cell r="B606" t="str">
            <v>0042000</v>
          </cell>
          <cell r="C606" t="str">
            <v>Contract Inc Health Contracts</v>
          </cell>
          <cell r="D606" t="str">
            <v>Corporate</v>
          </cell>
          <cell r="E606" t="str">
            <v>FUINCOM</v>
          </cell>
          <cell r="F606" t="str">
            <v>Income</v>
          </cell>
        </row>
        <row r="607">
          <cell r="B607" t="str">
            <v>0042001</v>
          </cell>
          <cell r="C607" t="str">
            <v>Income Other</v>
          </cell>
          <cell r="D607" t="str">
            <v>Corporate</v>
          </cell>
          <cell r="E607" t="str">
            <v>FUINCOM</v>
          </cell>
          <cell r="F607" t="str">
            <v>Income</v>
          </cell>
        </row>
        <row r="608">
          <cell r="B608" t="str">
            <v>0042002</v>
          </cell>
          <cell r="C608" t="str">
            <v>Independent Treatment Centre Support</v>
          </cell>
          <cell r="D608" t="str">
            <v>Corporate</v>
          </cell>
          <cell r="E608" t="str">
            <v>FUINCOM</v>
          </cell>
          <cell r="F608" t="str">
            <v>Income</v>
          </cell>
        </row>
        <row r="609">
          <cell r="B609" t="str">
            <v>0042003</v>
          </cell>
          <cell r="C609" t="str">
            <v>Non Contract Health Income</v>
          </cell>
          <cell r="D609" t="str">
            <v>Corporate</v>
          </cell>
          <cell r="E609" t="str">
            <v>FUINCOM</v>
          </cell>
          <cell r="F609" t="str">
            <v>Income</v>
          </cell>
        </row>
        <row r="610">
          <cell r="B610" t="str">
            <v>0042004</v>
          </cell>
          <cell r="C610" t="str">
            <v>Overseas Visitor (non PP)</v>
          </cell>
          <cell r="D610" t="str">
            <v>Corporate</v>
          </cell>
          <cell r="E610" t="str">
            <v>FUINCOM</v>
          </cell>
          <cell r="F610" t="str">
            <v>Income</v>
          </cell>
        </row>
        <row r="611">
          <cell r="B611" t="str">
            <v>0042005</v>
          </cell>
          <cell r="C611" t="str">
            <v>Prior Year Income</v>
          </cell>
          <cell r="D611" t="str">
            <v>Corporate</v>
          </cell>
          <cell r="E611" t="str">
            <v>FUINCOM</v>
          </cell>
          <cell r="F611" t="str">
            <v>Income</v>
          </cell>
        </row>
        <row r="612">
          <cell r="B612" t="str">
            <v>0042006</v>
          </cell>
          <cell r="C612" t="str">
            <v>Contract Income Surrey PCT</v>
          </cell>
          <cell r="D612" t="str">
            <v>Corporate</v>
          </cell>
          <cell r="E612" t="str">
            <v>FUINCOM</v>
          </cell>
          <cell r="F612" t="str">
            <v>Income</v>
          </cell>
        </row>
        <row r="613">
          <cell r="B613" t="str">
            <v>0042007</v>
          </cell>
          <cell r="C613" t="str">
            <v>TTT Support</v>
          </cell>
          <cell r="D613" t="str">
            <v>Corporate</v>
          </cell>
          <cell r="E613" t="str">
            <v>FUINCOM</v>
          </cell>
          <cell r="F613" t="str">
            <v>Income</v>
          </cell>
        </row>
        <row r="614">
          <cell r="B614" t="str">
            <v>0042008</v>
          </cell>
          <cell r="C614" t="str">
            <v>CQUIN - Income</v>
          </cell>
          <cell r="D614" t="str">
            <v>Corporate</v>
          </cell>
          <cell r="E614" t="str">
            <v>FUINCOM</v>
          </cell>
          <cell r="F614" t="str">
            <v>Income</v>
          </cell>
        </row>
        <row r="615">
          <cell r="B615" t="str">
            <v>0042100</v>
          </cell>
          <cell r="C615" t="str">
            <v>Distinction Awards</v>
          </cell>
          <cell r="D615" t="str">
            <v>Corporate</v>
          </cell>
          <cell r="E615" t="str">
            <v>FUINCOM</v>
          </cell>
          <cell r="F615" t="str">
            <v>Income</v>
          </cell>
        </row>
        <row r="616">
          <cell r="B616" t="str">
            <v>0042101</v>
          </cell>
          <cell r="C616" t="str">
            <v>Deanery Income</v>
          </cell>
          <cell r="D616" t="str">
            <v>Corporate</v>
          </cell>
          <cell r="E616" t="str">
            <v>FUINCOM</v>
          </cell>
          <cell r="F616" t="str">
            <v>Income</v>
          </cell>
        </row>
        <row r="617">
          <cell r="B617" t="str">
            <v>0042102</v>
          </cell>
          <cell r="C617" t="str">
            <v>SIFT Income</v>
          </cell>
          <cell r="D617" t="str">
            <v>Corporate</v>
          </cell>
          <cell r="E617" t="str">
            <v>FUINCOM</v>
          </cell>
          <cell r="F617" t="str">
            <v>Income</v>
          </cell>
        </row>
        <row r="618">
          <cell r="B618" t="str">
            <v>0042103</v>
          </cell>
          <cell r="C618" t="str">
            <v>PFI Transitional Support</v>
          </cell>
          <cell r="D618" t="str">
            <v>Corporate</v>
          </cell>
          <cell r="E618" t="str">
            <v>FUINCOM</v>
          </cell>
          <cell r="F618" t="str">
            <v>Income</v>
          </cell>
        </row>
        <row r="619">
          <cell r="B619" t="str">
            <v>0042104</v>
          </cell>
          <cell r="C619" t="str">
            <v>Transitional Support</v>
          </cell>
          <cell r="D619" t="str">
            <v>Corporate</v>
          </cell>
          <cell r="E619" t="str">
            <v>FUINCOM</v>
          </cell>
          <cell r="F619" t="str">
            <v>Income</v>
          </cell>
        </row>
        <row r="620">
          <cell r="B620" t="str">
            <v>0042200</v>
          </cell>
          <cell r="C620" t="str">
            <v>Income Research &amp; Development Overheads</v>
          </cell>
          <cell r="D620" t="str">
            <v>Corporate</v>
          </cell>
          <cell r="E620" t="str">
            <v>FUINCOM</v>
          </cell>
          <cell r="F620" t="str">
            <v>Income</v>
          </cell>
        </row>
        <row r="621">
          <cell r="B621" t="str">
            <v>0043000</v>
          </cell>
          <cell r="C621" t="str">
            <v>LDP Reserve</v>
          </cell>
          <cell r="D621" t="str">
            <v>Corporate</v>
          </cell>
          <cell r="E621" t="str">
            <v>FURESRV</v>
          </cell>
          <cell r="F621" t="str">
            <v>Reserves</v>
          </cell>
        </row>
        <row r="622">
          <cell r="B622" t="str">
            <v>0043004</v>
          </cell>
          <cell r="C622" t="str">
            <v>SIFT Reserve</v>
          </cell>
          <cell r="D622" t="str">
            <v>Corporate</v>
          </cell>
          <cell r="E622" t="str">
            <v>FURESRV</v>
          </cell>
          <cell r="F622" t="str">
            <v>Reserves</v>
          </cell>
        </row>
        <row r="623">
          <cell r="B623" t="str">
            <v>0043005</v>
          </cell>
          <cell r="C623" t="str">
            <v>Unwinding of Discounts</v>
          </cell>
          <cell r="D623" t="str">
            <v>Corporate</v>
          </cell>
          <cell r="E623" t="str">
            <v>FURESRV</v>
          </cell>
          <cell r="F623" t="str">
            <v>Reserves</v>
          </cell>
        </row>
        <row r="624">
          <cell r="B624" t="str">
            <v>0043007</v>
          </cell>
          <cell r="C624" t="str">
            <v>I&amp;E Provisions 07/08</v>
          </cell>
          <cell r="D624" t="str">
            <v>Corporate</v>
          </cell>
          <cell r="E624" t="str">
            <v>FURESRV</v>
          </cell>
          <cell r="F624" t="str">
            <v>Reserves</v>
          </cell>
        </row>
        <row r="625">
          <cell r="B625" t="str">
            <v>0043008</v>
          </cell>
          <cell r="C625" t="str">
            <v>Reserves</v>
          </cell>
          <cell r="D625" t="str">
            <v>Corporate</v>
          </cell>
          <cell r="E625" t="str">
            <v>FURESRV</v>
          </cell>
          <cell r="F625" t="str">
            <v>Reserves</v>
          </cell>
        </row>
        <row r="626">
          <cell r="B626" t="str">
            <v>0043009</v>
          </cell>
          <cell r="C626" t="str">
            <v>2009/10 FISP Reserve</v>
          </cell>
          <cell r="D626" t="str">
            <v>Corporate</v>
          </cell>
          <cell r="E626" t="str">
            <v>FURESRV</v>
          </cell>
          <cell r="F626" t="str">
            <v>Reserves</v>
          </cell>
        </row>
        <row r="627">
          <cell r="B627" t="str">
            <v>0043012</v>
          </cell>
          <cell r="C627" t="str">
            <v>LDP Reserve 06_07</v>
          </cell>
          <cell r="D627" t="str">
            <v>Corporate</v>
          </cell>
          <cell r="E627" t="str">
            <v>FURESRV</v>
          </cell>
          <cell r="F627" t="str">
            <v>Reserves</v>
          </cell>
        </row>
        <row r="628">
          <cell r="B628" t="str">
            <v>0043018</v>
          </cell>
          <cell r="C628" t="str">
            <v>Elective Growth Monies</v>
          </cell>
          <cell r="D628" t="str">
            <v>Corporate</v>
          </cell>
          <cell r="E628" t="str">
            <v>FURESRV</v>
          </cell>
          <cell r="F628" t="str">
            <v>Reserves</v>
          </cell>
        </row>
        <row r="629">
          <cell r="B629" t="str">
            <v>0043019</v>
          </cell>
          <cell r="C629" t="str">
            <v>Emergency Growth Monies</v>
          </cell>
          <cell r="D629" t="str">
            <v>Corporate</v>
          </cell>
          <cell r="E629" t="str">
            <v>FURESRV</v>
          </cell>
          <cell r="F629" t="str">
            <v>Reserves</v>
          </cell>
        </row>
        <row r="630">
          <cell r="B630" t="str">
            <v>0043020</v>
          </cell>
          <cell r="C630" t="str">
            <v>Specialist Growth Monies</v>
          </cell>
          <cell r="D630" t="str">
            <v>Corporate</v>
          </cell>
          <cell r="E630" t="str">
            <v>FURESRV</v>
          </cell>
          <cell r="F630" t="str">
            <v>Reserves</v>
          </cell>
        </row>
        <row r="631">
          <cell r="B631" t="str">
            <v>0043021</v>
          </cell>
          <cell r="C631" t="str">
            <v>Facilities Growth Monies</v>
          </cell>
          <cell r="D631" t="str">
            <v>Corporate</v>
          </cell>
          <cell r="E631" t="str">
            <v>FURESRV</v>
          </cell>
          <cell r="F631" t="str">
            <v>Reserves</v>
          </cell>
        </row>
        <row r="632">
          <cell r="B632" t="str">
            <v>0043022</v>
          </cell>
          <cell r="C632" t="str">
            <v>W and C Growth Monies</v>
          </cell>
          <cell r="D632" t="str">
            <v>Corporate</v>
          </cell>
          <cell r="E632" t="str">
            <v>FURESRV</v>
          </cell>
          <cell r="F632" t="str">
            <v>Reserves</v>
          </cell>
        </row>
        <row r="633">
          <cell r="B633" t="str">
            <v>0044000</v>
          </cell>
          <cell r="C633" t="str">
            <v>SIFT - Brighton Medical School</v>
          </cell>
          <cell r="D633" t="str">
            <v>Corporate</v>
          </cell>
          <cell r="E633" t="str">
            <v>FUNSIFT</v>
          </cell>
          <cell r="F633" t="str">
            <v>S.I.F.T.</v>
          </cell>
        </row>
        <row r="634">
          <cell r="B634" t="str">
            <v>0044001</v>
          </cell>
          <cell r="C634" t="str">
            <v>SIFT - IT</v>
          </cell>
          <cell r="D634" t="str">
            <v>Corporate</v>
          </cell>
          <cell r="E634" t="str">
            <v>FUNSIFT</v>
          </cell>
          <cell r="F634" t="str">
            <v>S.I.F.T.</v>
          </cell>
        </row>
        <row r="635">
          <cell r="B635" t="str">
            <v>0044002</v>
          </cell>
          <cell r="C635" t="str">
            <v>SIFT Student Selected Components (SSCs) Year 3</v>
          </cell>
          <cell r="D635" t="str">
            <v>Corporate</v>
          </cell>
          <cell r="E635" t="str">
            <v>FUNSIFT</v>
          </cell>
          <cell r="F635" t="str">
            <v>S.I.F.T.</v>
          </cell>
        </row>
        <row r="636">
          <cell r="B636" t="str">
            <v>0044003</v>
          </cell>
          <cell r="C636" t="str">
            <v>SIFT Phase 1 Teaching</v>
          </cell>
          <cell r="D636" t="str">
            <v>Corporate</v>
          </cell>
          <cell r="E636" t="str">
            <v>FUNSIFT</v>
          </cell>
          <cell r="F636" t="str">
            <v>S.I.F.T.</v>
          </cell>
        </row>
        <row r="637">
          <cell r="B637" t="str">
            <v>0044004</v>
          </cell>
          <cell r="C637" t="str">
            <v>General SIFT module expenses</v>
          </cell>
          <cell r="D637" t="str">
            <v>Corporate</v>
          </cell>
          <cell r="E637" t="str">
            <v>FUNSIFT</v>
          </cell>
          <cell r="F637" t="str">
            <v>S.I.F.T.</v>
          </cell>
        </row>
        <row r="638">
          <cell r="B638" t="str">
            <v>0044010</v>
          </cell>
          <cell r="C638" t="str">
            <v>SIFT Clinical Foundation Course (Module 301)</v>
          </cell>
          <cell r="D638" t="str">
            <v>Corporate</v>
          </cell>
          <cell r="E638" t="str">
            <v>FUNSIFT</v>
          </cell>
          <cell r="F638" t="str">
            <v>S.I.F.T.</v>
          </cell>
        </row>
        <row r="639">
          <cell r="B639" t="str">
            <v>0044011</v>
          </cell>
          <cell r="C639" t="str">
            <v>SIFT Scientific Basis of Medicine (Module 302)</v>
          </cell>
          <cell r="D639" t="str">
            <v>Corporate</v>
          </cell>
          <cell r="E639" t="str">
            <v>FUNSIFT</v>
          </cell>
          <cell r="F639" t="str">
            <v>S.I.F.T.</v>
          </cell>
        </row>
        <row r="640">
          <cell r="B640" t="str">
            <v>0044012</v>
          </cell>
          <cell r="C640" t="str">
            <v>SIFT Medicine (Module 303)</v>
          </cell>
          <cell r="D640" t="str">
            <v>Corporate</v>
          </cell>
          <cell r="E640" t="str">
            <v>FUNSIFT</v>
          </cell>
          <cell r="F640" t="str">
            <v>S.I.F.T.</v>
          </cell>
        </row>
        <row r="641">
          <cell r="B641" t="str">
            <v>0044013</v>
          </cell>
          <cell r="C641" t="str">
            <v>SIFT Surgery (Module 304)</v>
          </cell>
          <cell r="D641" t="str">
            <v>Corporate</v>
          </cell>
          <cell r="E641" t="str">
            <v>FUNSIFT</v>
          </cell>
          <cell r="F641" t="str">
            <v>S.I.F.T.</v>
          </cell>
        </row>
        <row r="642">
          <cell r="B642" t="str">
            <v>0044014</v>
          </cell>
          <cell r="C642" t="str">
            <v>SIFT Reproductive Health (Module 305)</v>
          </cell>
          <cell r="D642" t="str">
            <v>Corporate</v>
          </cell>
          <cell r="E642" t="str">
            <v>FUNSIFT</v>
          </cell>
          <cell r="F642" t="str">
            <v>S.I.F.T.</v>
          </cell>
        </row>
        <row r="643">
          <cell r="B643" t="str">
            <v>0044015</v>
          </cell>
          <cell r="C643" t="str">
            <v>SIFT Child Health (Module 305)</v>
          </cell>
          <cell r="D643" t="str">
            <v>Corporate</v>
          </cell>
          <cell r="E643" t="str">
            <v>FUNSIFT</v>
          </cell>
          <cell r="F643" t="str">
            <v>S.I.F.T.</v>
          </cell>
        </row>
        <row r="644">
          <cell r="B644" t="str">
            <v>0044016</v>
          </cell>
          <cell r="C644" t="str">
            <v>SIFT Elderly Health (Module 306)</v>
          </cell>
          <cell r="D644" t="str">
            <v>Corporate</v>
          </cell>
          <cell r="E644" t="str">
            <v>FUNSIFT</v>
          </cell>
          <cell r="F644" t="str">
            <v>S.I.F.T.</v>
          </cell>
        </row>
        <row r="645">
          <cell r="B645" t="str">
            <v>0044017</v>
          </cell>
          <cell r="C645" t="str">
            <v>SIFT Specialist Rotations (Module 402)</v>
          </cell>
          <cell r="D645" t="str">
            <v>Corporate</v>
          </cell>
          <cell r="E645" t="str">
            <v>FUNSIFT</v>
          </cell>
          <cell r="F645" t="str">
            <v>S.I.F.T.</v>
          </cell>
        </row>
        <row r="646">
          <cell r="B646" t="str">
            <v>0044018</v>
          </cell>
          <cell r="C646" t="str">
            <v>SIFT Year 5 Surgery</v>
          </cell>
          <cell r="D646" t="str">
            <v>Corporate</v>
          </cell>
          <cell r="E646" t="str">
            <v>FUNSIFT</v>
          </cell>
          <cell r="F646" t="str">
            <v>S.I.F.T.</v>
          </cell>
        </row>
        <row r="647">
          <cell r="B647" t="str">
            <v>0044019</v>
          </cell>
          <cell r="C647" t="str">
            <v>SIFT Year 5 Elderly Medicine</v>
          </cell>
          <cell r="D647" t="str">
            <v>Corporate</v>
          </cell>
          <cell r="E647" t="str">
            <v>FUNSIFT</v>
          </cell>
          <cell r="F647" t="str">
            <v>S.I.F.T.</v>
          </cell>
        </row>
        <row r="648">
          <cell r="B648" t="str">
            <v>0044020</v>
          </cell>
          <cell r="C648" t="str">
            <v>SIFT Year 5 Paediatrics</v>
          </cell>
          <cell r="D648" t="str">
            <v>Corporate</v>
          </cell>
          <cell r="E648" t="str">
            <v>FUNSIFT</v>
          </cell>
          <cell r="F648" t="str">
            <v>S.I.F.T.</v>
          </cell>
        </row>
        <row r="649">
          <cell r="B649" t="str">
            <v>0044021</v>
          </cell>
          <cell r="C649" t="str">
            <v>SIFT Year 5 Medicine (RSCH)</v>
          </cell>
          <cell r="D649" t="str">
            <v>Corporate</v>
          </cell>
          <cell r="E649" t="str">
            <v>FUNSIFT</v>
          </cell>
          <cell r="F649" t="str">
            <v>S.I.F.T.</v>
          </cell>
        </row>
        <row r="650">
          <cell r="B650" t="str">
            <v>0044022</v>
          </cell>
          <cell r="C650" t="str">
            <v>SIFT Year 5 Medicine (PRH)</v>
          </cell>
          <cell r="D650" t="str">
            <v>Corporate</v>
          </cell>
          <cell r="E650" t="str">
            <v>FUNSIFT</v>
          </cell>
          <cell r="F650" t="str">
            <v>S.I.F.T.</v>
          </cell>
        </row>
        <row r="651">
          <cell r="B651" t="str">
            <v>0044023</v>
          </cell>
          <cell r="C651" t="str">
            <v>SIFT Year 5 O&amp;G (RSCH)</v>
          </cell>
          <cell r="D651" t="str">
            <v>Corporate</v>
          </cell>
          <cell r="E651" t="str">
            <v>FUNSIFT</v>
          </cell>
          <cell r="F651" t="str">
            <v>S.I.F.T.</v>
          </cell>
        </row>
        <row r="652">
          <cell r="B652" t="str">
            <v>0044024</v>
          </cell>
          <cell r="C652" t="str">
            <v>SIFT Year 5 O&amp;G (PRH)</v>
          </cell>
          <cell r="D652" t="str">
            <v>Corporate</v>
          </cell>
          <cell r="E652" t="str">
            <v>FUNSIFT</v>
          </cell>
          <cell r="F652" t="str">
            <v>S.I.F.T.</v>
          </cell>
        </row>
        <row r="653">
          <cell r="B653" t="str">
            <v>0044025</v>
          </cell>
          <cell r="C653" t="str">
            <v>SIFT Phase 2 Expenses</v>
          </cell>
          <cell r="D653" t="str">
            <v>Corporate</v>
          </cell>
          <cell r="E653" t="str">
            <v>FUNSIFT</v>
          </cell>
          <cell r="F653" t="str">
            <v>S.I.F.T.</v>
          </cell>
        </row>
        <row r="654">
          <cell r="B654" t="str">
            <v>0044026</v>
          </cell>
          <cell r="C654" t="str">
            <v>SIFT Phase 3 Expenses</v>
          </cell>
          <cell r="D654" t="str">
            <v>Corporate</v>
          </cell>
          <cell r="E654" t="str">
            <v>FUNSIFT</v>
          </cell>
          <cell r="F654" t="str">
            <v>S.I.F.T.</v>
          </cell>
        </row>
        <row r="655">
          <cell r="B655" t="str">
            <v>0045001</v>
          </cell>
          <cell r="C655" t="str">
            <v>Nursing</v>
          </cell>
          <cell r="D655" t="str">
            <v>Corporate</v>
          </cell>
          <cell r="E655" t="str">
            <v>FUTRNRD</v>
          </cell>
          <cell r="F655" t="str">
            <v>Turnaround</v>
          </cell>
        </row>
        <row r="656">
          <cell r="B656" t="str">
            <v>0045002</v>
          </cell>
          <cell r="C656" t="str">
            <v>Consultants &amp; Junior Doctors</v>
          </cell>
          <cell r="D656" t="str">
            <v>Corporate</v>
          </cell>
          <cell r="E656" t="str">
            <v>FUTRNRD</v>
          </cell>
          <cell r="F656" t="str">
            <v>Turnaround</v>
          </cell>
        </row>
        <row r="657">
          <cell r="B657" t="str">
            <v>0045003</v>
          </cell>
          <cell r="C657" t="str">
            <v>A &amp; C</v>
          </cell>
          <cell r="D657" t="str">
            <v>Corporate</v>
          </cell>
          <cell r="E657" t="str">
            <v>FUTRNRD</v>
          </cell>
          <cell r="F657" t="str">
            <v>Turnaround</v>
          </cell>
        </row>
        <row r="658">
          <cell r="B658" t="str">
            <v>0045004</v>
          </cell>
          <cell r="C658" t="str">
            <v>Flexible Benefits</v>
          </cell>
          <cell r="D658" t="str">
            <v>Corporate</v>
          </cell>
          <cell r="E658" t="str">
            <v>FUTRNRD</v>
          </cell>
          <cell r="F658" t="str">
            <v>Turnaround</v>
          </cell>
        </row>
        <row r="659">
          <cell r="B659" t="str">
            <v>0045101</v>
          </cell>
          <cell r="C659" t="str">
            <v>Theatres &amp; Day Surgery</v>
          </cell>
          <cell r="D659" t="str">
            <v>Corporate</v>
          </cell>
          <cell r="E659" t="str">
            <v>FUTRNRD</v>
          </cell>
          <cell r="F659" t="str">
            <v>Turnaround</v>
          </cell>
        </row>
        <row r="660">
          <cell r="B660" t="str">
            <v>0045102</v>
          </cell>
          <cell r="C660" t="str">
            <v>Diagnostics / Pathology</v>
          </cell>
          <cell r="D660" t="str">
            <v>Corporate</v>
          </cell>
          <cell r="E660" t="str">
            <v>FUTRNRD</v>
          </cell>
          <cell r="F660" t="str">
            <v>Turnaround</v>
          </cell>
        </row>
        <row r="661">
          <cell r="B661" t="str">
            <v>0045103</v>
          </cell>
          <cell r="C661" t="str">
            <v>Beds, Length of Stay (LOS), A &amp; E</v>
          </cell>
          <cell r="D661" t="str">
            <v>Corporate</v>
          </cell>
          <cell r="E661" t="str">
            <v>FUTRNRD</v>
          </cell>
          <cell r="F661" t="str">
            <v>Turnaround</v>
          </cell>
        </row>
        <row r="662">
          <cell r="B662" t="str">
            <v>0045104</v>
          </cell>
          <cell r="C662" t="str">
            <v>Outpatients</v>
          </cell>
          <cell r="D662" t="str">
            <v>Corporate</v>
          </cell>
          <cell r="E662" t="str">
            <v>FUTRNRD</v>
          </cell>
          <cell r="F662" t="str">
            <v>Turnaround</v>
          </cell>
        </row>
        <row r="663">
          <cell r="B663" t="str">
            <v>0045105</v>
          </cell>
          <cell r="C663" t="str">
            <v>Pharmacy &amp; Medicines Management</v>
          </cell>
          <cell r="D663" t="str">
            <v>Corporate</v>
          </cell>
          <cell r="E663" t="str">
            <v>FUTRNRD</v>
          </cell>
          <cell r="F663" t="str">
            <v>Turnaround</v>
          </cell>
        </row>
        <row r="664">
          <cell r="B664" t="str">
            <v>0045106</v>
          </cell>
          <cell r="C664" t="str">
            <v>Endoscopy</v>
          </cell>
          <cell r="D664" t="str">
            <v>Corporate</v>
          </cell>
          <cell r="E664" t="str">
            <v>FUTRNRD</v>
          </cell>
          <cell r="F664" t="str">
            <v>Turnaround</v>
          </cell>
        </row>
        <row r="665">
          <cell r="B665" t="str">
            <v>0045107</v>
          </cell>
          <cell r="C665" t="str">
            <v>Imaging / Radiology</v>
          </cell>
          <cell r="D665" t="str">
            <v>Corporate</v>
          </cell>
          <cell r="E665" t="str">
            <v>FUTRNRD</v>
          </cell>
          <cell r="F665" t="str">
            <v>Turnaround</v>
          </cell>
        </row>
        <row r="666">
          <cell r="B666" t="str">
            <v>0045108</v>
          </cell>
          <cell r="C666" t="str">
            <v>PACS</v>
          </cell>
          <cell r="D666" t="str">
            <v>Corporate</v>
          </cell>
          <cell r="E666" t="str">
            <v>FUTRNRD</v>
          </cell>
          <cell r="F666" t="str">
            <v>Turnaround</v>
          </cell>
        </row>
        <row r="667">
          <cell r="B667" t="str">
            <v>0045109</v>
          </cell>
          <cell r="C667" t="str">
            <v>Review of Level 2 HDU Facilities</v>
          </cell>
          <cell r="D667" t="str">
            <v>Corporate</v>
          </cell>
          <cell r="E667" t="str">
            <v>FUTRNRD</v>
          </cell>
          <cell r="F667" t="str">
            <v>Turnaround</v>
          </cell>
        </row>
        <row r="668">
          <cell r="B668" t="str">
            <v>0045110</v>
          </cell>
          <cell r="C668" t="str">
            <v>Paediatrics</v>
          </cell>
          <cell r="D668" t="str">
            <v>Corporate</v>
          </cell>
          <cell r="E668" t="str">
            <v>FUTRNRD</v>
          </cell>
          <cell r="F668" t="str">
            <v>Turnaround</v>
          </cell>
        </row>
        <row r="669">
          <cell r="B669" t="str">
            <v>0045111</v>
          </cell>
          <cell r="C669" t="str">
            <v>IV Therapy</v>
          </cell>
          <cell r="D669" t="str">
            <v>Corporate</v>
          </cell>
          <cell r="E669" t="str">
            <v>FUTRNRD</v>
          </cell>
          <cell r="F669" t="str">
            <v>Turnaround</v>
          </cell>
        </row>
        <row r="670">
          <cell r="B670" t="str">
            <v>0045112</v>
          </cell>
          <cell r="C670" t="str">
            <v>CNST</v>
          </cell>
          <cell r="D670" t="str">
            <v>Corporate</v>
          </cell>
          <cell r="E670" t="str">
            <v>FUTRNRD</v>
          </cell>
          <cell r="F670" t="str">
            <v>Turnaround</v>
          </cell>
        </row>
        <row r="671">
          <cell r="B671" t="str">
            <v>0045113</v>
          </cell>
          <cell r="C671" t="str">
            <v>Obstetrics</v>
          </cell>
          <cell r="D671" t="str">
            <v>Corporate</v>
          </cell>
          <cell r="E671" t="str">
            <v>FUTRNRD</v>
          </cell>
          <cell r="F671" t="str">
            <v>Turnaround</v>
          </cell>
        </row>
        <row r="672">
          <cell r="B672" t="str">
            <v>0045114</v>
          </cell>
          <cell r="C672" t="str">
            <v>Neonates</v>
          </cell>
          <cell r="D672" t="str">
            <v>Corporate</v>
          </cell>
          <cell r="E672" t="str">
            <v>FUTRNRD</v>
          </cell>
          <cell r="F672" t="str">
            <v>Turnaround</v>
          </cell>
        </row>
        <row r="673">
          <cell r="B673" t="str">
            <v>0045115</v>
          </cell>
          <cell r="C673" t="str">
            <v>Oncology - Cancer</v>
          </cell>
          <cell r="D673" t="str">
            <v>Corporate</v>
          </cell>
          <cell r="E673" t="str">
            <v>FUTRNRD</v>
          </cell>
          <cell r="F673" t="str">
            <v>Turnaround</v>
          </cell>
        </row>
        <row r="674">
          <cell r="B674" t="str">
            <v>0045201</v>
          </cell>
          <cell r="C674" t="str">
            <v>Procurement</v>
          </cell>
          <cell r="D674" t="str">
            <v>Corporate</v>
          </cell>
          <cell r="E674" t="str">
            <v>FUTRNRD</v>
          </cell>
          <cell r="F674" t="str">
            <v>Turnaround</v>
          </cell>
        </row>
        <row r="675">
          <cell r="B675" t="str">
            <v>0045202</v>
          </cell>
          <cell r="C675" t="str">
            <v>IT</v>
          </cell>
          <cell r="D675" t="str">
            <v>Corporate</v>
          </cell>
          <cell r="E675" t="str">
            <v>FUTRNRD</v>
          </cell>
          <cell r="F675" t="str">
            <v>Turnaround</v>
          </cell>
        </row>
        <row r="676">
          <cell r="B676" t="str">
            <v>0045203</v>
          </cell>
          <cell r="C676" t="str">
            <v>Human Resources</v>
          </cell>
          <cell r="D676" t="str">
            <v>Corporate</v>
          </cell>
          <cell r="E676" t="str">
            <v>FUTRNRD</v>
          </cell>
          <cell r="F676" t="str">
            <v>Turnaround</v>
          </cell>
        </row>
        <row r="677">
          <cell r="B677" t="str">
            <v>0045204</v>
          </cell>
          <cell r="C677" t="str">
            <v>Accountability Structure</v>
          </cell>
          <cell r="D677" t="str">
            <v>Corporate</v>
          </cell>
          <cell r="E677" t="str">
            <v>FUTRNRD</v>
          </cell>
          <cell r="F677" t="str">
            <v>Turnaround</v>
          </cell>
        </row>
        <row r="678">
          <cell r="B678" t="str">
            <v>0045205</v>
          </cell>
          <cell r="C678" t="str">
            <v>Estates &amp; Facilities Management</v>
          </cell>
          <cell r="D678" t="str">
            <v>Corporate</v>
          </cell>
          <cell r="E678" t="str">
            <v>FUTRNRD</v>
          </cell>
          <cell r="F678" t="str">
            <v>Turnaround</v>
          </cell>
        </row>
        <row r="679">
          <cell r="B679" t="str">
            <v>0045206</v>
          </cell>
          <cell r="C679" t="str">
            <v>Patient Transport Services (PTS)</v>
          </cell>
          <cell r="D679" t="str">
            <v>Corporate</v>
          </cell>
          <cell r="E679" t="str">
            <v>FUTRNRD</v>
          </cell>
          <cell r="F679" t="str">
            <v>Turnaround</v>
          </cell>
        </row>
        <row r="680">
          <cell r="B680" t="str">
            <v>0045207</v>
          </cell>
          <cell r="C680" t="str">
            <v>Non Patient Transport Services (ITS)</v>
          </cell>
          <cell r="D680" t="str">
            <v>Corporate</v>
          </cell>
          <cell r="E680" t="str">
            <v>FUTRNRD</v>
          </cell>
          <cell r="F680" t="str">
            <v>Turnaround</v>
          </cell>
        </row>
        <row r="681">
          <cell r="B681" t="str">
            <v>0045208</v>
          </cell>
          <cell r="C681" t="str">
            <v>Finance</v>
          </cell>
          <cell r="D681" t="str">
            <v>Corporate</v>
          </cell>
          <cell r="E681" t="str">
            <v>FUTRNRD</v>
          </cell>
          <cell r="F681" t="str">
            <v>Turnaround</v>
          </cell>
        </row>
        <row r="682">
          <cell r="B682" t="str">
            <v>0045209</v>
          </cell>
          <cell r="C682" t="str">
            <v>Provider to Provider Agreements</v>
          </cell>
          <cell r="D682" t="str">
            <v>Corporate</v>
          </cell>
          <cell r="E682" t="str">
            <v>FUTRNRD</v>
          </cell>
          <cell r="F682" t="str">
            <v>Turnaround</v>
          </cell>
        </row>
        <row r="683">
          <cell r="B683" t="str">
            <v>0045301</v>
          </cell>
          <cell r="C683" t="str">
            <v>Clinical Coding / SLA Management</v>
          </cell>
          <cell r="D683" t="str">
            <v>Corporate</v>
          </cell>
          <cell r="E683" t="str">
            <v>FUTRNRD</v>
          </cell>
          <cell r="F683" t="str">
            <v>Turnaround</v>
          </cell>
        </row>
        <row r="684">
          <cell r="B684" t="str">
            <v>0045302</v>
          </cell>
          <cell r="C684" t="str">
            <v>Private Patients</v>
          </cell>
          <cell r="D684" t="str">
            <v>Corporate</v>
          </cell>
          <cell r="E684" t="str">
            <v>FUTRNRD</v>
          </cell>
          <cell r="F684" t="str">
            <v>Turnaround</v>
          </cell>
        </row>
        <row r="685">
          <cell r="B685" t="str">
            <v>0045303</v>
          </cell>
          <cell r="C685" t="str">
            <v>Gordon's Gift</v>
          </cell>
          <cell r="D685" t="str">
            <v>Corporate</v>
          </cell>
          <cell r="E685" t="str">
            <v>FUTRNRD</v>
          </cell>
          <cell r="F685" t="str">
            <v>Turnaround</v>
          </cell>
        </row>
        <row r="686">
          <cell r="B686" t="str">
            <v>0045400</v>
          </cell>
          <cell r="C686" t="str">
            <v>Discretionary Non-clinical Non-pay Savings wor</v>
          </cell>
          <cell r="D686" t="str">
            <v>Corporate</v>
          </cell>
          <cell r="E686" t="str">
            <v>FUTRNRD</v>
          </cell>
          <cell r="F686" t="str">
            <v>Turnaround</v>
          </cell>
        </row>
        <row r="687">
          <cell r="B687" t="str">
            <v>0045401</v>
          </cell>
          <cell r="C687" t="str">
            <v>Workforce Reduction</v>
          </cell>
          <cell r="D687" t="str">
            <v>Corporate</v>
          </cell>
          <cell r="E687" t="str">
            <v>FUTRNRD</v>
          </cell>
          <cell r="F687" t="str">
            <v>Turnaround</v>
          </cell>
        </row>
        <row r="688">
          <cell r="B688" t="str">
            <v>0045500</v>
          </cell>
          <cell r="C688" t="str">
            <v>Pathology Reconfiguration</v>
          </cell>
          <cell r="D688" t="str">
            <v>Corporate</v>
          </cell>
          <cell r="E688" t="str">
            <v>FUTRNRD</v>
          </cell>
          <cell r="F688" t="str">
            <v>Turnaround</v>
          </cell>
        </row>
        <row r="689">
          <cell r="B689" t="str">
            <v>0045501</v>
          </cell>
          <cell r="C689" t="str">
            <v>SPAT</v>
          </cell>
          <cell r="D689" t="str">
            <v>Corporate</v>
          </cell>
          <cell r="E689" t="str">
            <v>FUTRNRD</v>
          </cell>
          <cell r="F689" t="str">
            <v>Turnaround</v>
          </cell>
        </row>
        <row r="690">
          <cell r="B690" t="str">
            <v>0045502</v>
          </cell>
          <cell r="C690" t="str">
            <v>PIG</v>
          </cell>
          <cell r="D690" t="str">
            <v>Corporate</v>
          </cell>
          <cell r="E690" t="str">
            <v>FUTRNRD</v>
          </cell>
          <cell r="F690" t="str">
            <v>Turnaround</v>
          </cell>
        </row>
        <row r="691">
          <cell r="B691" t="str">
            <v>0045503</v>
          </cell>
          <cell r="C691" t="str">
            <v>Clinical Efficiency</v>
          </cell>
          <cell r="D691" t="str">
            <v>Corporate</v>
          </cell>
          <cell r="E691" t="str">
            <v>FUTRNRD</v>
          </cell>
          <cell r="F691" t="str">
            <v>Turnaround</v>
          </cell>
        </row>
        <row r="692">
          <cell r="B692" t="str">
            <v>0045504</v>
          </cell>
          <cell r="C692" t="str">
            <v>Project Pipeline</v>
          </cell>
          <cell r="D692" t="str">
            <v>Corporate</v>
          </cell>
          <cell r="E692" t="str">
            <v>FUTRNRD</v>
          </cell>
          <cell r="F692" t="str">
            <v>Turnaround</v>
          </cell>
        </row>
        <row r="693">
          <cell r="B693" t="str">
            <v>0045505</v>
          </cell>
          <cell r="C693" t="str">
            <v>SLAs</v>
          </cell>
          <cell r="D693" t="str">
            <v>Corporate</v>
          </cell>
          <cell r="E693" t="str">
            <v>FUTRNRD</v>
          </cell>
          <cell r="F693" t="str">
            <v>Turnaround</v>
          </cell>
        </row>
        <row r="694">
          <cell r="B694" t="str">
            <v>0045506</v>
          </cell>
          <cell r="C694" t="str">
            <v>Decommissioning/Over performance</v>
          </cell>
          <cell r="D694" t="str">
            <v>Corporate</v>
          </cell>
          <cell r="E694" t="str">
            <v>FUTRNRD</v>
          </cell>
          <cell r="F694" t="str">
            <v>Turnaround</v>
          </cell>
        </row>
        <row r="695">
          <cell r="B695" t="str">
            <v>0045507</v>
          </cell>
          <cell r="C695" t="str">
            <v>Other Schemes (07/08)</v>
          </cell>
          <cell r="D695" t="str">
            <v>Corporate</v>
          </cell>
          <cell r="E695" t="str">
            <v>FUTRNRD</v>
          </cell>
          <cell r="F695" t="str">
            <v>Turnaround</v>
          </cell>
        </row>
        <row r="696">
          <cell r="B696" t="str">
            <v>0045508</v>
          </cell>
          <cell r="C696" t="str">
            <v>Profit on Sale of Disposal Fixed Asset</v>
          </cell>
          <cell r="D696" t="str">
            <v>Corporate</v>
          </cell>
          <cell r="E696" t="str">
            <v>FUTRNRD</v>
          </cell>
          <cell r="F696" t="str">
            <v>Turnaround</v>
          </cell>
        </row>
        <row r="697">
          <cell r="B697" t="str">
            <v>0045509</v>
          </cell>
          <cell r="C697" t="str">
            <v>Decommissioning (A)</v>
          </cell>
          <cell r="D697" t="str">
            <v>Corporate</v>
          </cell>
          <cell r="E697" t="str">
            <v>FUTRNRD</v>
          </cell>
          <cell r="F697" t="str">
            <v>Turnaround</v>
          </cell>
        </row>
        <row r="698">
          <cell r="B698" t="str">
            <v>0045510</v>
          </cell>
          <cell r="C698" t="str">
            <v>Unidentified Schemes</v>
          </cell>
          <cell r="D698" t="str">
            <v>Corporate</v>
          </cell>
          <cell r="E698" t="str">
            <v>FUTRNRD</v>
          </cell>
          <cell r="F698" t="str">
            <v>Turnaround</v>
          </cell>
        </row>
        <row r="699">
          <cell r="B699" t="str">
            <v>0048000</v>
          </cell>
          <cell r="C699" t="str">
            <v>Trading Account - 100 GENERAL SURGERY</v>
          </cell>
          <cell r="D699" t="str">
            <v>Surgery</v>
          </cell>
          <cell r="E699" t="str">
            <v>ELDIGES</v>
          </cell>
          <cell r="F699" t="str">
            <v>Digestive Diseases</v>
          </cell>
        </row>
        <row r="700">
          <cell r="B700" t="str">
            <v>0048001</v>
          </cell>
          <cell r="C700" t="str">
            <v>Trading Account - 101 UROLOGY</v>
          </cell>
          <cell r="D700" t="str">
            <v>Surgery</v>
          </cell>
          <cell r="E700" t="str">
            <v>ELUROLO</v>
          </cell>
          <cell r="F700" t="str">
            <v>Urology</v>
          </cell>
        </row>
        <row r="701">
          <cell r="B701" t="str">
            <v>0048002</v>
          </cell>
          <cell r="C701" t="str">
            <v>Trading Account - 103 BREAST SURGERY</v>
          </cell>
          <cell r="D701" t="str">
            <v>Surgery</v>
          </cell>
          <cell r="E701" t="str">
            <v>ELBREAS</v>
          </cell>
          <cell r="F701" t="str">
            <v>Breast Surgery</v>
          </cell>
        </row>
        <row r="702">
          <cell r="B702" t="str">
            <v>0048003</v>
          </cell>
          <cell r="C702" t="str">
            <v>Trading Account - 104 COLORECTAL SURGERY</v>
          </cell>
          <cell r="D702" t="str">
            <v>Surgery</v>
          </cell>
          <cell r="E702" t="str">
            <v>ELDIGES</v>
          </cell>
          <cell r="F702" t="str">
            <v>Digestive Diseases</v>
          </cell>
        </row>
        <row r="703">
          <cell r="B703" t="str">
            <v>0048004</v>
          </cell>
          <cell r="C703" t="str">
            <v xml:space="preserve"> Trading Account - 107 VASCULAR SURGERY</v>
          </cell>
          <cell r="D703" t="str">
            <v>Surgery</v>
          </cell>
          <cell r="E703" t="str">
            <v>ELVASCU</v>
          </cell>
          <cell r="F703" t="str">
            <v>Vascular Surgery</v>
          </cell>
        </row>
        <row r="704">
          <cell r="B704" t="str">
            <v>0048005</v>
          </cell>
          <cell r="C704" t="str">
            <v>Trading Account - 110 TRAUMA &amp; ORTHOPAEDICS</v>
          </cell>
          <cell r="D704" t="str">
            <v>Surgery</v>
          </cell>
          <cell r="E704" t="str">
            <v>ELTRAUM</v>
          </cell>
          <cell r="F704" t="str">
            <v>Trauma &amp; Orthopaedics</v>
          </cell>
        </row>
        <row r="705">
          <cell r="B705" t="str">
            <v>0048006</v>
          </cell>
          <cell r="C705" t="str">
            <v>Trading Account - 120 ENT</v>
          </cell>
          <cell r="D705" t="str">
            <v>Surgery</v>
          </cell>
          <cell r="E705" t="str">
            <v>_x000C_ELEARNT</v>
          </cell>
          <cell r="F705" t="str">
            <v xml:space="preserve"> ENT</v>
          </cell>
        </row>
        <row r="706">
          <cell r="B706" t="str">
            <v>0048007</v>
          </cell>
          <cell r="C706" t="str">
            <v>Trading Account - 130 OPHTHALMOLOGY</v>
          </cell>
          <cell r="D706" t="str">
            <v>Surgery</v>
          </cell>
          <cell r="E706" t="str">
            <v>ELOPTHA</v>
          </cell>
          <cell r="F706" t="str">
            <v>Opthalmology</v>
          </cell>
        </row>
        <row r="707">
          <cell r="B707" t="str">
            <v>0048008</v>
          </cell>
          <cell r="C707" t="str">
            <v>Trading Account - 140 ORAL SURGERY</v>
          </cell>
          <cell r="D707" t="str">
            <v>Surgery</v>
          </cell>
          <cell r="E707" t="str">
            <v>ELOMXFS</v>
          </cell>
          <cell r="F707" t="str">
            <v>OMFS</v>
          </cell>
        </row>
        <row r="708">
          <cell r="B708" t="str">
            <v>0048009</v>
          </cell>
          <cell r="C708" t="str">
            <v>Trading Account - 142 PAEDIATRIC DENTISTRY</v>
          </cell>
          <cell r="D708" t="str">
            <v>Women &amp; Children</v>
          </cell>
          <cell r="E708" t="str">
            <v>WCPAEDM</v>
          </cell>
          <cell r="F708" t="str">
            <v>Paediatrics</v>
          </cell>
        </row>
        <row r="709">
          <cell r="B709" t="str">
            <v>0048010</v>
          </cell>
          <cell r="C709" t="str">
            <v>Trading Account - 143 ORTHODONTICS</v>
          </cell>
          <cell r="D709" t="str">
            <v>Women &amp; Children</v>
          </cell>
          <cell r="E709" t="str">
            <v>WCPAEDM</v>
          </cell>
          <cell r="F709" t="str">
            <v>Paediatrics</v>
          </cell>
        </row>
        <row r="710">
          <cell r="B710" t="str">
            <v>0048011</v>
          </cell>
          <cell r="C710" t="str">
            <v>Trading Account - 144 MAXILLO-FACIAL SURGERY</v>
          </cell>
          <cell r="D710" t="str">
            <v>Surgery</v>
          </cell>
          <cell r="E710" t="str">
            <v>ELOMXFS</v>
          </cell>
          <cell r="F710" t="str">
            <v>OMFS</v>
          </cell>
        </row>
        <row r="711">
          <cell r="B711" t="str">
            <v>0048012</v>
          </cell>
          <cell r="C711" t="str">
            <v>Trading Account - 145 ORAL &amp; MAXILLO FACIAL SU</v>
          </cell>
          <cell r="D711" t="str">
            <v>Surgery</v>
          </cell>
          <cell r="E711" t="str">
            <v>ELOMXFS</v>
          </cell>
          <cell r="F711" t="str">
            <v>OMFS</v>
          </cell>
        </row>
        <row r="712">
          <cell r="B712" t="str">
            <v>0048013</v>
          </cell>
          <cell r="C712" t="str">
            <v>Trading Account - 150 NEUROSURGERY</v>
          </cell>
          <cell r="D712" t="str">
            <v>Specialist</v>
          </cell>
          <cell r="E712" t="str">
            <v>SSNEURO</v>
          </cell>
          <cell r="F712" t="str">
            <v>Neurosciences</v>
          </cell>
        </row>
        <row r="713">
          <cell r="B713" t="str">
            <v>0048014</v>
          </cell>
          <cell r="C713" t="str">
            <v>Trading Account - 160 PLASTIC SURGERY</v>
          </cell>
          <cell r="D713" t="str">
            <v>Medicine</v>
          </cell>
          <cell r="E713" t="str">
            <v>EMDERMA</v>
          </cell>
          <cell r="F713" t="str">
            <v>Dermatology</v>
          </cell>
        </row>
        <row r="714">
          <cell r="B714" t="str">
            <v>0048015</v>
          </cell>
          <cell r="C714" t="str">
            <v>Trading Account - 170 CARDIOTHORACIC SURGERY</v>
          </cell>
          <cell r="D714" t="str">
            <v>Specialist</v>
          </cell>
          <cell r="E714" t="str">
            <v>SSCARDI</v>
          </cell>
          <cell r="F714" t="str">
            <v>Cardiac Services</v>
          </cell>
        </row>
        <row r="715">
          <cell r="B715" t="str">
            <v>0048016</v>
          </cell>
          <cell r="C715" t="str">
            <v>Trading Account - 171 PAEDIATRIC SURGERY</v>
          </cell>
          <cell r="D715" t="str">
            <v>Women &amp; Children</v>
          </cell>
          <cell r="E715" t="str">
            <v>WCPAEDM</v>
          </cell>
          <cell r="F715" t="str">
            <v>Paediatrics</v>
          </cell>
        </row>
        <row r="716">
          <cell r="B716" t="str">
            <v>0048017</v>
          </cell>
          <cell r="C716" t="str">
            <v>Trading Account - 172 CARDIAC SURGERY</v>
          </cell>
          <cell r="D716" t="str">
            <v>Specialist</v>
          </cell>
          <cell r="E716" t="str">
            <v>SSCARDI</v>
          </cell>
          <cell r="F716" t="str">
            <v>Cardiac Services</v>
          </cell>
        </row>
        <row r="717">
          <cell r="B717" t="str">
            <v>0048018</v>
          </cell>
          <cell r="C717" t="str">
            <v>Trading Account - 180 ACCIDENT &amp; EMERGENCY</v>
          </cell>
          <cell r="D717" t="str">
            <v>Medicine</v>
          </cell>
          <cell r="E717" t="str">
            <v>EMAC&amp;EM</v>
          </cell>
          <cell r="F717" t="str">
            <v>A &amp; E</v>
          </cell>
        </row>
        <row r="718">
          <cell r="B718" t="str">
            <v>0048019</v>
          </cell>
          <cell r="C718" t="str">
            <v>Trading Account - 190 ANAESTHETICS</v>
          </cell>
          <cell r="D718" t="str">
            <v>Surgery</v>
          </cell>
          <cell r="E718" t="str">
            <v>ELANAES</v>
          </cell>
          <cell r="F718" t="str">
            <v>Anaesthetics</v>
          </cell>
        </row>
        <row r="719">
          <cell r="B719" t="str">
            <v>0048020</v>
          </cell>
          <cell r="C719" t="str">
            <v>Trading Account - 191 PAIN MANAGEMENT</v>
          </cell>
          <cell r="D719" t="str">
            <v>Surgery</v>
          </cell>
          <cell r="E719" t="str">
            <v>ELOUTPA</v>
          </cell>
          <cell r="F719" t="str">
            <v>Outpatient Services</v>
          </cell>
        </row>
        <row r="720">
          <cell r="B720" t="str">
            <v>0048021</v>
          </cell>
          <cell r="C720" t="str">
            <v>Trading Account - 192 INTENSIVE CARE MEDICINE</v>
          </cell>
          <cell r="D720" t="str">
            <v>Medicine</v>
          </cell>
          <cell r="E720" t="str">
            <v>EMCRITI</v>
          </cell>
          <cell r="F720" t="str">
            <v>Critical Care</v>
          </cell>
        </row>
        <row r="721">
          <cell r="B721" t="str">
            <v>0048022</v>
          </cell>
          <cell r="C721" t="str">
            <v>Trading Account - 300 GENERAL MEDICINE</v>
          </cell>
          <cell r="D721" t="str">
            <v>Medicine</v>
          </cell>
          <cell r="E721" t="str">
            <v>EMGENER</v>
          </cell>
          <cell r="F721" t="str">
            <v>General Medicine</v>
          </cell>
        </row>
        <row r="722">
          <cell r="B722" t="str">
            <v>0048023</v>
          </cell>
          <cell r="C722" t="str">
            <v>Trading Account - 301 GASTROENTEROLOGY</v>
          </cell>
          <cell r="D722" t="str">
            <v>Surgery</v>
          </cell>
          <cell r="E722" t="str">
            <v>ELDIGES</v>
          </cell>
          <cell r="F722" t="str">
            <v>Digestive Diseases</v>
          </cell>
        </row>
        <row r="723">
          <cell r="B723" t="str">
            <v>0048024</v>
          </cell>
          <cell r="C723" t="str">
            <v>Trading Account - 302 ENDOCRINOLOGY</v>
          </cell>
          <cell r="D723" t="str">
            <v>Medicine</v>
          </cell>
          <cell r="E723" t="str">
            <v>EMDIABE</v>
          </cell>
          <cell r="F723" t="str">
            <v>Diabetes &amp; Endocrinology</v>
          </cell>
        </row>
        <row r="724">
          <cell r="B724" t="str">
            <v>0048025</v>
          </cell>
          <cell r="C724" t="str">
            <v>Trading Account - 303 HAEMATOLOGY (CLINICAL)</v>
          </cell>
          <cell r="D724" t="str">
            <v>Specialist</v>
          </cell>
          <cell r="E724" t="str">
            <v>SSCANCE</v>
          </cell>
          <cell r="F724" t="str">
            <v>Cancer Services</v>
          </cell>
        </row>
        <row r="725">
          <cell r="B725" t="str">
            <v>0048026</v>
          </cell>
          <cell r="C725" t="str">
            <v>Trading Account - 305 CLINICAL PHARMACOLOGY</v>
          </cell>
          <cell r="D725" t="str">
            <v>Medicine</v>
          </cell>
          <cell r="E725" t="str">
            <v>EMPHARM</v>
          </cell>
          <cell r="F725" t="str">
            <v>Pharmacy</v>
          </cell>
        </row>
        <row r="726">
          <cell r="B726" t="str">
            <v>0048027</v>
          </cell>
          <cell r="C726" t="str">
            <v>Trading Account - 314 REHABILITATION</v>
          </cell>
          <cell r="D726" t="str">
            <v>Specialist</v>
          </cell>
          <cell r="E726" t="str">
            <v>SSNEURO</v>
          </cell>
          <cell r="F726" t="str">
            <v>Neurosciences</v>
          </cell>
        </row>
        <row r="727">
          <cell r="B727" t="str">
            <v>0048028</v>
          </cell>
          <cell r="C727" t="str">
            <v>Trading Account - 315 PALLIATIVE MEDICINE</v>
          </cell>
          <cell r="D727" t="str">
            <v>Specialist</v>
          </cell>
          <cell r="E727" t="str">
            <v>SSCANCE</v>
          </cell>
          <cell r="F727" t="str">
            <v>Cancer Services</v>
          </cell>
        </row>
        <row r="728">
          <cell r="B728" t="str">
            <v>0048029</v>
          </cell>
          <cell r="C728" t="str">
            <v>Trading Account - 318 CONTINUING CARE / INTERM</v>
          </cell>
          <cell r="D728" t="str">
            <v>Medicine</v>
          </cell>
          <cell r="E728" t="str">
            <v>EMGENER</v>
          </cell>
          <cell r="F728" t="str">
            <v>General Medicine</v>
          </cell>
        </row>
        <row r="729">
          <cell r="B729" t="str">
            <v>0048030</v>
          </cell>
          <cell r="C729" t="str">
            <v>Trading Account - 320 CARDIOLOGY</v>
          </cell>
          <cell r="D729" t="str">
            <v>Specialist</v>
          </cell>
          <cell r="E729" t="str">
            <v>SSCARDI</v>
          </cell>
          <cell r="F729" t="str">
            <v>Cardiac Services</v>
          </cell>
        </row>
        <row r="730">
          <cell r="B730" t="str">
            <v>0048031</v>
          </cell>
          <cell r="C730" t="str">
            <v>Trading Account - 330 DERMATOLOGY</v>
          </cell>
          <cell r="D730" t="str">
            <v>Medicine</v>
          </cell>
          <cell r="E730" t="str">
            <v>EMDERMA</v>
          </cell>
          <cell r="F730" t="str">
            <v>Dermatology</v>
          </cell>
        </row>
        <row r="731">
          <cell r="B731" t="str">
            <v>0048032</v>
          </cell>
          <cell r="C731" t="str">
            <v>Trading Account - 340 THORACIC MEDICINE</v>
          </cell>
          <cell r="D731" t="str">
            <v>Medicine</v>
          </cell>
          <cell r="E731" t="str">
            <v>EMGENER</v>
          </cell>
          <cell r="F731" t="str">
            <v>General Medicine</v>
          </cell>
        </row>
        <row r="732">
          <cell r="B732" t="str">
            <v>0048033</v>
          </cell>
          <cell r="C732" t="str">
            <v>Trading Account - 350 INFECTIOUS DISEASES</v>
          </cell>
          <cell r="D732" t="str">
            <v>Medicine</v>
          </cell>
          <cell r="E732" t="str">
            <v>EMGENER</v>
          </cell>
          <cell r="F732" t="str">
            <v>General Medicine</v>
          </cell>
        </row>
        <row r="733">
          <cell r="B733" t="str">
            <v>0048034</v>
          </cell>
          <cell r="C733" t="str">
            <v>Trading Account - 360 GENITO-URINARY MEDICINE</v>
          </cell>
          <cell r="D733" t="str">
            <v>Specialist</v>
          </cell>
          <cell r="E733" t="str">
            <v>SSHIVGU</v>
          </cell>
          <cell r="F733" t="str">
            <v>HIV/GUM</v>
          </cell>
        </row>
        <row r="734">
          <cell r="B734" t="str">
            <v>0048035</v>
          </cell>
          <cell r="C734" t="str">
            <v>Trading Account - 361 NEPHROLOGY</v>
          </cell>
          <cell r="D734" t="str">
            <v>Specialist</v>
          </cell>
          <cell r="E734" t="str">
            <v>SSRENAL</v>
          </cell>
          <cell r="F734" t="str">
            <v>Renal Services</v>
          </cell>
        </row>
        <row r="735">
          <cell r="B735" t="str">
            <v>0048036</v>
          </cell>
          <cell r="C735" t="str">
            <v>Trading Account - 370 MEDICAL ONCOLOGY</v>
          </cell>
          <cell r="D735" t="str">
            <v>Specialist</v>
          </cell>
          <cell r="E735" t="str">
            <v>SSCANCE</v>
          </cell>
          <cell r="F735" t="str">
            <v>Cancer Services</v>
          </cell>
        </row>
        <row r="736">
          <cell r="B736" t="str">
            <v>0048037</v>
          </cell>
          <cell r="C736" t="str">
            <v>Trading Account - 371 NUCLEAR MEDICINE</v>
          </cell>
          <cell r="D736" t="str">
            <v>Specialist</v>
          </cell>
          <cell r="E736" t="str">
            <v>SSIMAGI</v>
          </cell>
          <cell r="F736" t="str">
            <v>Imaging/Nuclear Medicine</v>
          </cell>
        </row>
        <row r="737">
          <cell r="B737" t="str">
            <v>0048038</v>
          </cell>
          <cell r="C737" t="str">
            <v>Trading Account - 400 NEUROLOGY</v>
          </cell>
          <cell r="D737" t="str">
            <v>Specialist</v>
          </cell>
          <cell r="E737" t="str">
            <v>SSNEURO</v>
          </cell>
          <cell r="F737" t="str">
            <v>Neurosciences</v>
          </cell>
        </row>
        <row r="738">
          <cell r="B738" t="str">
            <v>0048039</v>
          </cell>
          <cell r="C738" t="str">
            <v>Trading Account - 401 CLINICAL NEURO-PHYSIOLOG</v>
          </cell>
          <cell r="D738" t="str">
            <v>Specialist</v>
          </cell>
          <cell r="E738" t="str">
            <v>SSNEURO</v>
          </cell>
          <cell r="F738" t="str">
            <v>Neurosciences</v>
          </cell>
        </row>
        <row r="739">
          <cell r="B739" t="str">
            <v>0048040</v>
          </cell>
          <cell r="C739" t="str">
            <v>Trading Account - 410 RHEUMATOLOGY</v>
          </cell>
          <cell r="D739" t="str">
            <v>Medicine</v>
          </cell>
          <cell r="E739" t="str">
            <v>EMRHEUM</v>
          </cell>
          <cell r="F739" t="str">
            <v>Rheumatology</v>
          </cell>
        </row>
        <row r="740">
          <cell r="B740" t="str">
            <v>0048041</v>
          </cell>
          <cell r="C740" t="str">
            <v>Trading Account - 420 PAEDIATRICS</v>
          </cell>
          <cell r="D740" t="str">
            <v>Women &amp; Children</v>
          </cell>
          <cell r="E740" t="str">
            <v>WCPAEDM</v>
          </cell>
          <cell r="F740" t="str">
            <v>Paediatrics</v>
          </cell>
        </row>
        <row r="741">
          <cell r="B741" t="str">
            <v>0048042</v>
          </cell>
          <cell r="C741" t="str">
            <v>Trading Account - 421 PAEDIATRIC NEUROLOGY</v>
          </cell>
          <cell r="D741" t="str">
            <v>Women &amp; Children</v>
          </cell>
          <cell r="E741" t="str">
            <v>WCPAEDM</v>
          </cell>
          <cell r="F741" t="str">
            <v>Paediatrics</v>
          </cell>
        </row>
        <row r="742">
          <cell r="B742" t="str">
            <v>0048043</v>
          </cell>
          <cell r="C742" t="str">
            <v>Trading Account - 422 NEONATOLOGY</v>
          </cell>
          <cell r="D742" t="str">
            <v>Women &amp; Children</v>
          </cell>
          <cell r="E742" t="str">
            <v>WCNEONA</v>
          </cell>
          <cell r="F742" t="str">
            <v>Neonatology</v>
          </cell>
        </row>
        <row r="743">
          <cell r="B743" t="str">
            <v>0048044</v>
          </cell>
          <cell r="C743" t="str">
            <v>Trading Account - 430 GERIATRIC MEDICINE</v>
          </cell>
          <cell r="D743" t="str">
            <v>Medicine</v>
          </cell>
          <cell r="E743" t="str">
            <v>EMGENER</v>
          </cell>
          <cell r="F743" t="str">
            <v>General Medicine</v>
          </cell>
        </row>
        <row r="744">
          <cell r="B744" t="str">
            <v>0048045</v>
          </cell>
          <cell r="C744" t="str">
            <v>Trading Account - 500 OBSTETRICS and GYNAECOLO</v>
          </cell>
          <cell r="D744" t="str">
            <v>Women &amp; Children</v>
          </cell>
          <cell r="E744" t="str">
            <v>WCGYNAE</v>
          </cell>
          <cell r="F744" t="str">
            <v>Gynaecology</v>
          </cell>
        </row>
        <row r="745">
          <cell r="B745" t="str">
            <v>0048046</v>
          </cell>
          <cell r="C745" t="str">
            <v>Trading Account - 501 OBSTETRICS</v>
          </cell>
          <cell r="D745" t="str">
            <v>Women &amp; Children</v>
          </cell>
          <cell r="E745" t="str">
            <v>WCOBSTE</v>
          </cell>
          <cell r="F745" t="str">
            <v>Obstetrics</v>
          </cell>
        </row>
        <row r="746">
          <cell r="B746" t="str">
            <v>0048047</v>
          </cell>
          <cell r="C746" t="str">
            <v>Trading Account - 502 GYNAECOLOGY</v>
          </cell>
          <cell r="D746" t="str">
            <v>Women &amp; Children</v>
          </cell>
          <cell r="E746" t="str">
            <v>WCGYNAE</v>
          </cell>
          <cell r="F746" t="str">
            <v>Gynaecology</v>
          </cell>
        </row>
        <row r="747">
          <cell r="B747" t="str">
            <v>0048048</v>
          </cell>
          <cell r="C747" t="str">
            <v>Trading Account - 610 GENERAL PRACTICE (MATERN</v>
          </cell>
          <cell r="D747" t="str">
            <v>Women &amp; Children</v>
          </cell>
          <cell r="E747" t="str">
            <v>WCOBSTE</v>
          </cell>
          <cell r="F747" t="str">
            <v>Obstetrics</v>
          </cell>
        </row>
        <row r="748">
          <cell r="B748" t="str">
            <v>0048049</v>
          </cell>
          <cell r="C748" t="str">
            <v>Trading Account - 620 GENERAL PRACTICE (NON-MA</v>
          </cell>
          <cell r="D748" t="str">
            <v>Women &amp; Children</v>
          </cell>
          <cell r="E748" t="str">
            <v>WCOBSTE</v>
          </cell>
          <cell r="F748" t="str">
            <v>Obstetrics</v>
          </cell>
        </row>
        <row r="749">
          <cell r="B749" t="str">
            <v>0048051</v>
          </cell>
          <cell r="C749" t="str">
            <v>Trading Account - 710 MENTAL ILLNESS</v>
          </cell>
          <cell r="D749" t="str">
            <v>Specialist</v>
          </cell>
          <cell r="E749" t="str">
            <v>SSIMAGI</v>
          </cell>
          <cell r="F749" t="str">
            <v>Imaging/Nuclear Medicine</v>
          </cell>
        </row>
        <row r="750">
          <cell r="B750" t="str">
            <v>0048052</v>
          </cell>
          <cell r="C750" t="str">
            <v>Trading Account - 711 CHILD and ADOLESCENT PSY</v>
          </cell>
          <cell r="D750" t="str">
            <v>Specialist</v>
          </cell>
          <cell r="E750" t="str">
            <v>SSIMAGI</v>
          </cell>
          <cell r="F750" t="str">
            <v>Imaging/Nuclear Medicine</v>
          </cell>
        </row>
        <row r="751">
          <cell r="B751" t="str">
            <v>0048053</v>
          </cell>
          <cell r="C751" t="str">
            <v>Trading Account - 713 PSYCHOTHERAPY</v>
          </cell>
          <cell r="D751" t="str">
            <v>Specialist</v>
          </cell>
          <cell r="E751" t="str">
            <v>SSIMAGI</v>
          </cell>
          <cell r="F751" t="str">
            <v>Imaging/Nuclear Medicine</v>
          </cell>
        </row>
        <row r="752">
          <cell r="B752" t="str">
            <v>0048054</v>
          </cell>
          <cell r="C752" t="str">
            <v>Trading Account - 710 MENTAL ILLNESS</v>
          </cell>
          <cell r="D752" t="str">
            <v>Specialist</v>
          </cell>
          <cell r="E752" t="str">
            <v>SSIMAGI</v>
          </cell>
          <cell r="F752" t="str">
            <v>Imaging/Nuclear Medicine</v>
          </cell>
        </row>
        <row r="753">
          <cell r="B753" t="str">
            <v>0048055</v>
          </cell>
          <cell r="C753" t="str">
            <v>Trading Account - 800 CLINICAL ONCOLOGY (previ</v>
          </cell>
          <cell r="D753" t="str">
            <v>Specialist</v>
          </cell>
          <cell r="E753" t="str">
            <v>SSCANCE</v>
          </cell>
          <cell r="F753" t="str">
            <v>Cancer Services</v>
          </cell>
        </row>
        <row r="754">
          <cell r="B754" t="str">
            <v>0048056</v>
          </cell>
          <cell r="C754" t="str">
            <v>Trading Account - 810 RADIOLOGY</v>
          </cell>
          <cell r="D754" t="str">
            <v>Specialist</v>
          </cell>
          <cell r="E754" t="str">
            <v>SSCANCE</v>
          </cell>
          <cell r="F754" t="str">
            <v>Cancer Services</v>
          </cell>
        </row>
        <row r="755">
          <cell r="B755" t="str">
            <v>0048057</v>
          </cell>
          <cell r="C755" t="str">
            <v>Trading Account - 823 HAEMATOLOGY</v>
          </cell>
          <cell r="D755" t="str">
            <v>Specialist</v>
          </cell>
          <cell r="E755" t="str">
            <v>SSPATHO</v>
          </cell>
          <cell r="F755" t="str">
            <v>Pathology</v>
          </cell>
        </row>
        <row r="756">
          <cell r="B756" t="str">
            <v>0048058</v>
          </cell>
          <cell r="C756" t="str">
            <v>Trading Account - 824 HISTOPATHOLOGY</v>
          </cell>
          <cell r="D756" t="str">
            <v>Specialist</v>
          </cell>
          <cell r="E756" t="str">
            <v>SSPATHO</v>
          </cell>
          <cell r="F756" t="str">
            <v>Pathology</v>
          </cell>
        </row>
        <row r="757">
          <cell r="B757" t="str">
            <v>0048059</v>
          </cell>
          <cell r="C757" t="str">
            <v>Trading Account - 831 MEDICAL MICROBIOLOGY</v>
          </cell>
          <cell r="D757" t="str">
            <v>Specialist</v>
          </cell>
          <cell r="E757" t="str">
            <v>SSPATHO</v>
          </cell>
          <cell r="F757" t="str">
            <v>Pathology</v>
          </cell>
        </row>
        <row r="758">
          <cell r="B758" t="str">
            <v>0048091</v>
          </cell>
          <cell r="C758" t="str">
            <v>RADIOLOGY TRADING ACCOUNT</v>
          </cell>
          <cell r="D758" t="str">
            <v>Specialist</v>
          </cell>
          <cell r="E758" t="str">
            <v>SSIMAGI</v>
          </cell>
          <cell r="F758" t="str">
            <v>Imaging/Nuclear Medicine</v>
          </cell>
        </row>
        <row r="759">
          <cell r="B759" t="str">
            <v>0048092</v>
          </cell>
          <cell r="C759" t="str">
            <v>PATHOLOGY TRADING ACCOUNT</v>
          </cell>
          <cell r="D759" t="str">
            <v>Specialist</v>
          </cell>
          <cell r="E759" t="str">
            <v>SSPATHO</v>
          </cell>
          <cell r="F759" t="str">
            <v>Pathology</v>
          </cell>
        </row>
        <row r="760">
          <cell r="B760" t="str">
            <v>0048093</v>
          </cell>
          <cell r="C760" t="str">
            <v>THEATRES TRADING ACCOUNT</v>
          </cell>
          <cell r="D760" t="str">
            <v>Surgery</v>
          </cell>
          <cell r="E760" t="str">
            <v>ELOPERA</v>
          </cell>
          <cell r="F760" t="str">
            <v>Operating Theatres</v>
          </cell>
        </row>
        <row r="761">
          <cell r="B761" t="str">
            <v>0049000</v>
          </cell>
          <cell r="C761" t="str">
            <v>Audiology - Contract Income</v>
          </cell>
          <cell r="D761" t="str">
            <v>Surgery</v>
          </cell>
          <cell r="E761" t="str">
            <v>ELDEVIN</v>
          </cell>
          <cell r="F761" t="str">
            <v>Devolved Income Elective Division</v>
          </cell>
        </row>
        <row r="762">
          <cell r="B762" t="str">
            <v>0049001</v>
          </cell>
          <cell r="C762" t="str">
            <v>Breast - Contract Income</v>
          </cell>
          <cell r="D762" t="str">
            <v>Surgery</v>
          </cell>
          <cell r="E762" t="str">
            <v>ELDEVIN</v>
          </cell>
          <cell r="F762" t="str">
            <v>Devolved Income Elective Division</v>
          </cell>
        </row>
        <row r="763">
          <cell r="B763" t="str">
            <v>0049002</v>
          </cell>
          <cell r="C763" t="str">
            <v>Dermatology - Contract Income</v>
          </cell>
          <cell r="D763" t="str">
            <v>Medicine</v>
          </cell>
          <cell r="E763" t="str">
            <v>EMDEVIN</v>
          </cell>
          <cell r="F763" t="str">
            <v>Devolved Income Emergency Services</v>
          </cell>
        </row>
        <row r="764">
          <cell r="B764" t="str">
            <v>0049003</v>
          </cell>
          <cell r="C764" t="str">
            <v>Dietetics - Contract Income</v>
          </cell>
          <cell r="D764" t="str">
            <v>Medicine</v>
          </cell>
          <cell r="E764" t="str">
            <v>EMDEVIN</v>
          </cell>
          <cell r="F764" t="str">
            <v>Devolved Income Emergency Services</v>
          </cell>
        </row>
        <row r="765">
          <cell r="B765" t="str">
            <v>0049004</v>
          </cell>
          <cell r="C765" t="str">
            <v>ENT - Contract Income</v>
          </cell>
          <cell r="D765" t="str">
            <v>Surgery</v>
          </cell>
          <cell r="E765" t="str">
            <v>ELDEVIN</v>
          </cell>
          <cell r="F765" t="str">
            <v>Devolved Income Elective Division</v>
          </cell>
        </row>
        <row r="766">
          <cell r="B766" t="str">
            <v>0049005</v>
          </cell>
          <cell r="C766" t="str">
            <v>Gynaecology - Contract Income</v>
          </cell>
          <cell r="D766" t="str">
            <v>Women &amp; Children</v>
          </cell>
          <cell r="E766" t="str">
            <v>WCDEVIN</v>
          </cell>
          <cell r="F766" t="str">
            <v>Devolved Income - W &amp; C Division</v>
          </cell>
        </row>
        <row r="767">
          <cell r="B767" t="str">
            <v>0049006</v>
          </cell>
          <cell r="C767" t="str">
            <v>Ophthalmology - Contract Income</v>
          </cell>
          <cell r="D767" t="str">
            <v>Surgery</v>
          </cell>
          <cell r="E767" t="str">
            <v>ELDEVIN</v>
          </cell>
          <cell r="F767" t="str">
            <v>Devolved Income Elective Division</v>
          </cell>
        </row>
        <row r="768">
          <cell r="B768" t="str">
            <v>0049007</v>
          </cell>
          <cell r="C768" t="str">
            <v>Oral - Contract Income</v>
          </cell>
          <cell r="D768" t="str">
            <v>Surgery</v>
          </cell>
          <cell r="E768" t="str">
            <v>ELDEVIN</v>
          </cell>
          <cell r="F768" t="str">
            <v>Devolved Income Elective Division</v>
          </cell>
        </row>
        <row r="769">
          <cell r="B769" t="str">
            <v>0049008</v>
          </cell>
          <cell r="C769" t="str">
            <v>Orthodontics - Contract Income</v>
          </cell>
          <cell r="D769" t="str">
            <v>Women &amp; Children</v>
          </cell>
          <cell r="E769" t="str">
            <v>WCDEVIN</v>
          </cell>
          <cell r="F769" t="str">
            <v>Devolved Income - W &amp; C Division</v>
          </cell>
        </row>
        <row r="770">
          <cell r="B770" t="str">
            <v>0049009</v>
          </cell>
          <cell r="C770" t="str">
            <v>Pain Management - Contract Income</v>
          </cell>
          <cell r="D770" t="str">
            <v>Surgery</v>
          </cell>
          <cell r="E770" t="str">
            <v>ELDEVIN</v>
          </cell>
          <cell r="F770" t="str">
            <v>Devolved Income Elective Division</v>
          </cell>
        </row>
        <row r="771">
          <cell r="B771" t="str">
            <v>0049010</v>
          </cell>
          <cell r="C771" t="str">
            <v>Plastic Surgery - Contract Income</v>
          </cell>
          <cell r="D771" t="str">
            <v>Medicine</v>
          </cell>
          <cell r="E771" t="str">
            <v>EMDEVIN</v>
          </cell>
          <cell r="F771" t="str">
            <v>Devolved Income Emergency Services</v>
          </cell>
        </row>
        <row r="772">
          <cell r="B772" t="str">
            <v>0049011</v>
          </cell>
          <cell r="C772" t="str">
            <v>Rheumatology - Contract Income</v>
          </cell>
          <cell r="D772" t="str">
            <v>Medicine</v>
          </cell>
          <cell r="E772" t="str">
            <v>EMDEVIN</v>
          </cell>
          <cell r="F772" t="str">
            <v>Devolved Income Emergency Services</v>
          </cell>
        </row>
        <row r="773">
          <cell r="B773" t="str">
            <v>0049012</v>
          </cell>
          <cell r="C773" t="str">
            <v>T&amp;O - Contract Income</v>
          </cell>
          <cell r="D773" t="str">
            <v>Surgery</v>
          </cell>
          <cell r="E773" t="str">
            <v>ELDEVIN</v>
          </cell>
          <cell r="F773" t="str">
            <v>Devolved Income Elective Division</v>
          </cell>
        </row>
        <row r="774">
          <cell r="B774" t="str">
            <v>0049013</v>
          </cell>
          <cell r="C774" t="str">
            <v>Urology - Contract Income</v>
          </cell>
          <cell r="D774" t="str">
            <v>Surgery</v>
          </cell>
          <cell r="E774" t="str">
            <v>ELDEVIN</v>
          </cell>
          <cell r="F774" t="str">
            <v>Devolved Income Elective Division</v>
          </cell>
        </row>
        <row r="775">
          <cell r="B775" t="str">
            <v>0049014</v>
          </cell>
          <cell r="C775" t="str">
            <v>General Surgery - Contract Income</v>
          </cell>
          <cell r="D775" t="str">
            <v>Surgery</v>
          </cell>
          <cell r="E775" t="str">
            <v>ELDEVIN</v>
          </cell>
          <cell r="F775" t="str">
            <v>Devolved Income Elective Division</v>
          </cell>
        </row>
        <row r="776">
          <cell r="B776" t="str">
            <v>0049015</v>
          </cell>
          <cell r="C776" t="str">
            <v>Physiotherapy - Contract Income</v>
          </cell>
          <cell r="D776" t="str">
            <v>Surgery</v>
          </cell>
          <cell r="E776" t="str">
            <v>ELDEVIN</v>
          </cell>
          <cell r="F776" t="str">
            <v>Devolved Income Elective Division</v>
          </cell>
        </row>
        <row r="777">
          <cell r="B777" t="str">
            <v>0049016</v>
          </cell>
          <cell r="C777" t="str">
            <v>Community Dental - Contract Income</v>
          </cell>
          <cell r="D777" t="str">
            <v>Women &amp; Children</v>
          </cell>
          <cell r="E777" t="str">
            <v>WCDEVIN</v>
          </cell>
          <cell r="F777" t="str">
            <v>Devolved Income - W &amp; C Division</v>
          </cell>
        </row>
        <row r="778">
          <cell r="B778" t="str">
            <v>0049017</v>
          </cell>
          <cell r="C778" t="str">
            <v>A&amp;E - Contract Income</v>
          </cell>
          <cell r="D778" t="str">
            <v>Medicine</v>
          </cell>
          <cell r="E778" t="str">
            <v>EMDEVIN</v>
          </cell>
          <cell r="F778" t="str">
            <v>Devolved Income Emergency Services</v>
          </cell>
        </row>
        <row r="779">
          <cell r="B779" t="str">
            <v>0049018</v>
          </cell>
          <cell r="C779" t="str">
            <v>Chest Medicine - Contract Income</v>
          </cell>
          <cell r="D779" t="str">
            <v>Medicine</v>
          </cell>
          <cell r="E779" t="str">
            <v>EMDEVIN</v>
          </cell>
          <cell r="F779" t="str">
            <v>Devolved Income Emergency Services</v>
          </cell>
        </row>
        <row r="780">
          <cell r="B780" t="str">
            <v>0049019</v>
          </cell>
          <cell r="C780" t="str">
            <v>DD - Contract Income</v>
          </cell>
          <cell r="D780" t="str">
            <v>Surgery</v>
          </cell>
          <cell r="E780" t="str">
            <v>ELDEVIN</v>
          </cell>
          <cell r="F780" t="str">
            <v>Devolved Income Elective Division</v>
          </cell>
        </row>
        <row r="781">
          <cell r="B781" t="str">
            <v>0049020</v>
          </cell>
          <cell r="C781" t="str">
            <v>Elderly - Contract Income</v>
          </cell>
          <cell r="D781" t="str">
            <v>Medicine</v>
          </cell>
          <cell r="E781" t="str">
            <v>EMDEVIN</v>
          </cell>
          <cell r="F781" t="str">
            <v>Devolved Income Emergency Services</v>
          </cell>
        </row>
        <row r="782">
          <cell r="B782" t="str">
            <v>0049021</v>
          </cell>
          <cell r="C782" t="str">
            <v>Endocrine &amp; Diabetes - Contract Income</v>
          </cell>
          <cell r="D782" t="str">
            <v>Medicine</v>
          </cell>
          <cell r="E782" t="str">
            <v>EMDEVIN</v>
          </cell>
          <cell r="F782" t="str">
            <v>Devolved Income Emergency Services</v>
          </cell>
        </row>
        <row r="783">
          <cell r="B783" t="str">
            <v>0049022</v>
          </cell>
          <cell r="C783" t="str">
            <v>General Medicine - Contract Income</v>
          </cell>
          <cell r="D783" t="str">
            <v>Medicine</v>
          </cell>
          <cell r="E783" t="str">
            <v>EMDEVIN</v>
          </cell>
          <cell r="F783" t="str">
            <v>Devolved Income Emergency Services</v>
          </cell>
        </row>
        <row r="784">
          <cell r="B784" t="str">
            <v>0049023</v>
          </cell>
          <cell r="C784" t="str">
            <v>Intensive Care - Contract Income</v>
          </cell>
          <cell r="D784" t="str">
            <v>Medicine</v>
          </cell>
          <cell r="E784" t="str">
            <v>EMDEVIN</v>
          </cell>
          <cell r="F784" t="str">
            <v>Devolved Income Emergency Services</v>
          </cell>
        </row>
        <row r="785">
          <cell r="B785" t="str">
            <v>0049024</v>
          </cell>
          <cell r="C785" t="str">
            <v>Joint Spec - COntract Income</v>
          </cell>
          <cell r="D785" t="str">
            <v>Medicine</v>
          </cell>
          <cell r="E785" t="str">
            <v>EMDEVIN</v>
          </cell>
          <cell r="F785" t="str">
            <v>Devolved Income Emergency Services</v>
          </cell>
        </row>
        <row r="786">
          <cell r="B786" t="str">
            <v>0049025</v>
          </cell>
          <cell r="C786" t="str">
            <v>Neonatal Care - Contract Income</v>
          </cell>
          <cell r="D786" t="str">
            <v>Women &amp; Children</v>
          </cell>
          <cell r="E786" t="str">
            <v>WCDEVIN</v>
          </cell>
          <cell r="F786" t="str">
            <v>Devolved Income - W &amp; C Division</v>
          </cell>
        </row>
        <row r="787">
          <cell r="B787" t="str">
            <v>0049026</v>
          </cell>
          <cell r="C787" t="str">
            <v>Paediatric Intensive Care - Contract Income</v>
          </cell>
          <cell r="D787" t="str">
            <v>Women &amp; Children</v>
          </cell>
          <cell r="E787" t="str">
            <v>WCDEVIN</v>
          </cell>
          <cell r="F787" t="str">
            <v>Devolved Income - W &amp; C Division</v>
          </cell>
        </row>
        <row r="788">
          <cell r="B788" t="str">
            <v>0049027</v>
          </cell>
          <cell r="C788" t="str">
            <v>Pathology - Contract Income</v>
          </cell>
          <cell r="D788" t="str">
            <v>Specialist</v>
          </cell>
          <cell r="E788" t="str">
            <v>SSDEVIN</v>
          </cell>
          <cell r="F788" t="str">
            <v>Devolved Income Specialised Services</v>
          </cell>
        </row>
        <row r="789">
          <cell r="B789" t="str">
            <v>0049028</v>
          </cell>
          <cell r="C789" t="str">
            <v>Thoracic Surgery - Contract Income</v>
          </cell>
          <cell r="D789" t="str">
            <v>Medicine</v>
          </cell>
          <cell r="E789" t="str">
            <v>EMDEVIN</v>
          </cell>
          <cell r="F789" t="str">
            <v>Devolved Income Emergency Services</v>
          </cell>
        </row>
        <row r="790">
          <cell r="B790" t="str">
            <v>0049029</v>
          </cell>
          <cell r="C790" t="str">
            <v>Vascular - Contract Income</v>
          </cell>
          <cell r="D790" t="str">
            <v>Surgery</v>
          </cell>
          <cell r="E790" t="str">
            <v>ELDEVIN</v>
          </cell>
          <cell r="F790" t="str">
            <v>Devolved Income Elective Division</v>
          </cell>
        </row>
        <row r="791">
          <cell r="B791" t="str">
            <v>0049030</v>
          </cell>
          <cell r="C791" t="str">
            <v>Cardiac Surgery - Contract Income</v>
          </cell>
          <cell r="D791" t="str">
            <v>Specialist</v>
          </cell>
          <cell r="E791" t="str">
            <v>SSDEVIN</v>
          </cell>
          <cell r="F791" t="str">
            <v>Devolved Income Specialised Services</v>
          </cell>
        </row>
        <row r="792">
          <cell r="B792" t="str">
            <v>0049031</v>
          </cell>
          <cell r="C792" t="str">
            <v>Cardiology - Contract Income</v>
          </cell>
          <cell r="D792" t="str">
            <v>Specialist</v>
          </cell>
          <cell r="E792" t="str">
            <v>SSDEVIN</v>
          </cell>
          <cell r="F792" t="str">
            <v>Devolved Income Specialised Services</v>
          </cell>
        </row>
        <row r="793">
          <cell r="B793" t="str">
            <v>0049032</v>
          </cell>
          <cell r="C793" t="str">
            <v>Chemotherapy - Contract Income</v>
          </cell>
          <cell r="D793" t="str">
            <v>Specialist</v>
          </cell>
          <cell r="E793" t="str">
            <v>SSDEVIN</v>
          </cell>
          <cell r="F793" t="str">
            <v>Devolved Income Specialised Services</v>
          </cell>
        </row>
        <row r="794">
          <cell r="B794" t="str">
            <v>0049033</v>
          </cell>
          <cell r="C794" t="str">
            <v>GUM - Contract Income</v>
          </cell>
          <cell r="D794" t="str">
            <v>Specialist</v>
          </cell>
          <cell r="E794" t="str">
            <v>SSDEVIN</v>
          </cell>
          <cell r="F794" t="str">
            <v>Devolved Income Specialised Services</v>
          </cell>
        </row>
        <row r="795">
          <cell r="B795" t="str">
            <v>0049034</v>
          </cell>
          <cell r="C795" t="str">
            <v>Haematology - Contract Income</v>
          </cell>
          <cell r="D795" t="str">
            <v>Specialist</v>
          </cell>
          <cell r="E795" t="str">
            <v>SSDEVIN</v>
          </cell>
          <cell r="F795" t="str">
            <v>Devolved Income Specialised Services</v>
          </cell>
        </row>
        <row r="796">
          <cell r="B796" t="str">
            <v>0049035</v>
          </cell>
          <cell r="C796" t="str">
            <v>HIV - Contract Income</v>
          </cell>
          <cell r="D796" t="str">
            <v>Specialist</v>
          </cell>
          <cell r="E796" t="str">
            <v>SSDEVIN</v>
          </cell>
          <cell r="F796" t="str">
            <v>Devolved Income Specialised Services</v>
          </cell>
        </row>
        <row r="797">
          <cell r="B797" t="str">
            <v>0049036</v>
          </cell>
          <cell r="C797" t="str">
            <v>Imaging - Contract Income</v>
          </cell>
          <cell r="D797" t="str">
            <v>Specialist</v>
          </cell>
          <cell r="E797" t="str">
            <v>SSDEVIN</v>
          </cell>
          <cell r="F797" t="str">
            <v>Devolved Income Specialised Services</v>
          </cell>
        </row>
        <row r="798">
          <cell r="B798" t="str">
            <v>0049037</v>
          </cell>
          <cell r="C798" t="str">
            <v>Midwifery - Contract Income</v>
          </cell>
          <cell r="D798" t="str">
            <v>Women &amp; Children</v>
          </cell>
          <cell r="E798" t="str">
            <v>WCDEVIN</v>
          </cell>
          <cell r="F798" t="str">
            <v>Devolved Income - W &amp; C Division</v>
          </cell>
        </row>
        <row r="799">
          <cell r="B799" t="str">
            <v>0049038</v>
          </cell>
          <cell r="C799" t="str">
            <v>Neurology - Contract Income</v>
          </cell>
          <cell r="D799" t="str">
            <v>Specialist</v>
          </cell>
          <cell r="E799" t="str">
            <v>SSDEVIN</v>
          </cell>
          <cell r="F799" t="str">
            <v>Devolved Income Specialised Services</v>
          </cell>
        </row>
        <row r="800">
          <cell r="B800" t="str">
            <v>0049039</v>
          </cell>
          <cell r="C800" t="str">
            <v>NeuroSurgery - Contract Income</v>
          </cell>
          <cell r="D800" t="str">
            <v>Specialist</v>
          </cell>
          <cell r="E800" t="str">
            <v>SSDEVIN</v>
          </cell>
          <cell r="F800" t="str">
            <v>Devolved Income Specialised Services</v>
          </cell>
        </row>
        <row r="801">
          <cell r="B801" t="str">
            <v>0049040</v>
          </cell>
          <cell r="C801" t="str">
            <v>Obs - Contract Income</v>
          </cell>
          <cell r="D801" t="str">
            <v>Women &amp; Children</v>
          </cell>
          <cell r="E801" t="str">
            <v>WCDEVIN</v>
          </cell>
          <cell r="F801" t="str">
            <v>Devolved Income - W &amp; C Division</v>
          </cell>
        </row>
        <row r="802">
          <cell r="B802" t="str">
            <v>0049041</v>
          </cell>
          <cell r="C802" t="str">
            <v>Oncology - Contract Income</v>
          </cell>
          <cell r="D802" t="str">
            <v>Specialist</v>
          </cell>
          <cell r="E802" t="str">
            <v>SSDEVIN</v>
          </cell>
          <cell r="F802" t="str">
            <v>Devolved Income Specialised Services</v>
          </cell>
        </row>
        <row r="803">
          <cell r="B803" t="str">
            <v>0049042</v>
          </cell>
          <cell r="C803" t="str">
            <v>Paediatric Medicine - Contract Income</v>
          </cell>
          <cell r="D803" t="str">
            <v>Women &amp; Children</v>
          </cell>
          <cell r="E803" t="str">
            <v>WCDEVIN</v>
          </cell>
          <cell r="F803" t="str">
            <v>Devolved Income - W &amp; C Division</v>
          </cell>
        </row>
        <row r="804">
          <cell r="B804" t="str">
            <v>0049043</v>
          </cell>
          <cell r="C804" t="str">
            <v>Paediatric Surgery - Contract Income</v>
          </cell>
          <cell r="D804" t="str">
            <v>Women &amp; Children</v>
          </cell>
          <cell r="E804" t="str">
            <v>WCDEVIN</v>
          </cell>
          <cell r="F804" t="str">
            <v>Devolved Income - W &amp; C Division</v>
          </cell>
        </row>
        <row r="805">
          <cell r="B805" t="str">
            <v>0049044</v>
          </cell>
          <cell r="C805" t="str">
            <v>Palliative Care - Contract Income</v>
          </cell>
          <cell r="D805" t="str">
            <v>Specialist</v>
          </cell>
          <cell r="E805" t="str">
            <v>SSDEVIN</v>
          </cell>
          <cell r="F805" t="str">
            <v>Devolved Income Specialised Services</v>
          </cell>
        </row>
        <row r="806">
          <cell r="B806" t="str">
            <v>0049045</v>
          </cell>
          <cell r="C806" t="str">
            <v>Pathology - Contract Income</v>
          </cell>
          <cell r="D806" t="str">
            <v>Specialist</v>
          </cell>
          <cell r="E806" t="str">
            <v>SSDEVIN</v>
          </cell>
          <cell r="F806" t="str">
            <v>Devolved Income Specialised Services</v>
          </cell>
        </row>
        <row r="807">
          <cell r="B807" t="str">
            <v>0049046</v>
          </cell>
          <cell r="C807" t="str">
            <v>PET - Contract Income</v>
          </cell>
          <cell r="D807" t="str">
            <v>Specialist</v>
          </cell>
          <cell r="E807" t="str">
            <v>SSDEVIN</v>
          </cell>
          <cell r="F807" t="str">
            <v>Devolved Income Specialised Services</v>
          </cell>
        </row>
        <row r="808">
          <cell r="B808" t="str">
            <v>0049047</v>
          </cell>
          <cell r="C808" t="str">
            <v>Radiology - Contract Income</v>
          </cell>
          <cell r="D808" t="str">
            <v>Specialist</v>
          </cell>
          <cell r="E808" t="str">
            <v>SSDEVIN</v>
          </cell>
          <cell r="F808" t="str">
            <v>Devolved Income Specialised Services</v>
          </cell>
        </row>
        <row r="809">
          <cell r="B809" t="str">
            <v>0049048</v>
          </cell>
          <cell r="C809" t="str">
            <v>Radiotherapy - Contract Income</v>
          </cell>
          <cell r="D809" t="str">
            <v>Specialist</v>
          </cell>
          <cell r="E809" t="str">
            <v>SSDEVIN</v>
          </cell>
          <cell r="F809" t="str">
            <v>Devolved Income Specialised Services</v>
          </cell>
        </row>
        <row r="810">
          <cell r="B810" t="str">
            <v>0049049</v>
          </cell>
          <cell r="C810" t="str">
            <v>Renal - Contract Income</v>
          </cell>
          <cell r="D810" t="str">
            <v>Specialist</v>
          </cell>
          <cell r="E810" t="str">
            <v>SSDEVIN</v>
          </cell>
          <cell r="F810" t="str">
            <v>Devolved Income Specialised Services</v>
          </cell>
        </row>
        <row r="811">
          <cell r="B811" t="str">
            <v>0049050</v>
          </cell>
          <cell r="C811" t="str">
            <v>Special Care Baby - Contract Income</v>
          </cell>
          <cell r="D811" t="str">
            <v>Women &amp; Children</v>
          </cell>
          <cell r="E811" t="str">
            <v>WCDEVIN</v>
          </cell>
          <cell r="F811" t="str">
            <v>Devolved Income - W &amp; C Division</v>
          </cell>
        </row>
        <row r="812">
          <cell r="B812" t="str">
            <v>0049051</v>
          </cell>
          <cell r="C812" t="str">
            <v>Tropical Medicine - Contract Income</v>
          </cell>
          <cell r="D812" t="str">
            <v>Medicine</v>
          </cell>
          <cell r="E812" t="str">
            <v>EMDEVIN</v>
          </cell>
          <cell r="F812" t="str">
            <v>Devolved Income Emergency Services</v>
          </cell>
        </row>
        <row r="813">
          <cell r="B813" t="str">
            <v>0049052</v>
          </cell>
          <cell r="C813" t="str">
            <v>Paediatric Dentistry - Contract Income</v>
          </cell>
          <cell r="D813" t="str">
            <v>Women &amp; Children</v>
          </cell>
          <cell r="E813" t="str">
            <v>WCDEVIN</v>
          </cell>
          <cell r="F813" t="str">
            <v>Devolved Income - W &amp; C Division</v>
          </cell>
        </row>
        <row r="814">
          <cell r="B814" t="str">
            <v>0049053</v>
          </cell>
          <cell r="C814" t="str">
            <v>Neuro ITU - Contract Income</v>
          </cell>
          <cell r="D814" t="str">
            <v>Specialist</v>
          </cell>
          <cell r="E814" t="str">
            <v>SSDEVIN</v>
          </cell>
          <cell r="F814" t="str">
            <v>Devolved Income Specialised Services</v>
          </cell>
        </row>
        <row r="815">
          <cell r="B815" t="str">
            <v>0049054</v>
          </cell>
          <cell r="C815" t="str">
            <v>Theatres - Contract Income</v>
          </cell>
          <cell r="D815" t="str">
            <v>Surgery</v>
          </cell>
          <cell r="E815" t="str">
            <v>ELDEVIN</v>
          </cell>
          <cell r="F815" t="str">
            <v>Devolved Income Elective Division</v>
          </cell>
        </row>
        <row r="816">
          <cell r="B816" t="str">
            <v>0049055</v>
          </cell>
          <cell r="C816" t="str">
            <v>Nuclear Medicine - Contract Income</v>
          </cell>
          <cell r="D816" t="str">
            <v>Specialist</v>
          </cell>
          <cell r="E816" t="str">
            <v>SSDEVIN</v>
          </cell>
          <cell r="F816" t="str">
            <v>Devolved Income Specialised Services</v>
          </cell>
        </row>
        <row r="817">
          <cell r="B817" t="str">
            <v>0049056</v>
          </cell>
          <cell r="C817" t="str">
            <v>PBR Exclusions - Contract Income</v>
          </cell>
          <cell r="D817" t="str">
            <v>Corporate</v>
          </cell>
          <cell r="E817" t="str">
            <v>FUINCOM</v>
          </cell>
          <cell r="F817" t="str">
            <v>Income</v>
          </cell>
        </row>
        <row r="818">
          <cell r="B818" t="str">
            <v>0049060</v>
          </cell>
          <cell r="C818" t="str">
            <v>Community Paediatric Nursing - Contract Income</v>
          </cell>
          <cell r="D818" t="str">
            <v>Women &amp; Children</v>
          </cell>
          <cell r="E818" t="str">
            <v>WCDEVIN</v>
          </cell>
          <cell r="F818" t="str">
            <v>Devolved Income - W &amp; C Division</v>
          </cell>
        </row>
        <row r="819">
          <cell r="B819" t="str">
            <v>0049061</v>
          </cell>
          <cell r="C819" t="str">
            <v>Diagnostic Imaging - Contract Income</v>
          </cell>
          <cell r="D819" t="str">
            <v>Specialist</v>
          </cell>
          <cell r="E819" t="str">
            <v>SSDEVIN</v>
          </cell>
          <cell r="F819" t="str">
            <v>Devolved Income Specialised Services</v>
          </cell>
        </row>
        <row r="820">
          <cell r="B820" t="str">
            <v>0049062</v>
          </cell>
          <cell r="C820" t="str">
            <v>Interventional Radiology - Contract Income</v>
          </cell>
          <cell r="D820" t="str">
            <v>Specialist</v>
          </cell>
          <cell r="E820" t="str">
            <v>SSDEVIN</v>
          </cell>
          <cell r="F820" t="str">
            <v>Devolved Income Specialised Services</v>
          </cell>
        </row>
        <row r="821">
          <cell r="B821" t="str">
            <v>0049063</v>
          </cell>
          <cell r="C821" t="str">
            <v>Neonatology - Contract Income</v>
          </cell>
          <cell r="D821" t="str">
            <v>Women &amp; Children</v>
          </cell>
          <cell r="E821" t="str">
            <v>WCDEVIN</v>
          </cell>
          <cell r="F821" t="str">
            <v>Devolved Income - W &amp; C Division</v>
          </cell>
        </row>
        <row r="822">
          <cell r="B822" t="str">
            <v>0049064</v>
          </cell>
          <cell r="C822" t="str">
            <v>Paediatric Cardiology - Contract Income</v>
          </cell>
          <cell r="D822" t="str">
            <v>Women &amp; Children</v>
          </cell>
          <cell r="E822" t="str">
            <v>WCDEVIN</v>
          </cell>
          <cell r="F822" t="str">
            <v>Devolved Income - W &amp; C Division</v>
          </cell>
        </row>
        <row r="823">
          <cell r="B823" t="str">
            <v>0049065</v>
          </cell>
          <cell r="C823" t="str">
            <v>Paediatric Clinical Immunology And Aller - Con</v>
          </cell>
          <cell r="D823" t="str">
            <v>Women &amp; Children</v>
          </cell>
          <cell r="E823" t="str">
            <v>WCDEVIN</v>
          </cell>
          <cell r="F823" t="str">
            <v>Devolved Income - W &amp; C Division</v>
          </cell>
        </row>
        <row r="824">
          <cell r="B824" t="str">
            <v>0049066</v>
          </cell>
          <cell r="C824" t="str">
            <v>Paediatric Dermatology - Contract Income</v>
          </cell>
          <cell r="D824" t="str">
            <v>Women &amp; Children</v>
          </cell>
          <cell r="E824" t="str">
            <v>WCDEVIN</v>
          </cell>
          <cell r="F824" t="str">
            <v>Devolved Income - W &amp; C Division</v>
          </cell>
        </row>
        <row r="825">
          <cell r="B825" t="str">
            <v>0049067</v>
          </cell>
          <cell r="C825" t="str">
            <v>Paediatric Endocrinology - Contract Income</v>
          </cell>
          <cell r="D825" t="str">
            <v>Women &amp; Children</v>
          </cell>
          <cell r="E825" t="str">
            <v>WCDEVIN</v>
          </cell>
          <cell r="F825" t="str">
            <v>Devolved Income - W &amp; C Division</v>
          </cell>
        </row>
        <row r="826">
          <cell r="B826" t="str">
            <v>0049068</v>
          </cell>
          <cell r="C826" t="str">
            <v>Paediatric ENT - Contract Income</v>
          </cell>
          <cell r="D826" t="str">
            <v>Women &amp; Children</v>
          </cell>
          <cell r="E826" t="str">
            <v>WCDEVIN</v>
          </cell>
          <cell r="F826" t="str">
            <v>Devolved Income - W &amp; C Division</v>
          </cell>
        </row>
        <row r="827">
          <cell r="B827" t="str">
            <v>0049069</v>
          </cell>
          <cell r="C827" t="str">
            <v>Paediatric Gastroenterology - Contract Income</v>
          </cell>
          <cell r="D827" t="str">
            <v>Women &amp; Children</v>
          </cell>
          <cell r="E827" t="str">
            <v>WCDEVIN</v>
          </cell>
          <cell r="F827" t="str">
            <v>Devolved Income - W &amp; C Division</v>
          </cell>
        </row>
        <row r="828">
          <cell r="B828" t="str">
            <v>0049070</v>
          </cell>
          <cell r="C828" t="str">
            <v>Paediatric Gastrointestinal Surgery - Contract</v>
          </cell>
          <cell r="D828" t="str">
            <v>Women &amp; Children</v>
          </cell>
          <cell r="E828" t="str">
            <v>WCDEVIN</v>
          </cell>
          <cell r="F828" t="str">
            <v>Devolved Income - W &amp; C Division</v>
          </cell>
        </row>
        <row r="829">
          <cell r="B829" t="str">
            <v>0049071</v>
          </cell>
          <cell r="C829" t="str">
            <v>Paediatric Medical Oncology - Contract Income</v>
          </cell>
          <cell r="D829" t="str">
            <v>Women &amp; Children</v>
          </cell>
          <cell r="E829" t="str">
            <v>WCDEVIN</v>
          </cell>
          <cell r="F829" t="str">
            <v>Devolved Income - W &amp; C Division</v>
          </cell>
        </row>
        <row r="830">
          <cell r="B830" t="str">
            <v>0049072</v>
          </cell>
          <cell r="C830" t="str">
            <v xml:space="preserve"> Paediatric Nephrology - Contract Income</v>
          </cell>
          <cell r="D830" t="str">
            <v>Women &amp; Children</v>
          </cell>
          <cell r="E830" t="str">
            <v>WCDEVIN</v>
          </cell>
          <cell r="F830" t="str">
            <v>Devolved Income - W &amp; C Division</v>
          </cell>
        </row>
        <row r="831">
          <cell r="B831" t="str">
            <v>0049073</v>
          </cell>
          <cell r="C831" t="str">
            <v>Paediatric Neurology - Contract Income</v>
          </cell>
          <cell r="D831" t="str">
            <v>Women &amp; Children</v>
          </cell>
          <cell r="E831" t="str">
            <v>WCDEVIN</v>
          </cell>
          <cell r="F831" t="str">
            <v>Devolved Income - W &amp; C Division</v>
          </cell>
        </row>
        <row r="832">
          <cell r="B832" t="str">
            <v>0049074</v>
          </cell>
          <cell r="C832" t="str">
            <v>Paediatric Ophthalmology - Contract Income</v>
          </cell>
          <cell r="D832" t="str">
            <v>Women &amp; Children</v>
          </cell>
          <cell r="E832" t="str">
            <v>WCDEVIN</v>
          </cell>
          <cell r="F832" t="str">
            <v>Devolved Income - W &amp; C Division</v>
          </cell>
        </row>
        <row r="833">
          <cell r="B833" t="str">
            <v>0049075</v>
          </cell>
          <cell r="C833" t="str">
            <v>Paediatric Oral Surgery - Contract Income</v>
          </cell>
          <cell r="D833" t="str">
            <v>Women &amp; Children</v>
          </cell>
          <cell r="E833" t="str">
            <v>WCDEVIN</v>
          </cell>
          <cell r="F833" t="str">
            <v>Devolved Income - W &amp; C Division</v>
          </cell>
        </row>
        <row r="834">
          <cell r="B834" t="str">
            <v>0049076</v>
          </cell>
          <cell r="C834" t="str">
            <v>Paediatric Respiratory Medicine - Contract Inc</v>
          </cell>
          <cell r="D834" t="str">
            <v>Women &amp; Children</v>
          </cell>
          <cell r="E834" t="str">
            <v>WCDEVIN</v>
          </cell>
          <cell r="F834" t="str">
            <v>Devolved Income - W &amp; C Division</v>
          </cell>
        </row>
        <row r="835">
          <cell r="B835" t="str">
            <v>0049077</v>
          </cell>
          <cell r="C835" t="str">
            <v>Paediatric Rheumatology - Contract Income</v>
          </cell>
          <cell r="D835" t="str">
            <v>Women &amp; Children</v>
          </cell>
          <cell r="E835" t="str">
            <v>WCDEVIN</v>
          </cell>
          <cell r="F835" t="str">
            <v>Devolved Income - W &amp; C Division</v>
          </cell>
        </row>
        <row r="836">
          <cell r="B836" t="str">
            <v>0049078</v>
          </cell>
          <cell r="C836" t="str">
            <v>Paediatric Trauma &amp; Orthopaedics - Contract In</v>
          </cell>
          <cell r="D836" t="str">
            <v>Women &amp; Children</v>
          </cell>
          <cell r="E836" t="str">
            <v>WCDEVIN</v>
          </cell>
          <cell r="F836" t="str">
            <v>Devolved Income - W &amp; C Division</v>
          </cell>
        </row>
        <row r="837">
          <cell r="B837" t="str">
            <v>0049079</v>
          </cell>
          <cell r="C837" t="str">
            <v>Paediatric Urology - Contract Income</v>
          </cell>
          <cell r="D837" t="str">
            <v>Women &amp; Children</v>
          </cell>
          <cell r="E837" t="str">
            <v>WCDEVIN</v>
          </cell>
          <cell r="F837" t="str">
            <v>Devolved Income - W &amp; C Division</v>
          </cell>
        </row>
        <row r="838">
          <cell r="B838" t="str">
            <v>0049080</v>
          </cell>
          <cell r="C838" t="str">
            <v>Well Babies - Contract Income</v>
          </cell>
          <cell r="D838" t="str">
            <v>Women &amp; Children</v>
          </cell>
          <cell r="E838" t="str">
            <v>WCDEVIN</v>
          </cell>
          <cell r="F838" t="str">
            <v>Devolved Income - W &amp; C Division</v>
          </cell>
        </row>
        <row r="839">
          <cell r="B839" t="str">
            <v>0049081</v>
          </cell>
          <cell r="C839" t="str">
            <v>Breast Screening - Contract Income</v>
          </cell>
          <cell r="D839" t="str">
            <v>Specialist</v>
          </cell>
          <cell r="E839" t="str">
            <v>SSDEVIN</v>
          </cell>
          <cell r="F839" t="str">
            <v>Devolved Income Specialised Services</v>
          </cell>
        </row>
        <row r="840">
          <cell r="B840" t="str">
            <v>0049082</v>
          </cell>
          <cell r="C840" t="str">
            <v>Colonoscopy Contract Variation ? - Contract In</v>
          </cell>
          <cell r="D840" t="str">
            <v>Surgery</v>
          </cell>
          <cell r="E840" t="str">
            <v>ELDEVIN</v>
          </cell>
          <cell r="F840" t="str">
            <v>Devolved Income Elective Division</v>
          </cell>
        </row>
        <row r="841">
          <cell r="B841" t="str">
            <v>0049083</v>
          </cell>
          <cell r="C841" t="str">
            <v>Fertility Service - Contract Income</v>
          </cell>
          <cell r="D841" t="str">
            <v>Women &amp; Children</v>
          </cell>
          <cell r="E841" t="str">
            <v>WCDEVIN</v>
          </cell>
          <cell r="F841" t="str">
            <v>Devolved Income - W &amp; C Division</v>
          </cell>
        </row>
        <row r="842">
          <cell r="B842" t="str">
            <v>0049084</v>
          </cell>
          <cell r="C842" t="str">
            <v>Retinal Screening - Contract Income</v>
          </cell>
          <cell r="D842" t="str">
            <v>Surgery</v>
          </cell>
          <cell r="E842" t="str">
            <v>ELDEVIN</v>
          </cell>
          <cell r="F842" t="str">
            <v>Devolved Income Elective Division</v>
          </cell>
        </row>
        <row r="843">
          <cell r="B843" t="str">
            <v>0049085</v>
          </cell>
          <cell r="C843" t="str">
            <v>Chemical Pathology - Contract income</v>
          </cell>
          <cell r="D843" t="str">
            <v>Medicine</v>
          </cell>
          <cell r="E843" t="str">
            <v>EMDEVIN</v>
          </cell>
          <cell r="F843" t="str">
            <v>Devolved Income Emergency Services</v>
          </cell>
        </row>
        <row r="844">
          <cell r="B844" t="str">
            <v>0049086</v>
          </cell>
          <cell r="C844" t="str">
            <v>DD Surgical - Contract Income</v>
          </cell>
          <cell r="D844" t="str">
            <v>Surgery</v>
          </cell>
          <cell r="E844" t="str">
            <v>ELDEVIN</v>
          </cell>
          <cell r="F844" t="str">
            <v>Devolved Income Elective Division</v>
          </cell>
        </row>
        <row r="845">
          <cell r="B845" t="str">
            <v>0049087</v>
          </cell>
          <cell r="C845" t="str">
            <v>Podiatry - Contract Income</v>
          </cell>
          <cell r="D845" t="str">
            <v>Surgery</v>
          </cell>
          <cell r="E845" t="str">
            <v>ELDEVIN</v>
          </cell>
          <cell r="F845" t="str">
            <v>Devolved Income Elective Division</v>
          </cell>
        </row>
        <row r="846">
          <cell r="B846" t="str">
            <v>0049088</v>
          </cell>
          <cell r="C846" t="str">
            <v>Chlamydia Screening - Contract Income</v>
          </cell>
          <cell r="D846" t="str">
            <v>Specialist</v>
          </cell>
          <cell r="E846" t="str">
            <v>SSDEVIN</v>
          </cell>
          <cell r="F846" t="str">
            <v>Devolved Income Specialised Services</v>
          </cell>
        </row>
        <row r="847">
          <cell r="B847" t="str">
            <v>0049089</v>
          </cell>
          <cell r="C847" t="str">
            <v>Neuro Psychology - Contract Income</v>
          </cell>
          <cell r="D847" t="str">
            <v>Specialist</v>
          </cell>
          <cell r="E847" t="str">
            <v>SSDEVIN</v>
          </cell>
          <cell r="F847" t="str">
            <v>Devolved Income Specialised Services</v>
          </cell>
        </row>
        <row r="848">
          <cell r="B848" t="str">
            <v>0049090</v>
          </cell>
          <cell r="C848" t="str">
            <v>Psychiatry / psychology - Contract Income</v>
          </cell>
          <cell r="D848" t="str">
            <v>Surgery</v>
          </cell>
          <cell r="E848" t="str">
            <v>ELDEVIN</v>
          </cell>
          <cell r="F848" t="str">
            <v>Devolved Income Elective Division</v>
          </cell>
        </row>
        <row r="849">
          <cell r="B849" t="str">
            <v>0049091</v>
          </cell>
          <cell r="C849" t="str">
            <v>Patient appliances - Contract Income</v>
          </cell>
          <cell r="D849" t="str">
            <v>Surgery</v>
          </cell>
          <cell r="E849" t="str">
            <v>ELDEVIN</v>
          </cell>
          <cell r="F849" t="str">
            <v>Devolved Income Elective Division</v>
          </cell>
        </row>
        <row r="850">
          <cell r="B850" t="str">
            <v>0049092</v>
          </cell>
          <cell r="C850" t="str">
            <v>PTS - Contract Income</v>
          </cell>
          <cell r="D850" t="str">
            <v>Corporate</v>
          </cell>
          <cell r="E850" t="str">
            <v>FUINCOM</v>
          </cell>
          <cell r="F850" t="str">
            <v>Income</v>
          </cell>
        </row>
        <row r="851">
          <cell r="B851" t="str">
            <v>0049093</v>
          </cell>
          <cell r="C851" t="str">
            <v>Paediatric Infectious Diseases</v>
          </cell>
          <cell r="D851" t="str">
            <v>Women &amp; Children</v>
          </cell>
          <cell r="E851" t="str">
            <v>WCDEVIN</v>
          </cell>
          <cell r="F851" t="str">
            <v>Devolved Income - W &amp; C Division</v>
          </cell>
        </row>
        <row r="852">
          <cell r="B852" t="str">
            <v>0049097</v>
          </cell>
          <cell r="C852" t="str">
            <v>Assumed Income - Contract income</v>
          </cell>
          <cell r="D852" t="str">
            <v>Corporate</v>
          </cell>
          <cell r="E852" t="str">
            <v>FUINCOM</v>
          </cell>
          <cell r="F852" t="str">
            <v>Income</v>
          </cell>
        </row>
        <row r="853">
          <cell r="B853" t="str">
            <v>0049098</v>
          </cell>
          <cell r="C853" t="str">
            <v>Overheads - Contract Income</v>
          </cell>
          <cell r="D853" t="str">
            <v>Corporate</v>
          </cell>
          <cell r="E853" t="str">
            <v>FUINCOM</v>
          </cell>
          <cell r="F853" t="str">
            <v>Income</v>
          </cell>
        </row>
        <row r="854">
          <cell r="B854" t="str">
            <v>0049099</v>
          </cell>
          <cell r="C854" t="str">
            <v xml:space="preserve">  Devolved Income to Divisions - Contract Inco</v>
          </cell>
          <cell r="D854" t="str">
            <v>Corporate</v>
          </cell>
          <cell r="E854" t="str">
            <v>FUINCOM</v>
          </cell>
          <cell r="F854" t="str">
            <v>Income</v>
          </cell>
        </row>
        <row r="855">
          <cell r="B855" t="str">
            <v>0070035</v>
          </cell>
          <cell r="C855" t="str">
            <v>Breast Care Design Fees</v>
          </cell>
          <cell r="D855" t="str">
            <v>Capital</v>
          </cell>
          <cell r="E855" t="str">
            <v>CPTOTAL</v>
          </cell>
          <cell r="F855" t="str">
            <v>Total Capital</v>
          </cell>
        </row>
        <row r="856">
          <cell r="B856" t="str">
            <v>0070090</v>
          </cell>
          <cell r="C856" t="str">
            <v>Clinincal Invstg &amp; Research</v>
          </cell>
          <cell r="D856" t="str">
            <v>Capital</v>
          </cell>
          <cell r="E856" t="str">
            <v>CPTOTAL</v>
          </cell>
          <cell r="F856" t="str">
            <v>Total Capital</v>
          </cell>
        </row>
        <row r="857">
          <cell r="B857" t="str">
            <v>0070211</v>
          </cell>
          <cell r="C857" t="str">
            <v xml:space="preserve"> Sale Of Barnfield Gardens</v>
          </cell>
          <cell r="D857" t="str">
            <v>Capital</v>
          </cell>
          <cell r="E857" t="str">
            <v>CPTOTAL</v>
          </cell>
          <cell r="F857" t="str">
            <v>Total Capital</v>
          </cell>
        </row>
        <row r="858">
          <cell r="B858" t="str">
            <v>0070284</v>
          </cell>
          <cell r="C858" t="str">
            <v>Clinical Waste Store</v>
          </cell>
          <cell r="D858" t="str">
            <v>Capital</v>
          </cell>
          <cell r="E858" t="str">
            <v>CPTOTAL</v>
          </cell>
          <cell r="F858" t="str">
            <v>Total Capital</v>
          </cell>
        </row>
        <row r="859">
          <cell r="B859" t="str">
            <v>0070288</v>
          </cell>
          <cell r="C859" t="str">
            <v>Wendy House Nursery</v>
          </cell>
          <cell r="D859" t="str">
            <v>Capital</v>
          </cell>
          <cell r="E859" t="str">
            <v>CPTOTAL</v>
          </cell>
          <cell r="F859" t="str">
            <v>Total Capital</v>
          </cell>
        </row>
        <row r="860">
          <cell r="B860" t="str">
            <v>0070298</v>
          </cell>
          <cell r="C860" t="str">
            <v>Facilities Accommodation Downsmere</v>
          </cell>
          <cell r="D860" t="str">
            <v>Capital</v>
          </cell>
          <cell r="E860" t="str">
            <v>CPTOTAL</v>
          </cell>
          <cell r="F860" t="str">
            <v>Total Capital</v>
          </cell>
        </row>
        <row r="861">
          <cell r="B861" t="str">
            <v>0070310</v>
          </cell>
          <cell r="C861" t="str">
            <v>Call Centre (Action On)</v>
          </cell>
          <cell r="D861" t="str">
            <v>Capital</v>
          </cell>
          <cell r="E861" t="str">
            <v>CPTOTAL</v>
          </cell>
          <cell r="F861" t="str">
            <v>Total Capital</v>
          </cell>
        </row>
        <row r="862">
          <cell r="B862" t="str">
            <v>0070315</v>
          </cell>
          <cell r="C862" t="str">
            <v>Expansion of Neonatal Cot Spaces, Level 14</v>
          </cell>
          <cell r="D862" t="str">
            <v>Capital</v>
          </cell>
          <cell r="E862" t="str">
            <v>CPTOTAL</v>
          </cell>
          <cell r="F862" t="str">
            <v>Total Capital</v>
          </cell>
        </row>
        <row r="863">
          <cell r="B863" t="str">
            <v>0070361</v>
          </cell>
          <cell r="C863" t="str">
            <v>External Lighting</v>
          </cell>
          <cell r="D863" t="str">
            <v>Capital</v>
          </cell>
          <cell r="E863" t="str">
            <v>CPTOTAL</v>
          </cell>
          <cell r="F863" t="str">
            <v>Total Capital</v>
          </cell>
        </row>
        <row r="864">
          <cell r="B864" t="str">
            <v>0070441</v>
          </cell>
          <cell r="C864" t="str">
            <v>Draeger Ventilator x 2</v>
          </cell>
          <cell r="D864" t="str">
            <v>Capital</v>
          </cell>
          <cell r="E864" t="str">
            <v>CPTOTAL</v>
          </cell>
          <cell r="F864" t="str">
            <v>Total Capital</v>
          </cell>
        </row>
        <row r="865">
          <cell r="B865" t="str">
            <v>0070575</v>
          </cell>
          <cell r="C865" t="str">
            <v>Walk in Centre</v>
          </cell>
          <cell r="D865" t="str">
            <v>Capital</v>
          </cell>
          <cell r="E865" t="str">
            <v>CPTOTAL</v>
          </cell>
          <cell r="F865" t="str">
            <v>Total Capital</v>
          </cell>
        </row>
        <row r="866">
          <cell r="B866" t="str">
            <v>0070644</v>
          </cell>
          <cell r="C866" t="str">
            <v>Capital Development Offices</v>
          </cell>
          <cell r="D866" t="str">
            <v>Capital</v>
          </cell>
          <cell r="E866" t="str">
            <v>CPTOTAL</v>
          </cell>
          <cell r="F866" t="str">
            <v>Total Capital</v>
          </cell>
        </row>
        <row r="867">
          <cell r="B867" t="str">
            <v>0070677</v>
          </cell>
          <cell r="C867" t="str">
            <v>Telephone Exchange Development</v>
          </cell>
          <cell r="D867" t="str">
            <v>Capital</v>
          </cell>
          <cell r="E867" t="str">
            <v>CPTOTAL</v>
          </cell>
          <cell r="F867" t="str">
            <v>Total Capital</v>
          </cell>
        </row>
        <row r="868">
          <cell r="B868" t="str">
            <v>0070698</v>
          </cell>
          <cell r="C868" t="str">
            <v>Visir System</v>
          </cell>
          <cell r="D868" t="str">
            <v>Capital</v>
          </cell>
          <cell r="E868" t="str">
            <v>CPTOTAL</v>
          </cell>
          <cell r="F868" t="str">
            <v>Total Capital</v>
          </cell>
        </row>
        <row r="869">
          <cell r="B869" t="str">
            <v>0070974</v>
          </cell>
          <cell r="C869" t="str">
            <v>Highways 106</v>
          </cell>
          <cell r="D869" t="str">
            <v>Capital</v>
          </cell>
          <cell r="E869" t="str">
            <v>CPTOTAL</v>
          </cell>
          <cell r="F869" t="str">
            <v>Total Capital</v>
          </cell>
        </row>
        <row r="870">
          <cell r="B870" t="str">
            <v>0070999</v>
          </cell>
          <cell r="C870" t="str">
            <v>Rev To Cap</v>
          </cell>
          <cell r="D870" t="str">
            <v>Capital</v>
          </cell>
          <cell r="E870" t="str">
            <v>CPTOTAL</v>
          </cell>
          <cell r="F870" t="str">
            <v>Total Capital</v>
          </cell>
        </row>
        <row r="871">
          <cell r="B871" t="str">
            <v>0071014</v>
          </cell>
          <cell r="C871" t="str">
            <v>Level 7 Link Connection</v>
          </cell>
          <cell r="D871" t="str">
            <v>Capital</v>
          </cell>
          <cell r="E871" t="str">
            <v>CPTOTAL</v>
          </cell>
          <cell r="F871" t="str">
            <v>Total Capital</v>
          </cell>
        </row>
        <row r="872">
          <cell r="B872" t="str">
            <v>0071015</v>
          </cell>
          <cell r="C872" t="str">
            <v>Level 6 Link Connection</v>
          </cell>
          <cell r="D872" t="str">
            <v>Capital</v>
          </cell>
          <cell r="E872" t="str">
            <v>CPTOTAL</v>
          </cell>
          <cell r="F872" t="str">
            <v>Total Capital</v>
          </cell>
        </row>
        <row r="873">
          <cell r="B873" t="str">
            <v>0071020</v>
          </cell>
          <cell r="C873" t="str">
            <v>Curtain Store</v>
          </cell>
          <cell r="D873" t="str">
            <v>Capital</v>
          </cell>
          <cell r="E873" t="str">
            <v>CPTOTAL</v>
          </cell>
          <cell r="F873" t="str">
            <v>Total Capital</v>
          </cell>
        </row>
        <row r="874">
          <cell r="B874" t="str">
            <v>0071041</v>
          </cell>
          <cell r="C874" t="str">
            <v>Oncology Decontamination</v>
          </cell>
          <cell r="D874" t="str">
            <v>Capital</v>
          </cell>
          <cell r="E874" t="str">
            <v>CPTOTAL</v>
          </cell>
          <cell r="F874" t="str">
            <v>Total Capital</v>
          </cell>
        </row>
        <row r="875">
          <cell r="B875" t="str">
            <v>0071042</v>
          </cell>
          <cell r="C875" t="str">
            <v>Decontamination Room, OPD, PRH</v>
          </cell>
          <cell r="D875" t="str">
            <v>Capital</v>
          </cell>
          <cell r="E875" t="str">
            <v>CPTOTAL</v>
          </cell>
          <cell r="F875" t="str">
            <v>Total Capital</v>
          </cell>
        </row>
        <row r="876">
          <cell r="B876" t="str">
            <v>0071053</v>
          </cell>
          <cell r="C876" t="str">
            <v>CT Scanner HWPNC</v>
          </cell>
          <cell r="D876" t="str">
            <v>Capital</v>
          </cell>
          <cell r="E876" t="str">
            <v>CPTOTAL</v>
          </cell>
          <cell r="F876" t="str">
            <v>Total Capital</v>
          </cell>
        </row>
        <row r="877">
          <cell r="B877" t="str">
            <v>0071057</v>
          </cell>
          <cell r="C877" t="str">
            <v>Junior Doctors - 04/05</v>
          </cell>
          <cell r="D877" t="str">
            <v>Capital</v>
          </cell>
          <cell r="E877" t="str">
            <v>CPTOTAL</v>
          </cell>
          <cell r="F877" t="str">
            <v>Total Capital</v>
          </cell>
        </row>
        <row r="878">
          <cell r="B878" t="str">
            <v>0071058</v>
          </cell>
          <cell r="C878" t="str">
            <v>SCC Booking Office</v>
          </cell>
          <cell r="D878" t="str">
            <v>Capital</v>
          </cell>
          <cell r="E878" t="str">
            <v>CPTOTAL</v>
          </cell>
          <cell r="F878" t="str">
            <v>Total Capital</v>
          </cell>
        </row>
        <row r="879">
          <cell r="B879" t="str">
            <v>0071059</v>
          </cell>
          <cell r="C879" t="str">
            <v>Electrical Ring Main PRH</v>
          </cell>
          <cell r="D879" t="str">
            <v>Capital</v>
          </cell>
          <cell r="E879" t="str">
            <v>CPTOTAL</v>
          </cell>
          <cell r="F879" t="str">
            <v>Total Capital</v>
          </cell>
        </row>
        <row r="880">
          <cell r="B880" t="str">
            <v>0071060</v>
          </cell>
          <cell r="C880" t="str">
            <v>SCC Patients' Lounge</v>
          </cell>
          <cell r="D880" t="str">
            <v>Capital</v>
          </cell>
          <cell r="E880" t="str">
            <v>CPTOTAL</v>
          </cell>
          <cell r="F880" t="str">
            <v>Total Capital</v>
          </cell>
        </row>
        <row r="881">
          <cell r="B881" t="str">
            <v>0071068</v>
          </cell>
          <cell r="C881" t="str">
            <v>Contingency for Equipment 2005/06</v>
          </cell>
          <cell r="D881" t="str">
            <v>Capital</v>
          </cell>
          <cell r="E881" t="str">
            <v>CPTOTAL</v>
          </cell>
          <cell r="F881" t="str">
            <v>Total Capital</v>
          </cell>
        </row>
        <row r="882">
          <cell r="B882" t="str">
            <v>0071069</v>
          </cell>
          <cell r="C882" t="str">
            <v>Contingency 2006/07</v>
          </cell>
          <cell r="D882" t="str">
            <v>Capital</v>
          </cell>
          <cell r="E882" t="str">
            <v>CPTOTAL</v>
          </cell>
          <cell r="F882" t="str">
            <v>Total Capital</v>
          </cell>
        </row>
        <row r="883">
          <cell r="B883" t="str">
            <v>0071073</v>
          </cell>
          <cell r="C883" t="str">
            <v>Bed realignment</v>
          </cell>
          <cell r="D883" t="str">
            <v>Capital</v>
          </cell>
          <cell r="E883" t="str">
            <v>CPTOTAL</v>
          </cell>
          <cell r="F883" t="str">
            <v>Total Capital</v>
          </cell>
        </row>
        <row r="884">
          <cell r="B884" t="str">
            <v>0071090</v>
          </cell>
          <cell r="C884" t="str">
            <v>IM &amp; T 2006/07</v>
          </cell>
          <cell r="D884" t="str">
            <v>Capital</v>
          </cell>
          <cell r="E884" t="str">
            <v>CPTOTAL</v>
          </cell>
          <cell r="F884" t="str">
            <v>Total Capital</v>
          </cell>
        </row>
        <row r="885">
          <cell r="B885" t="str">
            <v>0071097</v>
          </cell>
          <cell r="C885" t="str">
            <v>Bronchofibrescope for Paediatrics</v>
          </cell>
          <cell r="D885" t="str">
            <v>Capital</v>
          </cell>
          <cell r="E885" t="str">
            <v>CPTOTAL</v>
          </cell>
          <cell r="F885" t="str">
            <v>Total Capital</v>
          </cell>
        </row>
        <row r="886">
          <cell r="B886" t="str">
            <v>0071120</v>
          </cell>
          <cell r="C886" t="str">
            <v>Image Intensifier</v>
          </cell>
          <cell r="D886" t="str">
            <v>Capital</v>
          </cell>
          <cell r="E886" t="str">
            <v>CPTOTAL</v>
          </cell>
          <cell r="F886" t="str">
            <v>Total Capital</v>
          </cell>
        </row>
        <row r="887">
          <cell r="B887" t="str">
            <v>0071130</v>
          </cell>
          <cell r="C887" t="str">
            <v>Susex House Remedial Works</v>
          </cell>
          <cell r="D887" t="str">
            <v>Capital</v>
          </cell>
          <cell r="E887" t="str">
            <v>CPTOTAL</v>
          </cell>
          <cell r="F887" t="str">
            <v>Total Capital</v>
          </cell>
        </row>
        <row r="888">
          <cell r="B888" t="str">
            <v>0071150</v>
          </cell>
          <cell r="C888" t="str">
            <v>Keymed Camera Stack - Obs &amp; Gynae</v>
          </cell>
          <cell r="D888" t="str">
            <v>Capital</v>
          </cell>
          <cell r="E888" t="str">
            <v>CPTOTAL</v>
          </cell>
          <cell r="F888" t="str">
            <v>Total Capital</v>
          </cell>
        </row>
        <row r="889">
          <cell r="B889" t="str">
            <v>0071154</v>
          </cell>
          <cell r="C889" t="str">
            <v>Surgical Navigation Equipment</v>
          </cell>
          <cell r="D889" t="str">
            <v>Capital</v>
          </cell>
          <cell r="E889" t="str">
            <v>CPTOTAL</v>
          </cell>
          <cell r="F889" t="str">
            <v>Total Capital</v>
          </cell>
        </row>
        <row r="890">
          <cell r="B890" t="str">
            <v>0071155</v>
          </cell>
          <cell r="C890" t="str">
            <v>Blood Gas Analysers upgrade</v>
          </cell>
          <cell r="D890" t="str">
            <v>Capital</v>
          </cell>
          <cell r="E890" t="str">
            <v>CPTOTAL</v>
          </cell>
          <cell r="F890" t="str">
            <v>Total Capital</v>
          </cell>
        </row>
        <row r="891">
          <cell r="B891" t="str">
            <v>0071156</v>
          </cell>
          <cell r="C891" t="str">
            <v>Laser Welder</v>
          </cell>
          <cell r="D891" t="str">
            <v>Capital</v>
          </cell>
          <cell r="E891" t="str">
            <v>CPTOTAL</v>
          </cell>
          <cell r="F891" t="str">
            <v>Total Capital</v>
          </cell>
        </row>
        <row r="892">
          <cell r="B892" t="str">
            <v>0071159</v>
          </cell>
          <cell r="C892" t="str">
            <v>Syringe Drivers</v>
          </cell>
          <cell r="D892" t="str">
            <v>Capital</v>
          </cell>
          <cell r="E892" t="str">
            <v>CPTOTAL</v>
          </cell>
          <cell r="F892" t="str">
            <v>Total Capital</v>
          </cell>
        </row>
        <row r="893">
          <cell r="B893" t="str">
            <v>0071160</v>
          </cell>
          <cell r="C893" t="str">
            <v>Triple volumed pumps x 2</v>
          </cell>
          <cell r="D893" t="str">
            <v>Capital</v>
          </cell>
          <cell r="E893" t="str">
            <v>CPTOTAL</v>
          </cell>
          <cell r="F893" t="str">
            <v>Total Capital</v>
          </cell>
        </row>
        <row r="894">
          <cell r="B894" t="str">
            <v>0071164</v>
          </cell>
          <cell r="C894" t="str">
            <v>Spinal table - theatres</v>
          </cell>
          <cell r="D894" t="str">
            <v>Capital</v>
          </cell>
          <cell r="E894" t="str">
            <v>CPTOTAL</v>
          </cell>
          <cell r="F894" t="str">
            <v>Total Capital</v>
          </cell>
        </row>
        <row r="895">
          <cell r="B895" t="str">
            <v>0071166</v>
          </cell>
          <cell r="C895" t="str">
            <v>Hire of High Volume photocopier</v>
          </cell>
          <cell r="D895" t="str">
            <v>Capital</v>
          </cell>
          <cell r="E895" t="str">
            <v>CPTOTAL</v>
          </cell>
          <cell r="F895" t="str">
            <v>Total Capital</v>
          </cell>
        </row>
        <row r="896">
          <cell r="B896" t="str">
            <v>0071169</v>
          </cell>
          <cell r="C896" t="str">
            <v>Expansion of Retinopathy screening</v>
          </cell>
          <cell r="D896" t="str">
            <v>Capital</v>
          </cell>
          <cell r="E896" t="str">
            <v>CPTOTAL</v>
          </cell>
          <cell r="F896" t="str">
            <v>Total Capital</v>
          </cell>
        </row>
        <row r="897">
          <cell r="B897" t="str">
            <v>0071184</v>
          </cell>
          <cell r="C897" t="str">
            <v>Relief Road - PRH</v>
          </cell>
          <cell r="D897" t="str">
            <v>Capital</v>
          </cell>
          <cell r="E897" t="str">
            <v>CPTOTAL</v>
          </cell>
          <cell r="F897" t="str">
            <v>Total Capital</v>
          </cell>
        </row>
        <row r="898">
          <cell r="B898" t="str">
            <v>0071201</v>
          </cell>
          <cell r="C898" t="str">
            <v>7 Haemodialysis Machines</v>
          </cell>
          <cell r="D898" t="str">
            <v>Capital</v>
          </cell>
          <cell r="E898" t="str">
            <v>CPTOTAL</v>
          </cell>
          <cell r="F898" t="str">
            <v>Total Capital</v>
          </cell>
        </row>
        <row r="899">
          <cell r="B899" t="str">
            <v>0071213</v>
          </cell>
          <cell r="C899" t="str">
            <v>GUM Refurbishment of Claude Nicol Centre</v>
          </cell>
          <cell r="D899" t="str">
            <v>Capital</v>
          </cell>
          <cell r="E899" t="str">
            <v>CPTOTAL</v>
          </cell>
          <cell r="F899" t="str">
            <v>Total Capital</v>
          </cell>
        </row>
        <row r="900">
          <cell r="B900" t="str">
            <v>0071214</v>
          </cell>
          <cell r="C900" t="str">
            <v>External Repairs OPD - RSCH</v>
          </cell>
          <cell r="D900" t="str">
            <v>Capital</v>
          </cell>
          <cell r="E900" t="str">
            <v>CPTOTAL</v>
          </cell>
          <cell r="F900" t="str">
            <v>Total Capital</v>
          </cell>
        </row>
        <row r="901">
          <cell r="B901" t="str">
            <v>0071220</v>
          </cell>
          <cell r="C901" t="str">
            <v>Finometer - Elderly Medicine</v>
          </cell>
          <cell r="D901" t="str">
            <v>Capital</v>
          </cell>
          <cell r="E901" t="str">
            <v>CPTOTAL</v>
          </cell>
          <cell r="F901" t="str">
            <v>Total Capital</v>
          </cell>
        </row>
        <row r="902">
          <cell r="B902" t="str">
            <v>0071224</v>
          </cell>
          <cell r="C902" t="str">
            <v>CT Scanner - PRH - Construction Costs</v>
          </cell>
          <cell r="D902" t="str">
            <v>Capital</v>
          </cell>
          <cell r="E902" t="str">
            <v>CPTOTAL</v>
          </cell>
          <cell r="F902" t="str">
            <v>Total Capital</v>
          </cell>
        </row>
        <row r="903">
          <cell r="B903" t="str">
            <v>0071226</v>
          </cell>
          <cell r="C903" t="str">
            <v>MRI Scanner - Installation</v>
          </cell>
          <cell r="D903" t="str">
            <v>Capital</v>
          </cell>
          <cell r="E903" t="str">
            <v>CPTOTAL</v>
          </cell>
          <cell r="F903" t="str">
            <v>Total Capital</v>
          </cell>
        </row>
        <row r="904">
          <cell r="B904" t="str">
            <v>0071233</v>
          </cell>
          <cell r="C904" t="str">
            <v>Finesse Datalink To Haemodialysis Machines</v>
          </cell>
          <cell r="D904" t="str">
            <v>Capital</v>
          </cell>
          <cell r="E904" t="str">
            <v>CPTOTAL</v>
          </cell>
          <cell r="F904" t="str">
            <v>Total Capital</v>
          </cell>
        </row>
        <row r="905">
          <cell r="B905" t="str">
            <v>0071234</v>
          </cell>
          <cell r="C905" t="str">
            <v>Invasive Monitoring System - TMBU</v>
          </cell>
          <cell r="D905" t="str">
            <v>Capital</v>
          </cell>
          <cell r="E905" t="str">
            <v>CPTOTAL</v>
          </cell>
          <cell r="F905" t="str">
            <v>Total Capital</v>
          </cell>
        </row>
        <row r="906">
          <cell r="B906" t="str">
            <v>0071254</v>
          </cell>
          <cell r="C906" t="str">
            <v>Materials Management - RAH</v>
          </cell>
          <cell r="D906" t="str">
            <v>Capital</v>
          </cell>
          <cell r="E906" t="str">
            <v>CPTOTAL</v>
          </cell>
          <cell r="F906" t="str">
            <v>Total Capital</v>
          </cell>
        </row>
        <row r="907">
          <cell r="B907" t="str">
            <v>0071255</v>
          </cell>
          <cell r="C907" t="str">
            <v>Expansion of Discharge Lounge</v>
          </cell>
          <cell r="D907" t="str">
            <v>Capital</v>
          </cell>
          <cell r="E907" t="str">
            <v>CPTOTAL</v>
          </cell>
          <cell r="F907" t="str">
            <v>Total Capital</v>
          </cell>
        </row>
        <row r="908">
          <cell r="B908" t="str">
            <v>0071258</v>
          </cell>
          <cell r="C908" t="str">
            <v>Upgrade WC's Sussex Cancer Centre</v>
          </cell>
          <cell r="D908" t="str">
            <v>Capital</v>
          </cell>
          <cell r="E908" t="str">
            <v>CPTOTAL</v>
          </cell>
          <cell r="F908" t="str">
            <v>Total Capital</v>
          </cell>
        </row>
        <row r="909">
          <cell r="B909" t="str">
            <v>0071260</v>
          </cell>
          <cell r="C909" t="str">
            <v>RMCC contribution</v>
          </cell>
          <cell r="D909" t="str">
            <v>Capital</v>
          </cell>
          <cell r="E909" t="str">
            <v>CPTOTAL</v>
          </cell>
          <cell r="F909" t="str">
            <v>Total Capital</v>
          </cell>
        </row>
        <row r="910">
          <cell r="B910" t="str">
            <v>0071265</v>
          </cell>
          <cell r="C910" t="str">
            <v>Set up in error</v>
          </cell>
          <cell r="D910" t="str">
            <v>Capital</v>
          </cell>
          <cell r="E910" t="str">
            <v>CPTOTAL</v>
          </cell>
          <cell r="F910" t="str">
            <v>Total Capital</v>
          </cell>
        </row>
        <row r="911">
          <cell r="B911" t="str">
            <v>0071271</v>
          </cell>
          <cell r="C911" t="str">
            <v>Cardiac Progressive Care Unit</v>
          </cell>
          <cell r="D911" t="str">
            <v>Capital</v>
          </cell>
          <cell r="E911" t="str">
            <v>CPTOTAL</v>
          </cell>
          <cell r="F911" t="str">
            <v>Total Capital</v>
          </cell>
        </row>
        <row r="912">
          <cell r="B912" t="str">
            <v>0071274</v>
          </cell>
          <cell r="C912" t="str">
            <v>Site Enabling Works - RSCH</v>
          </cell>
          <cell r="D912" t="str">
            <v>Capital</v>
          </cell>
          <cell r="E912" t="str">
            <v>CPTOTAL</v>
          </cell>
          <cell r="F912" t="str">
            <v>Total Capital</v>
          </cell>
        </row>
        <row r="913">
          <cell r="B913" t="str">
            <v>0071275</v>
          </cell>
          <cell r="C913" t="str">
            <v xml:space="preserve"> Section 106 RAH</v>
          </cell>
          <cell r="D913" t="str">
            <v>Capital</v>
          </cell>
          <cell r="E913" t="str">
            <v>CPTOTAL</v>
          </cell>
          <cell r="F913" t="str">
            <v>Total Capital</v>
          </cell>
        </row>
        <row r="914">
          <cell r="B914" t="str">
            <v>0071276</v>
          </cell>
          <cell r="C914" t="str">
            <v>Healthy Transport Plan</v>
          </cell>
          <cell r="D914" t="str">
            <v>Capital</v>
          </cell>
          <cell r="E914" t="str">
            <v>CPTOTAL</v>
          </cell>
          <cell r="F914" t="str">
            <v>Total Capital</v>
          </cell>
        </row>
        <row r="915">
          <cell r="B915" t="str">
            <v>0071279</v>
          </cell>
          <cell r="C915" t="str">
            <v>Endoscopy Equipment - PRH</v>
          </cell>
          <cell r="D915" t="str">
            <v>Capital</v>
          </cell>
          <cell r="E915" t="str">
            <v>CPTOTAL</v>
          </cell>
          <cell r="F915" t="str">
            <v>Total Capital</v>
          </cell>
        </row>
        <row r="916">
          <cell r="B916" t="str">
            <v>0071280</v>
          </cell>
          <cell r="C916" t="str">
            <v>Eleganza 3000 beds x 40 - RAH</v>
          </cell>
          <cell r="D916" t="str">
            <v>Capital</v>
          </cell>
          <cell r="E916" t="str">
            <v>CPTOTAL</v>
          </cell>
          <cell r="F916" t="str">
            <v>Total Capital</v>
          </cell>
        </row>
        <row r="917">
          <cell r="B917" t="str">
            <v>0071283</v>
          </cell>
          <cell r="C917" t="str">
            <v>Design Fees / Legal Fees 2007/08</v>
          </cell>
          <cell r="D917" t="str">
            <v>Capital</v>
          </cell>
          <cell r="E917" t="str">
            <v>CPTOTAL</v>
          </cell>
          <cell r="F917" t="str">
            <v>Total Capital</v>
          </cell>
        </row>
        <row r="918">
          <cell r="B918" t="str">
            <v>0071287</v>
          </cell>
          <cell r="C918" t="str">
            <v>Fire Precautions/Fire Doors Health &amp; Safety -</v>
          </cell>
          <cell r="D918" t="str">
            <v>Capital</v>
          </cell>
          <cell r="E918" t="str">
            <v>CPTOTAL</v>
          </cell>
          <cell r="F918" t="str">
            <v>Total Capital</v>
          </cell>
        </row>
        <row r="919">
          <cell r="B919" t="str">
            <v>0071289</v>
          </cell>
          <cell r="C919" t="str">
            <v>Site Wide Signage</v>
          </cell>
          <cell r="D919" t="str">
            <v>Capital</v>
          </cell>
          <cell r="E919" t="str">
            <v>CPTOTAL</v>
          </cell>
          <cell r="F919" t="str">
            <v>Total Capital</v>
          </cell>
        </row>
        <row r="920">
          <cell r="B920" t="str">
            <v>0071290</v>
          </cell>
          <cell r="C920" t="str">
            <v>Replacement Medical &amp; Other Eqpmnt</v>
          </cell>
          <cell r="D920" t="str">
            <v>Capital</v>
          </cell>
          <cell r="E920" t="str">
            <v>CPTOTAL</v>
          </cell>
          <cell r="F920" t="str">
            <v>Total Capital</v>
          </cell>
        </row>
        <row r="921">
          <cell r="B921" t="str">
            <v>0071291</v>
          </cell>
          <cell r="C921" t="str">
            <v>RACH Changes</v>
          </cell>
          <cell r="D921" t="str">
            <v>Capital</v>
          </cell>
          <cell r="E921" t="str">
            <v>CPTOTAL</v>
          </cell>
          <cell r="F921" t="str">
            <v>Total Capital</v>
          </cell>
        </row>
        <row r="922">
          <cell r="B922" t="str">
            <v>0071292</v>
          </cell>
          <cell r="C922" t="str">
            <v>Lift Replacement Programme</v>
          </cell>
          <cell r="D922" t="str">
            <v>Capital</v>
          </cell>
          <cell r="E922" t="str">
            <v>CPTOTAL</v>
          </cell>
          <cell r="F922" t="str">
            <v>Total Capital</v>
          </cell>
        </row>
        <row r="923">
          <cell r="B923" t="str">
            <v>0071293</v>
          </cell>
          <cell r="C923" t="str">
            <v>Ward PEAT Investment</v>
          </cell>
          <cell r="D923" t="str">
            <v>Capital</v>
          </cell>
          <cell r="E923" t="str">
            <v>CPTOTAL</v>
          </cell>
          <cell r="F923" t="str">
            <v>Total Capital</v>
          </cell>
        </row>
        <row r="924">
          <cell r="B924" t="str">
            <v>0071294</v>
          </cell>
          <cell r="C924" t="str">
            <v>Major Plant Renewel</v>
          </cell>
          <cell r="D924" t="str">
            <v>Capital</v>
          </cell>
          <cell r="E924" t="str">
            <v>CPTOTAL</v>
          </cell>
          <cell r="F924" t="str">
            <v>Total Capital</v>
          </cell>
        </row>
        <row r="925">
          <cell r="B925" t="str">
            <v>0071295</v>
          </cell>
          <cell r="C925" t="str">
            <v>Roof/Window Repairs - PRH</v>
          </cell>
          <cell r="D925" t="str">
            <v>Capital</v>
          </cell>
          <cell r="E925" t="str">
            <v>CPTOTAL</v>
          </cell>
          <cell r="F925" t="str">
            <v>Total Capital</v>
          </cell>
        </row>
        <row r="926">
          <cell r="B926" t="str">
            <v>0071296</v>
          </cell>
          <cell r="C926" t="str">
            <v>DDA Compliance</v>
          </cell>
          <cell r="D926" t="str">
            <v>Capital</v>
          </cell>
          <cell r="E926" t="str">
            <v>CPTOTAL</v>
          </cell>
          <cell r="F926" t="str">
            <v>Total Capital</v>
          </cell>
        </row>
        <row r="927">
          <cell r="B927" t="str">
            <v>0071297</v>
          </cell>
          <cell r="C927" t="str">
            <v>Artwork 106 requirement</v>
          </cell>
          <cell r="D927" t="str">
            <v>Capital</v>
          </cell>
          <cell r="E927" t="str">
            <v>CPTOTAL</v>
          </cell>
          <cell r="F927" t="str">
            <v>Total Capital</v>
          </cell>
        </row>
        <row r="928">
          <cell r="B928" t="str">
            <v>0071299</v>
          </cell>
          <cell r="C928" t="str">
            <v>Holmium Laser (Low Power) - Urology</v>
          </cell>
          <cell r="D928" t="str">
            <v>Capital</v>
          </cell>
          <cell r="E928" t="str">
            <v>CPTOTAL</v>
          </cell>
          <cell r="F928" t="str">
            <v>Total Capital</v>
          </cell>
        </row>
        <row r="929">
          <cell r="B929" t="str">
            <v>0071307</v>
          </cell>
          <cell r="C929" t="str">
            <v>Database Permits / Enforcement</v>
          </cell>
          <cell r="D929" t="str">
            <v>Capital</v>
          </cell>
          <cell r="E929" t="str">
            <v>CPTOTAL</v>
          </cell>
          <cell r="F929" t="str">
            <v>Total Capital</v>
          </cell>
        </row>
        <row r="930">
          <cell r="B930" t="str">
            <v>0071317</v>
          </cell>
          <cell r="C930" t="str">
            <v>Automated Dispensing System</v>
          </cell>
          <cell r="D930" t="str">
            <v>Capital</v>
          </cell>
          <cell r="E930" t="str">
            <v>CPTOTAL</v>
          </cell>
          <cell r="F930" t="str">
            <v>Total Capital</v>
          </cell>
        </row>
        <row r="931">
          <cell r="B931" t="str">
            <v>0071318</v>
          </cell>
          <cell r="C931" t="str">
            <v>Centralised Microbiology (CAP2)</v>
          </cell>
          <cell r="D931" t="str">
            <v>Capital</v>
          </cell>
          <cell r="E931" t="str">
            <v>CPTOTAL</v>
          </cell>
          <cell r="F931" t="str">
            <v>Total Capital</v>
          </cell>
        </row>
        <row r="932">
          <cell r="B932" t="str">
            <v>0071320</v>
          </cell>
          <cell r="C932" t="str">
            <v>General Pathology Order Comms</v>
          </cell>
          <cell r="D932" t="str">
            <v>Capital</v>
          </cell>
          <cell r="E932" t="str">
            <v>CPTOTAL</v>
          </cell>
          <cell r="F932" t="str">
            <v>Total Capital</v>
          </cell>
        </row>
        <row r="933">
          <cell r="B933" t="str">
            <v>0071329</v>
          </cell>
          <cell r="C933" t="str">
            <v>ISS Restaurant Refurbishment</v>
          </cell>
          <cell r="D933" t="str">
            <v>Capital</v>
          </cell>
          <cell r="E933" t="str">
            <v>CPTOTAL</v>
          </cell>
          <cell r="F933" t="str">
            <v>Total Capital</v>
          </cell>
        </row>
        <row r="934">
          <cell r="B934" t="str">
            <v>0071341</v>
          </cell>
          <cell r="C934" t="str">
            <v>Additional Beds</v>
          </cell>
          <cell r="D934" t="str">
            <v>Capital</v>
          </cell>
          <cell r="E934" t="str">
            <v>CPTOTAL</v>
          </cell>
          <cell r="F934" t="str">
            <v>Total Capital</v>
          </cell>
        </row>
        <row r="935">
          <cell r="B935" t="str">
            <v>0071342</v>
          </cell>
          <cell r="C935" t="str">
            <v>IM&amp;T 06/07 - Data Storage Equipment</v>
          </cell>
          <cell r="D935" t="str">
            <v>Capital</v>
          </cell>
          <cell r="E935" t="str">
            <v>CPTOTAL</v>
          </cell>
          <cell r="F935" t="str">
            <v>Total Capital</v>
          </cell>
        </row>
        <row r="936">
          <cell r="B936" t="str">
            <v>0071344</v>
          </cell>
          <cell r="C936" t="str">
            <v>IM&amp;T 06/07 - Server Visualisation</v>
          </cell>
          <cell r="D936" t="str">
            <v>Capital</v>
          </cell>
          <cell r="E936" t="str">
            <v>CPTOTAL</v>
          </cell>
          <cell r="F936" t="str">
            <v>Total Capital</v>
          </cell>
        </row>
        <row r="937">
          <cell r="B937" t="str">
            <v>0071348</v>
          </cell>
          <cell r="C937" t="str">
            <v>IM&amp;T 06/07 - Theatre IT System</v>
          </cell>
          <cell r="D937" t="str">
            <v>Capital</v>
          </cell>
          <cell r="E937" t="str">
            <v>CPTOTAL</v>
          </cell>
          <cell r="F937" t="str">
            <v>Total Capital</v>
          </cell>
        </row>
        <row r="938">
          <cell r="B938" t="str">
            <v>0071349</v>
          </cell>
          <cell r="C938" t="str">
            <v>Pharmacy Ventilation System</v>
          </cell>
          <cell r="D938" t="str">
            <v>Capital</v>
          </cell>
          <cell r="E938" t="str">
            <v>CPTOTAL</v>
          </cell>
          <cell r="F938" t="str">
            <v>Total Capital</v>
          </cell>
        </row>
        <row r="939">
          <cell r="B939" t="str">
            <v>0071350</v>
          </cell>
          <cell r="C939" t="str">
            <v>3 Anaesthetic Machines &amp; Monitors</v>
          </cell>
          <cell r="D939" t="str">
            <v>Capital</v>
          </cell>
          <cell r="E939" t="str">
            <v>CPTOTAL</v>
          </cell>
          <cell r="F939" t="str">
            <v>Total Capital</v>
          </cell>
        </row>
        <row r="940">
          <cell r="B940" t="str">
            <v>0071351</v>
          </cell>
          <cell r="C940" t="str">
            <v>Level 5 Reconfiguration</v>
          </cell>
          <cell r="D940" t="str">
            <v>Capital</v>
          </cell>
          <cell r="E940" t="str">
            <v>CPTOTAL</v>
          </cell>
          <cell r="F940" t="str">
            <v>Total Capital</v>
          </cell>
        </row>
        <row r="941">
          <cell r="B941" t="str">
            <v>0071353</v>
          </cell>
          <cell r="C941" t="str">
            <v>Replacement Ventilators HWPNC</v>
          </cell>
          <cell r="D941" t="str">
            <v>Capital</v>
          </cell>
          <cell r="E941" t="str">
            <v>CPTOTAL</v>
          </cell>
          <cell r="F941" t="str">
            <v>Total Capital</v>
          </cell>
        </row>
        <row r="942">
          <cell r="B942" t="str">
            <v>0071354</v>
          </cell>
          <cell r="C942" t="str">
            <v>Ward Eqpmnt - Emergency Div</v>
          </cell>
          <cell r="D942" t="str">
            <v>Capital</v>
          </cell>
          <cell r="E942" t="str">
            <v>CPTOTAL</v>
          </cell>
          <cell r="F942" t="str">
            <v>Total Capital</v>
          </cell>
        </row>
        <row r="943">
          <cell r="B943" t="str">
            <v>0071356</v>
          </cell>
          <cell r="C943" t="str">
            <v>Ward Eqpmnt - Elective Div</v>
          </cell>
          <cell r="D943" t="str">
            <v>Capital</v>
          </cell>
          <cell r="E943" t="str">
            <v>CPTOTAL</v>
          </cell>
          <cell r="F943" t="str">
            <v>Total Capital</v>
          </cell>
        </row>
        <row r="944">
          <cell r="B944" t="str">
            <v>0071365</v>
          </cell>
          <cell r="C944" t="str">
            <v>PRH Main Entrance Phase II</v>
          </cell>
          <cell r="D944" t="str">
            <v>Capital</v>
          </cell>
          <cell r="E944" t="str">
            <v>CPTOTAL</v>
          </cell>
          <cell r="F944" t="str">
            <v>Total Capital</v>
          </cell>
        </row>
        <row r="945">
          <cell r="B945" t="str">
            <v>0071367</v>
          </cell>
          <cell r="C945" t="str">
            <v>Demolish Colwood Hospital</v>
          </cell>
          <cell r="D945" t="str">
            <v>Capital</v>
          </cell>
          <cell r="E945" t="str">
            <v>CPTOTAL</v>
          </cell>
          <cell r="F945" t="str">
            <v>Total Capital</v>
          </cell>
        </row>
        <row r="946">
          <cell r="B946" t="str">
            <v>0071393</v>
          </cell>
          <cell r="C946" t="str">
            <v>Trans-Anal Endoscopic Micro-Surgery Instrmnts</v>
          </cell>
          <cell r="D946" t="str">
            <v>Capital</v>
          </cell>
          <cell r="E946" t="str">
            <v>CPTOTAL</v>
          </cell>
          <cell r="F946" t="str">
            <v>Total Capital</v>
          </cell>
        </row>
        <row r="947">
          <cell r="B947" t="str">
            <v>0071400</v>
          </cell>
          <cell r="C947" t="str">
            <v>Catheter Labs</v>
          </cell>
          <cell r="D947" t="str">
            <v>Capital</v>
          </cell>
          <cell r="E947" t="str">
            <v>CPTOTAL</v>
          </cell>
          <cell r="F947" t="str">
            <v>Total Capital</v>
          </cell>
        </row>
        <row r="948">
          <cell r="B948" t="str">
            <v>0071413</v>
          </cell>
          <cell r="C948" t="str">
            <v>M1 A3 &amp; A4 Lift Repairs</v>
          </cell>
          <cell r="D948" t="str">
            <v>Capital</v>
          </cell>
          <cell r="E948" t="str">
            <v>CPTOTAL</v>
          </cell>
          <cell r="F948" t="str">
            <v>Total Capital</v>
          </cell>
        </row>
        <row r="949">
          <cell r="B949" t="str">
            <v>0071414</v>
          </cell>
          <cell r="C949" t="str">
            <v>Pathology Modernisation Eqpmnt</v>
          </cell>
          <cell r="D949" t="str">
            <v>Capital</v>
          </cell>
          <cell r="E949" t="str">
            <v>CPTOTAL</v>
          </cell>
          <cell r="F949" t="str">
            <v>Total Capital</v>
          </cell>
        </row>
        <row r="950">
          <cell r="B950" t="str">
            <v>0071415</v>
          </cell>
          <cell r="C950" t="str">
            <v>ITU - PRH  UPS Installation</v>
          </cell>
          <cell r="D950" t="str">
            <v>Capital</v>
          </cell>
          <cell r="E950" t="str">
            <v>CPTOTAL</v>
          </cell>
          <cell r="F950" t="str">
            <v>Total Capital</v>
          </cell>
        </row>
        <row r="951">
          <cell r="B951" t="str">
            <v>0071421</v>
          </cell>
          <cell r="C951" t="str">
            <v>Ultrasound Rooms (x2)- L5 X-Ray</v>
          </cell>
          <cell r="D951" t="str">
            <v>Capital</v>
          </cell>
          <cell r="E951" t="str">
            <v>CPTOTAL</v>
          </cell>
          <cell r="F951" t="str">
            <v>Total Capital</v>
          </cell>
        </row>
        <row r="952">
          <cell r="B952" t="str">
            <v>0071427</v>
          </cell>
          <cell r="C952" t="str">
            <v>Audiology Funding</v>
          </cell>
          <cell r="D952" t="str">
            <v>Capital</v>
          </cell>
          <cell r="E952" t="str">
            <v>CPTOTAL</v>
          </cell>
          <cell r="F952" t="str">
            <v>Total Capital</v>
          </cell>
        </row>
        <row r="953">
          <cell r="B953" t="str">
            <v>0071428</v>
          </cell>
          <cell r="C953" t="str">
            <v>Ultrasound Equipment</v>
          </cell>
          <cell r="D953" t="str">
            <v>Capital</v>
          </cell>
          <cell r="E953" t="str">
            <v>CPTOTAL</v>
          </cell>
          <cell r="F953" t="str">
            <v>Total Capital</v>
          </cell>
        </row>
        <row r="954">
          <cell r="B954" t="str">
            <v>0071431</v>
          </cell>
          <cell r="C954" t="str">
            <v>Mammogram Machine</v>
          </cell>
          <cell r="D954" t="str">
            <v>Capital</v>
          </cell>
          <cell r="E954" t="str">
            <v>CPTOTAL</v>
          </cell>
          <cell r="F954" t="str">
            <v>Total Capital</v>
          </cell>
        </row>
        <row r="955">
          <cell r="B955" t="str">
            <v>0071433</v>
          </cell>
          <cell r="C955" t="str">
            <v>Residential Accommodation Refurb</v>
          </cell>
          <cell r="D955" t="str">
            <v>Capital</v>
          </cell>
          <cell r="E955" t="str">
            <v>CPTOTAL</v>
          </cell>
          <cell r="F955" t="str">
            <v>Total Capital</v>
          </cell>
        </row>
        <row r="956">
          <cell r="B956" t="str">
            <v>0071451</v>
          </cell>
          <cell r="C956" t="str">
            <v>Telecoms Eqpmnt / Helpdesk System</v>
          </cell>
          <cell r="D956" t="str">
            <v>Capital</v>
          </cell>
          <cell r="E956" t="str">
            <v>CPTOTAL</v>
          </cell>
          <cell r="F956" t="str">
            <v>Total Capital</v>
          </cell>
        </row>
        <row r="957">
          <cell r="B957" t="str">
            <v>0071462</v>
          </cell>
          <cell r="C957" t="str">
            <v>Contingency For Eqpmnt Breakdown</v>
          </cell>
          <cell r="D957" t="str">
            <v>Capital</v>
          </cell>
          <cell r="E957" t="str">
            <v>CPTOTAL</v>
          </cell>
          <cell r="F957" t="str">
            <v>Total Capital</v>
          </cell>
        </row>
        <row r="958">
          <cell r="B958" t="str">
            <v>0071463</v>
          </cell>
          <cell r="C958" t="str">
            <v>Barry Bldg / OPD Internal Repairs</v>
          </cell>
          <cell r="D958" t="str">
            <v>Capital</v>
          </cell>
          <cell r="E958" t="str">
            <v>CPTOTAL</v>
          </cell>
          <cell r="F958" t="str">
            <v>Total Capital</v>
          </cell>
        </row>
        <row r="959">
          <cell r="B959" t="str">
            <v>0071464</v>
          </cell>
          <cell r="C959" t="str">
            <v>RSCH North Service Road</v>
          </cell>
          <cell r="D959" t="str">
            <v>Capital</v>
          </cell>
          <cell r="E959" t="str">
            <v>CPTOTAL</v>
          </cell>
          <cell r="F959" t="str">
            <v>Total Capital</v>
          </cell>
        </row>
        <row r="960">
          <cell r="B960" t="str">
            <v>0071466</v>
          </cell>
          <cell r="C960" t="str">
            <v>Replacement Cryostat - Histology Dept</v>
          </cell>
          <cell r="D960" t="str">
            <v>Capital</v>
          </cell>
          <cell r="E960" t="str">
            <v>CPTOTAL</v>
          </cell>
          <cell r="F960" t="str">
            <v>Total Capital</v>
          </cell>
        </row>
        <row r="961">
          <cell r="B961" t="str">
            <v>0071467</v>
          </cell>
          <cell r="C961" t="str">
            <v>Portable Duplex Ultrasound System</v>
          </cell>
          <cell r="D961" t="str">
            <v>Capital</v>
          </cell>
          <cell r="E961" t="str">
            <v>CPTOTAL</v>
          </cell>
          <cell r="F961" t="str">
            <v>Total Capital</v>
          </cell>
        </row>
        <row r="962">
          <cell r="B962" t="str">
            <v>0071471</v>
          </cell>
          <cell r="C962" t="str">
            <v>IM &amp; T UPS Electrical System</v>
          </cell>
          <cell r="D962" t="str">
            <v>Capital</v>
          </cell>
          <cell r="E962" t="str">
            <v>CPTOTAL</v>
          </cell>
          <cell r="F962" t="str">
            <v>Total Capital</v>
          </cell>
        </row>
        <row r="963">
          <cell r="B963" t="str">
            <v>0071472</v>
          </cell>
          <cell r="C963" t="str">
            <v>Desktop Development &amp; Management</v>
          </cell>
          <cell r="D963" t="str">
            <v>Capital</v>
          </cell>
          <cell r="E963" t="str">
            <v>CPTOTAL</v>
          </cell>
          <cell r="F963" t="str">
            <v>Total Capital</v>
          </cell>
        </row>
        <row r="964">
          <cell r="B964" t="str">
            <v>0071473</v>
          </cell>
          <cell r="C964" t="str">
            <v>IM &amp; T 07/08 Active Directory</v>
          </cell>
          <cell r="D964" t="str">
            <v>Capital</v>
          </cell>
          <cell r="E964" t="str">
            <v>CPTOTAL</v>
          </cell>
          <cell r="F964" t="str">
            <v>Total Capital</v>
          </cell>
        </row>
        <row r="965">
          <cell r="B965" t="str">
            <v>0071474</v>
          </cell>
          <cell r="C965" t="str">
            <v>Chiller Replacement</v>
          </cell>
          <cell r="D965" t="str">
            <v>Capital</v>
          </cell>
          <cell r="E965" t="str">
            <v>CPTOTAL</v>
          </cell>
          <cell r="F965" t="str">
            <v>Total Capital</v>
          </cell>
        </row>
        <row r="966">
          <cell r="B966" t="str">
            <v>0071475</v>
          </cell>
          <cell r="C966" t="str">
            <v>Energy Management &amp; Metering</v>
          </cell>
          <cell r="D966" t="str">
            <v>Capital</v>
          </cell>
          <cell r="E966" t="str">
            <v>CPTOTAL</v>
          </cell>
          <cell r="F966" t="str">
            <v>Total Capital</v>
          </cell>
        </row>
        <row r="967">
          <cell r="B967" t="str">
            <v>0071476</v>
          </cell>
          <cell r="C967" t="str">
            <v>Endoscopy Diathermy Machine</v>
          </cell>
          <cell r="D967" t="str">
            <v>Capital</v>
          </cell>
          <cell r="E967" t="str">
            <v>CPTOTAL</v>
          </cell>
          <cell r="F967" t="str">
            <v>Total Capital</v>
          </cell>
        </row>
        <row r="968">
          <cell r="B968" t="str">
            <v>0071477</v>
          </cell>
          <cell r="C968" t="str">
            <v>Data Centre A/C</v>
          </cell>
          <cell r="D968" t="str">
            <v>Capital</v>
          </cell>
          <cell r="E968" t="str">
            <v>CPTOTAL</v>
          </cell>
          <cell r="F968" t="str">
            <v>Total Capital</v>
          </cell>
        </row>
        <row r="969">
          <cell r="B969" t="str">
            <v>0071485</v>
          </cell>
          <cell r="C969" t="str">
            <v xml:space="preserve"> Red Adult Cardiac Arrest Bags (CAB)</v>
          </cell>
          <cell r="D969" t="str">
            <v>Capital</v>
          </cell>
          <cell r="E969" t="str">
            <v>CPTOTAL</v>
          </cell>
          <cell r="F969" t="str">
            <v>Total Capital</v>
          </cell>
        </row>
        <row r="970">
          <cell r="B970" t="str">
            <v>0071486</v>
          </cell>
          <cell r="C970" t="str">
            <v>Replacement Endoscopes</v>
          </cell>
          <cell r="D970" t="str">
            <v>Capital</v>
          </cell>
          <cell r="E970" t="str">
            <v>CPTOTAL</v>
          </cell>
          <cell r="F970" t="str">
            <v>Total Capital</v>
          </cell>
        </row>
        <row r="971">
          <cell r="B971" t="str">
            <v>0071487</v>
          </cell>
          <cell r="C971" t="str">
            <v>Non / Invasive Monitoring For MRI's</v>
          </cell>
          <cell r="D971" t="str">
            <v>Capital</v>
          </cell>
          <cell r="E971" t="str">
            <v>CPTOTAL</v>
          </cell>
          <cell r="F971" t="str">
            <v>Total Capital</v>
          </cell>
        </row>
        <row r="972">
          <cell r="B972" t="str">
            <v>0071489</v>
          </cell>
          <cell r="C972" t="str">
            <v>Level 5 X-Ray Equipment</v>
          </cell>
          <cell r="D972" t="str">
            <v>Capital</v>
          </cell>
          <cell r="E972" t="str">
            <v>CPTOTAL</v>
          </cell>
          <cell r="F972" t="str">
            <v>Total Capital</v>
          </cell>
        </row>
        <row r="973">
          <cell r="B973" t="str">
            <v>0071490</v>
          </cell>
          <cell r="C973" t="str">
            <v>Alterations to CIRU</v>
          </cell>
          <cell r="D973" t="str">
            <v>Capital</v>
          </cell>
          <cell r="E973" t="str">
            <v>CPTOTAL</v>
          </cell>
          <cell r="F973" t="str">
            <v>Total Capital</v>
          </cell>
        </row>
        <row r="974">
          <cell r="B974" t="str">
            <v>0071518</v>
          </cell>
          <cell r="C974" t="str">
            <v>Brighton Pathology Cooling Levels 5, 6 &amp; 7</v>
          </cell>
          <cell r="D974" t="str">
            <v>Capital</v>
          </cell>
          <cell r="E974" t="str">
            <v>CPTOTAL</v>
          </cell>
          <cell r="F974" t="str">
            <v>Total Capital</v>
          </cell>
        </row>
        <row r="975">
          <cell r="B975" t="str">
            <v>0071521</v>
          </cell>
          <cell r="C975" t="str">
            <v>Vision Tissue Processors x2</v>
          </cell>
          <cell r="D975" t="str">
            <v>Capital</v>
          </cell>
          <cell r="E975" t="str">
            <v>CPTOTAL</v>
          </cell>
          <cell r="F975" t="str">
            <v>Total Capital</v>
          </cell>
        </row>
        <row r="976">
          <cell r="B976" t="str">
            <v>0071522</v>
          </cell>
          <cell r="C976" t="str">
            <v>Capital Programme Contingency</v>
          </cell>
          <cell r="D976" t="str">
            <v>Capital</v>
          </cell>
          <cell r="E976" t="str">
            <v>CPTOTAL</v>
          </cell>
          <cell r="F976" t="str">
            <v>Total Capital</v>
          </cell>
        </row>
        <row r="977">
          <cell r="B977" t="str">
            <v>0071524</v>
          </cell>
          <cell r="C977" t="str">
            <v>IM&amp;T General Allocation 2008-09</v>
          </cell>
          <cell r="D977" t="str">
            <v>Capital</v>
          </cell>
          <cell r="E977" t="str">
            <v>CPTOTAL</v>
          </cell>
          <cell r="F977" t="str">
            <v>Total Capital</v>
          </cell>
        </row>
        <row r="978">
          <cell r="B978" t="str">
            <v>0071529</v>
          </cell>
          <cell r="C978" t="str">
            <v>PRH Electrical Upgrade Phase II</v>
          </cell>
          <cell r="D978" t="str">
            <v>Capital</v>
          </cell>
          <cell r="E978" t="str">
            <v>CPTOTAL</v>
          </cell>
          <cell r="F978" t="str">
            <v>Total Capital</v>
          </cell>
        </row>
        <row r="979">
          <cell r="B979" t="str">
            <v>0071533</v>
          </cell>
          <cell r="C979" t="str">
            <v>Foul Radioactive Waste Store</v>
          </cell>
          <cell r="D979" t="str">
            <v>Capital</v>
          </cell>
          <cell r="E979" t="str">
            <v>CPTOTAL</v>
          </cell>
          <cell r="F979" t="str">
            <v>Total Capital</v>
          </cell>
        </row>
        <row r="980">
          <cell r="B980" t="str">
            <v>0071538</v>
          </cell>
          <cell r="C980" t="str">
            <v>Choose &amp; Book</v>
          </cell>
          <cell r="D980" t="str">
            <v>Capital</v>
          </cell>
          <cell r="E980" t="str">
            <v>CPTOTAL</v>
          </cell>
          <cell r="F980" t="str">
            <v>Total Capital</v>
          </cell>
        </row>
        <row r="981">
          <cell r="B981" t="str">
            <v>0071583</v>
          </cell>
          <cell r="C981" t="str">
            <v>ENT Camera Stack</v>
          </cell>
          <cell r="D981" t="str">
            <v>Capital</v>
          </cell>
          <cell r="E981" t="str">
            <v>CPTOTAL</v>
          </cell>
          <cell r="F981" t="str">
            <v>Total Capital</v>
          </cell>
        </row>
        <row r="982">
          <cell r="B982" t="str">
            <v>0071586</v>
          </cell>
          <cell r="C982" t="str">
            <v>CIRU DEXA Scanner + U/S Machine</v>
          </cell>
          <cell r="D982" t="str">
            <v>Capital</v>
          </cell>
          <cell r="E982" t="str">
            <v>CPTOTAL</v>
          </cell>
          <cell r="F982" t="str">
            <v>Total Capital</v>
          </cell>
        </row>
        <row r="983">
          <cell r="B983" t="str">
            <v>0071592</v>
          </cell>
          <cell r="C983" t="str">
            <v>Parent Area TMBU</v>
          </cell>
          <cell r="D983" t="str">
            <v>Capital</v>
          </cell>
          <cell r="E983" t="str">
            <v>CPTOTAL</v>
          </cell>
          <cell r="F983" t="str">
            <v>Total Capital</v>
          </cell>
        </row>
        <row r="984">
          <cell r="B984" t="str">
            <v>0071601</v>
          </cell>
          <cell r="C984" t="str">
            <v>Gamma Camera</v>
          </cell>
          <cell r="D984" t="str">
            <v>Capital</v>
          </cell>
          <cell r="E984" t="str">
            <v>CPTOTAL</v>
          </cell>
          <cell r="F984" t="str">
            <v>Total Capital</v>
          </cell>
        </row>
        <row r="985">
          <cell r="B985" t="str">
            <v>0071602</v>
          </cell>
          <cell r="C985" t="str">
            <v>Consultant Job Planning Software</v>
          </cell>
          <cell r="D985" t="str">
            <v>Capital</v>
          </cell>
          <cell r="E985" t="str">
            <v>CPTOTAL</v>
          </cell>
          <cell r="F985" t="str">
            <v>Total Capital</v>
          </cell>
        </row>
        <row r="986">
          <cell r="B986" t="str">
            <v>0071616</v>
          </cell>
          <cell r="C986" t="str">
            <v>Clinical Information Management System</v>
          </cell>
          <cell r="D986" t="str">
            <v>Capital</v>
          </cell>
          <cell r="E986" t="str">
            <v>CPTOTAL</v>
          </cell>
          <cell r="F986" t="str">
            <v>Total Capital</v>
          </cell>
        </row>
        <row r="987">
          <cell r="B987" t="str">
            <v>0071621</v>
          </cell>
          <cell r="C987" t="str">
            <v>Decontamination 2008-09</v>
          </cell>
          <cell r="D987" t="str">
            <v>Capital</v>
          </cell>
          <cell r="E987" t="str">
            <v>CPTOTAL</v>
          </cell>
          <cell r="F987" t="str">
            <v>Total Capital</v>
          </cell>
        </row>
        <row r="988">
          <cell r="B988" t="str">
            <v>0071622</v>
          </cell>
          <cell r="C988" t="str">
            <v>Ward PEAT Investment 08/09</v>
          </cell>
          <cell r="D988" t="str">
            <v>Capital</v>
          </cell>
          <cell r="E988" t="str">
            <v>CPTOTAL</v>
          </cell>
          <cell r="F988" t="str">
            <v>Total Capital</v>
          </cell>
        </row>
        <row r="989">
          <cell r="B989" t="str">
            <v>0071623</v>
          </cell>
          <cell r="C989" t="str">
            <v>Residential Accommodation Compliance</v>
          </cell>
          <cell r="D989" t="str">
            <v>Capital</v>
          </cell>
          <cell r="E989" t="str">
            <v>CPTOTAL</v>
          </cell>
          <cell r="F989" t="str">
            <v>Total Capital</v>
          </cell>
        </row>
        <row r="990">
          <cell r="B990" t="str">
            <v>0071624</v>
          </cell>
          <cell r="C990" t="str">
            <v>Fire Precautions/ H&amp;S Fire Doors year 3/5</v>
          </cell>
          <cell r="D990" t="str">
            <v>Capital</v>
          </cell>
          <cell r="E990" t="str">
            <v>CPTOTAL</v>
          </cell>
          <cell r="F990" t="str">
            <v>Total Capital</v>
          </cell>
        </row>
        <row r="991">
          <cell r="B991" t="str">
            <v>0071627</v>
          </cell>
          <cell r="C991" t="str">
            <v>Lift Replacement Programme 2008-09</v>
          </cell>
          <cell r="D991" t="str">
            <v>Capital</v>
          </cell>
          <cell r="E991" t="str">
            <v>CPTOTAL</v>
          </cell>
          <cell r="F991" t="str">
            <v>Total Capital</v>
          </cell>
        </row>
        <row r="992">
          <cell r="B992" t="str">
            <v>0071628</v>
          </cell>
          <cell r="C992" t="str">
            <v>DDA Compliance</v>
          </cell>
          <cell r="D992" t="str">
            <v>Capital</v>
          </cell>
          <cell r="E992" t="str">
            <v>CPTOTAL</v>
          </cell>
          <cell r="F992" t="str">
            <v>Total Capital</v>
          </cell>
        </row>
        <row r="993">
          <cell r="B993" t="str">
            <v>0071630</v>
          </cell>
          <cell r="C993" t="str">
            <v>Mini C-Arm</v>
          </cell>
          <cell r="D993" t="str">
            <v>Capital</v>
          </cell>
          <cell r="E993" t="str">
            <v>CPTOTAL</v>
          </cell>
          <cell r="F993" t="str">
            <v>Total Capital</v>
          </cell>
        </row>
        <row r="994">
          <cell r="B994" t="str">
            <v>0071632</v>
          </cell>
          <cell r="C994" t="str">
            <v>PRH Roof/ Window Repairs</v>
          </cell>
          <cell r="D994" t="str">
            <v>Capital</v>
          </cell>
          <cell r="E994" t="str">
            <v>CPTOTAL</v>
          </cell>
          <cell r="F994" t="str">
            <v>Total Capital</v>
          </cell>
        </row>
        <row r="995">
          <cell r="B995" t="str">
            <v>0071637</v>
          </cell>
          <cell r="C995" t="str">
            <v>Angio Room HPNC</v>
          </cell>
          <cell r="D995" t="str">
            <v>Capital</v>
          </cell>
          <cell r="E995" t="str">
            <v>CPTOTAL</v>
          </cell>
          <cell r="F995" t="str">
            <v>Total Capital</v>
          </cell>
        </row>
        <row r="996">
          <cell r="B996" t="str">
            <v>0071644</v>
          </cell>
          <cell r="C996" t="str">
            <v>Birthing Bed Mattresses</v>
          </cell>
          <cell r="D996" t="str">
            <v>Capital</v>
          </cell>
          <cell r="E996" t="str">
            <v>CPTOTAL</v>
          </cell>
          <cell r="F996" t="str">
            <v>Total Capital</v>
          </cell>
        </row>
        <row r="997">
          <cell r="B997" t="str">
            <v>0071645</v>
          </cell>
          <cell r="C997" t="str">
            <v>Stroke Thrombolyosis Equipment</v>
          </cell>
          <cell r="D997" t="str">
            <v>Capital</v>
          </cell>
          <cell r="E997" t="str">
            <v>CPTOTAL</v>
          </cell>
          <cell r="F997" t="str">
            <v>Total Capital</v>
          </cell>
        </row>
        <row r="998">
          <cell r="B998" t="str">
            <v>0071646</v>
          </cell>
          <cell r="C998" t="str">
            <v>Ward Refurbishment Fleming &amp; Lister</v>
          </cell>
          <cell r="D998" t="str">
            <v>Capital</v>
          </cell>
          <cell r="E998" t="str">
            <v>CPTOTAL</v>
          </cell>
          <cell r="F998" t="str">
            <v>Total Capital</v>
          </cell>
        </row>
        <row r="999">
          <cell r="B999" t="str">
            <v>0071647</v>
          </cell>
          <cell r="C999" t="str">
            <v>Pink Dolphin Breast Care Equipment</v>
          </cell>
          <cell r="D999" t="str">
            <v>Capital</v>
          </cell>
          <cell r="E999" t="str">
            <v>CPTOTAL</v>
          </cell>
          <cell r="F999" t="str">
            <v>Total Capital</v>
          </cell>
        </row>
        <row r="1000">
          <cell r="B1000" t="str">
            <v>0071648</v>
          </cell>
          <cell r="C1000" t="str">
            <v>Fire Alarm Panels- PRH</v>
          </cell>
          <cell r="D1000" t="str">
            <v>Capital</v>
          </cell>
          <cell r="E1000" t="str">
            <v>CPTOTAL</v>
          </cell>
          <cell r="F1000" t="str">
            <v>Total Capital</v>
          </cell>
        </row>
        <row r="1001">
          <cell r="B1001" t="str">
            <v>0071649</v>
          </cell>
          <cell r="C1001" t="str">
            <v>Ventilation System- Sussex Eye Hospital</v>
          </cell>
          <cell r="D1001" t="str">
            <v>Capital</v>
          </cell>
          <cell r="E1001" t="str">
            <v>CPTOTAL</v>
          </cell>
          <cell r="F1001" t="str">
            <v>Total Capital</v>
          </cell>
        </row>
        <row r="1002">
          <cell r="B1002" t="str">
            <v>0071650</v>
          </cell>
          <cell r="C1002" t="str">
            <v>Medical Vaccum Plant</v>
          </cell>
          <cell r="D1002" t="str">
            <v>Capital</v>
          </cell>
          <cell r="E1002" t="str">
            <v>CPTOTAL</v>
          </cell>
          <cell r="F1002" t="str">
            <v>Total Capital</v>
          </cell>
        </row>
        <row r="1003">
          <cell r="B1003" t="str">
            <v>0071651</v>
          </cell>
          <cell r="C1003" t="str">
            <v>Upgrade Water Services- RSCH</v>
          </cell>
          <cell r="D1003" t="str">
            <v>Capital</v>
          </cell>
          <cell r="E1003" t="str">
            <v>CPTOTAL</v>
          </cell>
          <cell r="F1003" t="str">
            <v>Total Capital</v>
          </cell>
        </row>
        <row r="1004">
          <cell r="B1004" t="str">
            <v>0071652</v>
          </cell>
          <cell r="C1004" t="str">
            <v>Upgrade cold Storage Unit- Catering Block</v>
          </cell>
          <cell r="D1004" t="str">
            <v>Capital</v>
          </cell>
          <cell r="E1004" t="str">
            <v>CPTOTAL</v>
          </cell>
          <cell r="F1004" t="str">
            <v>Total Capital</v>
          </cell>
        </row>
        <row r="1005">
          <cell r="B1005" t="str">
            <v>0071653</v>
          </cell>
          <cell r="C1005" t="str">
            <v>Upgrade Electrical Sub-Mains- RSCH</v>
          </cell>
          <cell r="D1005" t="str">
            <v>Capital</v>
          </cell>
          <cell r="E1005" t="str">
            <v>CPTOTAL</v>
          </cell>
          <cell r="F1005" t="str">
            <v>Total Capital</v>
          </cell>
        </row>
        <row r="1006">
          <cell r="B1006" t="str">
            <v>0071654</v>
          </cell>
          <cell r="C1006" t="str">
            <v>Replace Nurse Call System</v>
          </cell>
          <cell r="D1006" t="str">
            <v>Capital</v>
          </cell>
          <cell r="E1006" t="str">
            <v>CPTOTAL</v>
          </cell>
          <cell r="F1006" t="str">
            <v>Total Capital</v>
          </cell>
        </row>
        <row r="1007">
          <cell r="B1007" t="str">
            <v>0071655</v>
          </cell>
          <cell r="C1007" t="str">
            <v>Chiller Replacement- Trust Wide</v>
          </cell>
          <cell r="D1007" t="str">
            <v>Capital</v>
          </cell>
          <cell r="E1007" t="str">
            <v>CPTOTAL</v>
          </cell>
          <cell r="F1007" t="str">
            <v>Total Capital</v>
          </cell>
        </row>
        <row r="1008">
          <cell r="B1008" t="str">
            <v>0071658</v>
          </cell>
          <cell r="C1008" t="str">
            <v>Data Warehouse</v>
          </cell>
          <cell r="D1008" t="str">
            <v>Capital</v>
          </cell>
          <cell r="E1008" t="str">
            <v>CPTOTAL</v>
          </cell>
          <cell r="F1008" t="str">
            <v>Total Capital</v>
          </cell>
        </row>
        <row r="1009">
          <cell r="B1009" t="str">
            <v>0071660</v>
          </cell>
          <cell r="C1009" t="str">
            <v>PAS License Expansion</v>
          </cell>
          <cell r="D1009" t="str">
            <v>Capital</v>
          </cell>
          <cell r="E1009" t="str">
            <v>CPTOTAL</v>
          </cell>
          <cell r="F1009" t="str">
            <v>Total Capital</v>
          </cell>
        </row>
        <row r="1010">
          <cell r="B1010" t="str">
            <v>0071661</v>
          </cell>
          <cell r="C1010" t="str">
            <v>Wi-Fi Pilots</v>
          </cell>
          <cell r="D1010" t="str">
            <v>Capital</v>
          </cell>
          <cell r="E1010" t="str">
            <v>CPTOTAL</v>
          </cell>
          <cell r="F1010" t="str">
            <v>Total Capital</v>
          </cell>
        </row>
        <row r="1011">
          <cell r="B1011" t="str">
            <v>0071662</v>
          </cell>
          <cell r="C1011" t="str">
            <v>Renal Dialysis Machines x6</v>
          </cell>
          <cell r="D1011" t="str">
            <v>Capital</v>
          </cell>
          <cell r="E1011" t="str">
            <v>CPTOTAL</v>
          </cell>
          <cell r="F1011" t="str">
            <v>Total Capital</v>
          </cell>
        </row>
        <row r="1012">
          <cell r="B1012" t="str">
            <v>0071667</v>
          </cell>
          <cell r="C1012" t="str">
            <v>Replacement Echo Machine</v>
          </cell>
          <cell r="D1012" t="str">
            <v>Capital</v>
          </cell>
          <cell r="E1012" t="str">
            <v>CPTOTAL</v>
          </cell>
          <cell r="F1012" t="str">
            <v>Total Capital</v>
          </cell>
        </row>
        <row r="1013">
          <cell r="B1013" t="str">
            <v>0071668</v>
          </cell>
          <cell r="C1013" t="str">
            <v>Video Assisted Thoracoscopic Surgery</v>
          </cell>
          <cell r="D1013" t="str">
            <v>Capital</v>
          </cell>
          <cell r="E1013" t="str">
            <v>CPTOTAL</v>
          </cell>
          <cell r="F1013" t="str">
            <v>Total Capital</v>
          </cell>
        </row>
        <row r="1014">
          <cell r="B1014" t="str">
            <v>0071671</v>
          </cell>
          <cell r="C1014" t="str">
            <v>Discreet Event Simulation 2008_09</v>
          </cell>
          <cell r="D1014" t="str">
            <v>Capital</v>
          </cell>
          <cell r="E1014" t="str">
            <v>CPTOTAL</v>
          </cell>
          <cell r="F1014" t="str">
            <v>Total Capital</v>
          </cell>
        </row>
        <row r="1015">
          <cell r="B1015" t="str">
            <v>0071673</v>
          </cell>
          <cell r="C1015" t="str">
            <v>IM&amp;T Virtualisation Servers</v>
          </cell>
          <cell r="D1015" t="str">
            <v>Capital</v>
          </cell>
          <cell r="E1015" t="str">
            <v>CPTOTAL</v>
          </cell>
          <cell r="F1015" t="str">
            <v>Total Capital</v>
          </cell>
        </row>
        <row r="1016">
          <cell r="B1016" t="str">
            <v>0071674</v>
          </cell>
          <cell r="C1016" t="str">
            <v>Pathology Servers 2008/09</v>
          </cell>
          <cell r="D1016" t="str">
            <v>Capital</v>
          </cell>
          <cell r="E1016" t="str">
            <v>CPTOTAL</v>
          </cell>
          <cell r="F1016" t="str">
            <v>Total Capital</v>
          </cell>
        </row>
        <row r="1017">
          <cell r="B1017" t="str">
            <v>0071675</v>
          </cell>
          <cell r="C1017" t="str">
            <v>Finance Servers 2008/09</v>
          </cell>
          <cell r="D1017" t="str">
            <v>Capital</v>
          </cell>
          <cell r="E1017" t="str">
            <v>CPTOTAL</v>
          </cell>
          <cell r="F1017" t="str">
            <v>Total Capital</v>
          </cell>
        </row>
        <row r="1018">
          <cell r="B1018" t="str">
            <v>0071676</v>
          </cell>
          <cell r="C1018" t="str">
            <v>Replacement PCs 2008/09</v>
          </cell>
          <cell r="D1018" t="str">
            <v>Capital</v>
          </cell>
          <cell r="E1018" t="str">
            <v>CPTOTAL</v>
          </cell>
          <cell r="F1018" t="str">
            <v>Total Capital</v>
          </cell>
        </row>
        <row r="1019">
          <cell r="B1019" t="str">
            <v>0071678</v>
          </cell>
          <cell r="C1019" t="str">
            <v>Switches &amp; Routers 2008/09</v>
          </cell>
          <cell r="D1019" t="str">
            <v>Capital</v>
          </cell>
          <cell r="E1019" t="str">
            <v>CPTOTAL</v>
          </cell>
          <cell r="F1019" t="str">
            <v>Total Capital</v>
          </cell>
        </row>
        <row r="1020">
          <cell r="B1020" t="str">
            <v>0071679</v>
          </cell>
          <cell r="C1020" t="str">
            <v>E-Mail Migration 2008/09</v>
          </cell>
          <cell r="D1020" t="str">
            <v>Capital</v>
          </cell>
          <cell r="E1020" t="str">
            <v>CPTOTAL</v>
          </cell>
          <cell r="F1020" t="str">
            <v>Total Capital</v>
          </cell>
        </row>
        <row r="1021">
          <cell r="B1021" t="str">
            <v>0071680</v>
          </cell>
          <cell r="C1021" t="str">
            <v>Active Directory 2008/09</v>
          </cell>
          <cell r="D1021" t="str">
            <v>Capital</v>
          </cell>
          <cell r="E1021" t="str">
            <v>CPTOTAL</v>
          </cell>
          <cell r="F1021" t="str">
            <v>Total Capital</v>
          </cell>
        </row>
        <row r="1022">
          <cell r="B1022" t="str">
            <v>0071681</v>
          </cell>
          <cell r="C1022" t="str">
            <v>3M Coding System</v>
          </cell>
          <cell r="D1022" t="str">
            <v>Capital</v>
          </cell>
          <cell r="E1022" t="str">
            <v>CPTOTAL</v>
          </cell>
          <cell r="F1022" t="str">
            <v>Total Capital</v>
          </cell>
        </row>
        <row r="1023">
          <cell r="B1023" t="str">
            <v>0071682</v>
          </cell>
          <cell r="C1023" t="str">
            <v>Medical Devices Database</v>
          </cell>
          <cell r="D1023" t="str">
            <v>Capital</v>
          </cell>
          <cell r="E1023" t="str">
            <v>CPTOTAL</v>
          </cell>
          <cell r="F1023" t="str">
            <v>Total Capital</v>
          </cell>
        </row>
        <row r="1024">
          <cell r="B1024" t="str">
            <v>0071683</v>
          </cell>
          <cell r="C1024" t="str">
            <v>Antenatal Screening Programme 2008-09</v>
          </cell>
          <cell r="D1024" t="str">
            <v>Capital</v>
          </cell>
          <cell r="E1024" t="str">
            <v>CPTOTAL</v>
          </cell>
          <cell r="F1024" t="str">
            <v>Total Capital</v>
          </cell>
        </row>
        <row r="1025">
          <cell r="B1025" t="str">
            <v>0071686</v>
          </cell>
          <cell r="C1025" t="str">
            <v xml:space="preserve"> Electronic Discharge Summaries</v>
          </cell>
          <cell r="D1025" t="str">
            <v>Capital</v>
          </cell>
          <cell r="E1025" t="str">
            <v>CPTOTAL</v>
          </cell>
          <cell r="F1025" t="str">
            <v>Total Capital</v>
          </cell>
        </row>
        <row r="1026">
          <cell r="B1026" t="str">
            <v>0071687</v>
          </cell>
          <cell r="C1026" t="str">
            <v>Maternity Interfaces</v>
          </cell>
          <cell r="D1026" t="str">
            <v>Capital</v>
          </cell>
          <cell r="E1026" t="str">
            <v>CPTOTAL</v>
          </cell>
          <cell r="F1026" t="str">
            <v>Total Capital</v>
          </cell>
        </row>
        <row r="1027">
          <cell r="B1027" t="str">
            <v>0071688</v>
          </cell>
          <cell r="C1027" t="str">
            <v>JAC Upgrade</v>
          </cell>
          <cell r="D1027" t="str">
            <v>Capital</v>
          </cell>
          <cell r="E1027" t="str">
            <v>CPTOTAL</v>
          </cell>
          <cell r="F1027" t="str">
            <v>Total Capital</v>
          </cell>
        </row>
        <row r="1028">
          <cell r="B1028" t="str">
            <v>0071689</v>
          </cell>
          <cell r="C1028" t="str">
            <v>Theatre System (Fees)</v>
          </cell>
          <cell r="D1028" t="str">
            <v>Capital</v>
          </cell>
          <cell r="E1028" t="str">
            <v>CPTOTAL</v>
          </cell>
          <cell r="F1028" t="str">
            <v>Total Capital</v>
          </cell>
        </row>
        <row r="1029">
          <cell r="B1029" t="str">
            <v>0071691</v>
          </cell>
          <cell r="C1029" t="str">
            <v>Lesion Generator</v>
          </cell>
          <cell r="D1029" t="str">
            <v>Capital</v>
          </cell>
          <cell r="E1029" t="str">
            <v>CPTOTAL</v>
          </cell>
          <cell r="F1029" t="str">
            <v>Total Capital</v>
          </cell>
        </row>
        <row r="1030">
          <cell r="B1030" t="str">
            <v>0071693</v>
          </cell>
          <cell r="C1030" t="str">
            <v>Theatre Drills: PRH</v>
          </cell>
          <cell r="D1030" t="str">
            <v>Capital</v>
          </cell>
          <cell r="E1030" t="str">
            <v>CPTOTAL</v>
          </cell>
          <cell r="F1030" t="str">
            <v>Total Capital</v>
          </cell>
        </row>
        <row r="1031">
          <cell r="B1031" t="str">
            <v>0071695</v>
          </cell>
          <cell r="C1031" t="str">
            <v>Tower 8 Refurbishment</v>
          </cell>
          <cell r="D1031" t="str">
            <v>Capital</v>
          </cell>
          <cell r="E1031" t="str">
            <v>CPTOTAL</v>
          </cell>
          <cell r="F1031" t="str">
            <v>Total Capital</v>
          </cell>
        </row>
        <row r="1032">
          <cell r="B1032" t="str">
            <v>0071699</v>
          </cell>
          <cell r="C1032" t="str">
            <v>Cardiac Beds Reconfiguration</v>
          </cell>
          <cell r="D1032" t="str">
            <v>Capital</v>
          </cell>
          <cell r="E1032" t="str">
            <v>CPTOTAL</v>
          </cell>
          <cell r="F1032" t="str">
            <v>Total Capital</v>
          </cell>
        </row>
        <row r="1033">
          <cell r="B1033" t="str">
            <v>0071701</v>
          </cell>
          <cell r="C1033" t="str">
            <v>Weighing Equipment</v>
          </cell>
          <cell r="D1033" t="str">
            <v>Capital</v>
          </cell>
          <cell r="E1033" t="str">
            <v>CPTOTAL</v>
          </cell>
          <cell r="F1033" t="str">
            <v>Total Capital</v>
          </cell>
        </row>
        <row r="1034">
          <cell r="B1034" t="str">
            <v>0071702</v>
          </cell>
          <cell r="C1034" t="str">
            <v>Lease Buy-out</v>
          </cell>
          <cell r="D1034" t="str">
            <v>Capital</v>
          </cell>
          <cell r="E1034" t="str">
            <v>CPTOTAL</v>
          </cell>
          <cell r="F1034" t="str">
            <v>Total Capital</v>
          </cell>
        </row>
        <row r="1035">
          <cell r="B1035" t="str">
            <v>0071703</v>
          </cell>
          <cell r="C1035" t="str">
            <v>Pulse Oximeters</v>
          </cell>
          <cell r="D1035" t="str">
            <v>Capital</v>
          </cell>
          <cell r="E1035" t="str">
            <v>CPTOTAL</v>
          </cell>
          <cell r="F1035" t="str">
            <v>Total Capital</v>
          </cell>
        </row>
        <row r="1036">
          <cell r="B1036" t="str">
            <v>0071704</v>
          </cell>
          <cell r="C1036" t="str">
            <v>Sphygmometers</v>
          </cell>
          <cell r="D1036" t="str">
            <v>Capital</v>
          </cell>
          <cell r="E1036" t="str">
            <v>CPTOTAL</v>
          </cell>
          <cell r="F1036" t="str">
            <v>Total Capital</v>
          </cell>
        </row>
        <row r="1037">
          <cell r="B1037" t="str">
            <v>0071705</v>
          </cell>
          <cell r="C1037" t="str">
            <v>Anaesthesia Ventilators</v>
          </cell>
          <cell r="D1037" t="str">
            <v>Capital</v>
          </cell>
          <cell r="E1037" t="str">
            <v>CPTOTAL</v>
          </cell>
          <cell r="F1037" t="str">
            <v>Total Capital</v>
          </cell>
        </row>
        <row r="1038">
          <cell r="B1038" t="str">
            <v>0071706</v>
          </cell>
          <cell r="C1038" t="str">
            <v>Bedside Foetal Monitors</v>
          </cell>
          <cell r="D1038" t="str">
            <v>Capital</v>
          </cell>
          <cell r="E1038" t="str">
            <v>CPTOTAL</v>
          </cell>
          <cell r="F1038" t="str">
            <v>Total Capital</v>
          </cell>
        </row>
        <row r="1039">
          <cell r="B1039" t="str">
            <v>0071708</v>
          </cell>
          <cell r="C1039" t="str">
            <v>Monitors, Telemetric, Electrocardiolography</v>
          </cell>
          <cell r="D1039" t="str">
            <v>Capital</v>
          </cell>
          <cell r="E1039" t="str">
            <v>CPTOTAL</v>
          </cell>
          <cell r="F1039" t="str">
            <v>Total Capital</v>
          </cell>
        </row>
        <row r="1040">
          <cell r="B1040" t="str">
            <v>0071709</v>
          </cell>
          <cell r="C1040" t="str">
            <v>Multiparameter Monitor</v>
          </cell>
          <cell r="D1040" t="str">
            <v>Capital</v>
          </cell>
          <cell r="E1040" t="str">
            <v>CPTOTAL</v>
          </cell>
          <cell r="F1040" t="str">
            <v>Total Capital</v>
          </cell>
        </row>
        <row r="1041">
          <cell r="B1041" t="str">
            <v>0071710</v>
          </cell>
          <cell r="C1041" t="str">
            <v>Transport Ventilators</v>
          </cell>
          <cell r="D1041" t="str">
            <v>Capital</v>
          </cell>
          <cell r="E1041" t="str">
            <v>CPTOTAL</v>
          </cell>
          <cell r="F1041" t="str">
            <v>Total Capital</v>
          </cell>
        </row>
        <row r="1042">
          <cell r="B1042" t="str">
            <v>0071711</v>
          </cell>
          <cell r="C1042" t="str">
            <v>Incubators</v>
          </cell>
          <cell r="D1042" t="str">
            <v>Capital</v>
          </cell>
          <cell r="E1042" t="str">
            <v>CPTOTAL</v>
          </cell>
          <cell r="F1042" t="str">
            <v>Total Capital</v>
          </cell>
        </row>
        <row r="1043">
          <cell r="B1043" t="str">
            <v>0071712</v>
          </cell>
          <cell r="C1043" t="str">
            <v>Monitors, Bedside</v>
          </cell>
          <cell r="D1043" t="str">
            <v>Capital</v>
          </cell>
          <cell r="E1043" t="str">
            <v>CPTOTAL</v>
          </cell>
          <cell r="F1043" t="str">
            <v>Total Capital</v>
          </cell>
        </row>
        <row r="1044">
          <cell r="B1044" t="str">
            <v>0071715</v>
          </cell>
          <cell r="C1044" t="str">
            <v>Electrosurgical Units</v>
          </cell>
          <cell r="D1044" t="str">
            <v>Capital</v>
          </cell>
          <cell r="E1044" t="str">
            <v>CPTOTAL</v>
          </cell>
          <cell r="F1044" t="str">
            <v>Total Capital</v>
          </cell>
        </row>
        <row r="1045">
          <cell r="B1045" t="str">
            <v>0071716</v>
          </cell>
          <cell r="C1045" t="str">
            <v>Operating Tables</v>
          </cell>
          <cell r="D1045" t="str">
            <v>Capital</v>
          </cell>
          <cell r="E1045" t="str">
            <v>CPTOTAL</v>
          </cell>
          <cell r="F1045" t="str">
            <v>Total Capital</v>
          </cell>
        </row>
        <row r="1046">
          <cell r="B1046" t="str">
            <v>0071717</v>
          </cell>
          <cell r="C1046" t="str">
            <v>Electrocardiographs</v>
          </cell>
          <cell r="D1046" t="str">
            <v>Capital</v>
          </cell>
          <cell r="E1046" t="str">
            <v>CPTOTAL</v>
          </cell>
          <cell r="F1046" t="str">
            <v>Total Capital</v>
          </cell>
        </row>
        <row r="1047">
          <cell r="B1047" t="str">
            <v>0071727</v>
          </cell>
          <cell r="C1047" t="str">
            <v>Anaesthesia Unit Ventilator &amp; Monitors</v>
          </cell>
          <cell r="D1047" t="str">
            <v>Capital</v>
          </cell>
          <cell r="E1047" t="str">
            <v>CPTOTAL</v>
          </cell>
          <cell r="F1047" t="str">
            <v>Total Capital</v>
          </cell>
        </row>
        <row r="1048">
          <cell r="B1048" t="str">
            <v>0071729</v>
          </cell>
          <cell r="C1048" t="str">
            <v>Central Station</v>
          </cell>
          <cell r="D1048" t="str">
            <v>Capital</v>
          </cell>
          <cell r="E1048" t="str">
            <v>CPTOTAL</v>
          </cell>
          <cell r="F1048" t="str">
            <v>Total Capital</v>
          </cell>
        </row>
        <row r="1049">
          <cell r="B1049" t="str">
            <v>0071730</v>
          </cell>
          <cell r="C1049" t="str">
            <v>Haemofiltration Units</v>
          </cell>
          <cell r="D1049" t="str">
            <v>Capital</v>
          </cell>
          <cell r="E1049" t="str">
            <v>CPTOTAL</v>
          </cell>
          <cell r="F1049" t="str">
            <v>Total Capital</v>
          </cell>
        </row>
        <row r="1050">
          <cell r="B1050" t="str">
            <v>0071731</v>
          </cell>
          <cell r="C1050" t="str">
            <v>Cryosurgical Units</v>
          </cell>
          <cell r="D1050" t="str">
            <v>Capital</v>
          </cell>
          <cell r="E1050" t="str">
            <v>CPTOTAL</v>
          </cell>
          <cell r="F1050" t="str">
            <v>Total Capital</v>
          </cell>
        </row>
        <row r="1051">
          <cell r="B1051" t="str">
            <v>0071732</v>
          </cell>
          <cell r="C1051" t="str">
            <v>Heart Lung Equipment</v>
          </cell>
          <cell r="D1051" t="str">
            <v>Capital</v>
          </cell>
          <cell r="E1051" t="str">
            <v>CPTOTAL</v>
          </cell>
          <cell r="F1051" t="str">
            <v>Total Capital</v>
          </cell>
        </row>
        <row r="1052">
          <cell r="B1052" t="str">
            <v>0071733</v>
          </cell>
          <cell r="C1052" t="str">
            <v>Bed Matresses</v>
          </cell>
          <cell r="D1052" t="str">
            <v>Capital</v>
          </cell>
          <cell r="E1052" t="str">
            <v>CPTOTAL</v>
          </cell>
          <cell r="F1052" t="str">
            <v>Total Capital</v>
          </cell>
        </row>
        <row r="1053">
          <cell r="B1053" t="str">
            <v>0071734</v>
          </cell>
          <cell r="C1053" t="str">
            <v>SSD Steriliser</v>
          </cell>
          <cell r="D1053" t="str">
            <v>Capital</v>
          </cell>
          <cell r="E1053" t="str">
            <v>CPTOTAL</v>
          </cell>
          <cell r="F1053" t="str">
            <v>Total Capital</v>
          </cell>
        </row>
        <row r="1054">
          <cell r="B1054" t="str">
            <v>0071735</v>
          </cell>
          <cell r="C1054" t="str">
            <v>Ureteroscopes</v>
          </cell>
          <cell r="D1054" t="str">
            <v>Capital</v>
          </cell>
          <cell r="E1054" t="str">
            <v>CPTOTAL</v>
          </cell>
          <cell r="F1054" t="str">
            <v>Total Capital</v>
          </cell>
        </row>
        <row r="1055">
          <cell r="B1055" t="str">
            <v>0071736</v>
          </cell>
          <cell r="C1055" t="str">
            <v>Balance Assessment Equipment</v>
          </cell>
          <cell r="D1055" t="str">
            <v>Capital</v>
          </cell>
          <cell r="E1055" t="str">
            <v>CPTOTAL</v>
          </cell>
          <cell r="F1055" t="str">
            <v>Total Capital</v>
          </cell>
        </row>
        <row r="1056">
          <cell r="B1056" t="str">
            <v>0071737</v>
          </cell>
          <cell r="C1056" t="str">
            <v>Theatre Stack System</v>
          </cell>
          <cell r="D1056" t="str">
            <v>Capital</v>
          </cell>
          <cell r="E1056" t="str">
            <v>CPTOTAL</v>
          </cell>
          <cell r="F1056" t="str">
            <v>Total Capital</v>
          </cell>
        </row>
        <row r="1057">
          <cell r="B1057" t="str">
            <v>0071740</v>
          </cell>
          <cell r="C1057" t="str">
            <v>Auto Claving Tins</v>
          </cell>
          <cell r="D1057" t="str">
            <v>Capital</v>
          </cell>
          <cell r="E1057" t="str">
            <v>CPTOTAL</v>
          </cell>
          <cell r="F1057" t="str">
            <v>Total Capital</v>
          </cell>
        </row>
        <row r="1058">
          <cell r="B1058" t="str">
            <v>0071742</v>
          </cell>
          <cell r="C1058" t="str">
            <v>EUS Scope</v>
          </cell>
          <cell r="D1058" t="str">
            <v>Capital</v>
          </cell>
          <cell r="E1058" t="str">
            <v>CPTOTAL</v>
          </cell>
          <cell r="F1058" t="str">
            <v>Total Capital</v>
          </cell>
        </row>
        <row r="1059">
          <cell r="B1059" t="str">
            <v>0071743</v>
          </cell>
          <cell r="C1059" t="str">
            <v>Omnitract Equipment</v>
          </cell>
          <cell r="D1059" t="str">
            <v>Capital</v>
          </cell>
          <cell r="E1059" t="str">
            <v>CPTOTAL</v>
          </cell>
          <cell r="F1059" t="str">
            <v>Total Capital</v>
          </cell>
        </row>
        <row r="1060">
          <cell r="B1060" t="str">
            <v>0071744</v>
          </cell>
          <cell r="C1060" t="str">
            <v>Cath Lab EP Equipment</v>
          </cell>
          <cell r="D1060" t="str">
            <v>Capital</v>
          </cell>
          <cell r="E1060" t="str">
            <v>CPTOTAL</v>
          </cell>
          <cell r="F1060" t="str">
            <v>Total Capital</v>
          </cell>
        </row>
        <row r="1061">
          <cell r="B1061" t="str">
            <v>0071746</v>
          </cell>
          <cell r="C1061" t="str">
            <v>Dialysis Machines Bexhill (x7)</v>
          </cell>
          <cell r="D1061" t="str">
            <v>Capital</v>
          </cell>
          <cell r="E1061" t="str">
            <v>CPTOTAL</v>
          </cell>
          <cell r="F1061" t="str">
            <v>Total Capital</v>
          </cell>
        </row>
        <row r="1062">
          <cell r="B1062" t="str">
            <v>0071747</v>
          </cell>
          <cell r="C1062" t="str">
            <v>Emax Drill System</v>
          </cell>
          <cell r="D1062" t="str">
            <v>Capital</v>
          </cell>
          <cell r="E1062" t="str">
            <v>CPTOTAL</v>
          </cell>
          <cell r="F1062" t="str">
            <v>Total Capital</v>
          </cell>
        </row>
        <row r="1063">
          <cell r="B1063" t="str">
            <v>0071748</v>
          </cell>
          <cell r="C1063" t="str">
            <v>Transcutaneous Electrode</v>
          </cell>
          <cell r="D1063" t="str">
            <v>Capital</v>
          </cell>
          <cell r="E1063" t="str">
            <v>CPTOTAL</v>
          </cell>
          <cell r="F1063" t="str">
            <v>Total Capital</v>
          </cell>
        </row>
        <row r="1064">
          <cell r="B1064" t="str">
            <v>0071749</v>
          </cell>
          <cell r="C1064" t="str">
            <v>Neonatal Masimo Module</v>
          </cell>
          <cell r="D1064" t="str">
            <v>Capital</v>
          </cell>
          <cell r="E1064" t="str">
            <v>CPTOTAL</v>
          </cell>
          <cell r="F1064" t="str">
            <v>Total Capital</v>
          </cell>
        </row>
        <row r="1065">
          <cell r="B1065" t="str">
            <v>0071750</v>
          </cell>
          <cell r="C1065" t="str">
            <v>Stephanie Ventilator</v>
          </cell>
          <cell r="D1065" t="str">
            <v>Capital</v>
          </cell>
          <cell r="E1065" t="str">
            <v>CPTOTAL</v>
          </cell>
          <cell r="F1065" t="str">
            <v>Total Capital</v>
          </cell>
        </row>
        <row r="1066">
          <cell r="B1066" t="str">
            <v>0071751</v>
          </cell>
          <cell r="C1066" t="str">
            <v>Entroy Arjo Hoist Equipment</v>
          </cell>
          <cell r="D1066" t="str">
            <v>Capital</v>
          </cell>
          <cell r="E1066" t="str">
            <v>CPTOTAL</v>
          </cell>
          <cell r="F1066" t="str">
            <v>Total Capital</v>
          </cell>
        </row>
        <row r="1067">
          <cell r="B1067" t="str">
            <v>0071752</v>
          </cell>
          <cell r="C1067" t="str">
            <v>Optical Coherence Tomography</v>
          </cell>
          <cell r="D1067" t="str">
            <v>Capital</v>
          </cell>
          <cell r="E1067" t="str">
            <v>CPTOTAL</v>
          </cell>
          <cell r="F1067" t="str">
            <v>Total Capital</v>
          </cell>
        </row>
        <row r="1068">
          <cell r="B1068" t="str">
            <v>0071753</v>
          </cell>
          <cell r="C1068" t="str">
            <v>Renal Dialysis Monitor</v>
          </cell>
          <cell r="D1068" t="str">
            <v>Capital</v>
          </cell>
          <cell r="E1068" t="str">
            <v>CPTOTAL</v>
          </cell>
          <cell r="F1068" t="str">
            <v>Total Capital</v>
          </cell>
        </row>
        <row r="1069">
          <cell r="B1069" t="str">
            <v>0071754</v>
          </cell>
          <cell r="C1069" t="str">
            <v>Vermop Cleaning System Equipment PRH</v>
          </cell>
          <cell r="D1069" t="str">
            <v>Capital</v>
          </cell>
          <cell r="E1069" t="str">
            <v>CPTOTAL</v>
          </cell>
          <cell r="F1069" t="str">
            <v>Total Capital</v>
          </cell>
        </row>
        <row r="1070">
          <cell r="B1070" t="str">
            <v>0071755</v>
          </cell>
          <cell r="C1070" t="str">
            <v>Micromaxx Portable Ultrasound Machine</v>
          </cell>
          <cell r="D1070" t="str">
            <v>Capital</v>
          </cell>
          <cell r="E1070" t="str">
            <v>CPTOTAL</v>
          </cell>
          <cell r="F1070" t="str">
            <v>Total Capital</v>
          </cell>
        </row>
        <row r="1071">
          <cell r="B1071" t="str">
            <v>0071760</v>
          </cell>
          <cell r="C1071" t="str">
            <v>Large Format Poster Printer</v>
          </cell>
          <cell r="D1071" t="str">
            <v>Capital</v>
          </cell>
          <cell r="E1071" t="str">
            <v>CPTOTAL</v>
          </cell>
          <cell r="F1071" t="str">
            <v>Total Capital</v>
          </cell>
        </row>
        <row r="1072">
          <cell r="B1072" t="str">
            <v>0071761</v>
          </cell>
          <cell r="C1072" t="str">
            <v>Medcon Cardiac Workstations x2</v>
          </cell>
          <cell r="D1072" t="str">
            <v>Capital</v>
          </cell>
          <cell r="E1072" t="str">
            <v>CPTOTAL</v>
          </cell>
          <cell r="F1072" t="str">
            <v>Total Capital</v>
          </cell>
        </row>
        <row r="1073">
          <cell r="B1073" t="str">
            <v>0071763</v>
          </cell>
          <cell r="C1073" t="str">
            <v>PRH Electric Beds</v>
          </cell>
          <cell r="D1073" t="str">
            <v>Capital</v>
          </cell>
          <cell r="E1073" t="str">
            <v>CPTOTAL</v>
          </cell>
          <cell r="F1073" t="str">
            <v>Total Capital</v>
          </cell>
        </row>
        <row r="1074">
          <cell r="B1074" t="str">
            <v>0071764</v>
          </cell>
          <cell r="C1074" t="str">
            <v>VNUS Equipment</v>
          </cell>
          <cell r="D1074" t="str">
            <v>Capital</v>
          </cell>
          <cell r="E1074" t="str">
            <v>CPTOTAL</v>
          </cell>
          <cell r="F1074" t="str">
            <v>Total Capital</v>
          </cell>
        </row>
        <row r="1075">
          <cell r="B1075" t="str">
            <v>0071774</v>
          </cell>
          <cell r="C1075" t="str">
            <v>Topical Negative Pressure Wound Pumps</v>
          </cell>
          <cell r="D1075" t="str">
            <v>Capital</v>
          </cell>
          <cell r="E1075" t="str">
            <v>CPTOTAL</v>
          </cell>
          <cell r="F1075" t="str">
            <v>Total Capital</v>
          </cell>
        </row>
        <row r="1076">
          <cell r="B1076" t="str">
            <v>0071776</v>
          </cell>
          <cell r="C1076" t="str">
            <v>Bladder Scanners x6</v>
          </cell>
          <cell r="D1076" t="str">
            <v>Capital</v>
          </cell>
          <cell r="E1076" t="str">
            <v>CPTOTAL</v>
          </cell>
          <cell r="F1076" t="str">
            <v>Total Capital</v>
          </cell>
        </row>
        <row r="1077">
          <cell r="B1077" t="str">
            <v>0071816</v>
          </cell>
          <cell r="C1077" t="str">
            <v>Arjo Hoist HPNC</v>
          </cell>
          <cell r="D1077" t="str">
            <v>Capital</v>
          </cell>
          <cell r="E1077" t="str">
            <v>CPTOTAL</v>
          </cell>
          <cell r="F1077" t="str">
            <v>Total Capital</v>
          </cell>
        </row>
        <row r="1078">
          <cell r="B1078" t="str">
            <v>0071817</v>
          </cell>
          <cell r="C1078" t="str">
            <v>BIS EEG Monitors x2 for HPNC ITU</v>
          </cell>
          <cell r="D1078" t="str">
            <v>Capital</v>
          </cell>
          <cell r="E1078" t="str">
            <v>CPTOTAL</v>
          </cell>
          <cell r="F1078" t="str">
            <v>Total Capital</v>
          </cell>
        </row>
        <row r="1079">
          <cell r="B1079" t="str">
            <v>0071824</v>
          </cell>
          <cell r="C1079" t="str">
            <v>Pathology Equipment</v>
          </cell>
          <cell r="D1079" t="str">
            <v>Capital</v>
          </cell>
          <cell r="E1079" t="str">
            <v>CPTOTAL</v>
          </cell>
          <cell r="F1079" t="str">
            <v>Total Capital</v>
          </cell>
        </row>
        <row r="1080">
          <cell r="B1080" t="str">
            <v>0071830</v>
          </cell>
          <cell r="C1080" t="str">
            <v>Automated Urinalysis in Microbiology</v>
          </cell>
          <cell r="D1080" t="str">
            <v>Capital</v>
          </cell>
          <cell r="E1080" t="str">
            <v>CPTOTAL</v>
          </cell>
          <cell r="F1080" t="str">
            <v>Total Capital</v>
          </cell>
        </row>
        <row r="1081">
          <cell r="B1081" t="str">
            <v>0071833</v>
          </cell>
          <cell r="C1081" t="str">
            <v xml:space="preserve"> Vivid 1 Echo Machine ITU PRH</v>
          </cell>
          <cell r="D1081" t="str">
            <v>Capital</v>
          </cell>
          <cell r="E1081" t="str">
            <v>CPTOTAL</v>
          </cell>
          <cell r="F1081" t="str">
            <v>Total Capital</v>
          </cell>
        </row>
        <row r="1082">
          <cell r="B1082" t="str">
            <v>0071839</v>
          </cell>
          <cell r="C1082" t="str">
            <v>2x Replacement Retinal Cameras</v>
          </cell>
          <cell r="D1082" t="str">
            <v>Capital</v>
          </cell>
          <cell r="E1082" t="str">
            <v>CPTOTAL</v>
          </cell>
          <cell r="F1082" t="str">
            <v>Total Capital</v>
          </cell>
        </row>
        <row r="1083">
          <cell r="B1083" t="str">
            <v>0071842</v>
          </cell>
          <cell r="C1083" t="str">
            <v>Eclipse 50i Microscope- HPNC</v>
          </cell>
          <cell r="D1083" t="str">
            <v>Capital</v>
          </cell>
          <cell r="E1083" t="str">
            <v>CPTOTAL</v>
          </cell>
          <cell r="F1083" t="str">
            <v>Total Capital</v>
          </cell>
        </row>
        <row r="1084">
          <cell r="B1084" t="str">
            <v>0071847</v>
          </cell>
          <cell r="C1084" t="str">
            <v>Neonatal &amp; Paediatric Resuscitation Simulators</v>
          </cell>
          <cell r="D1084" t="str">
            <v>Capital</v>
          </cell>
          <cell r="E1084" t="str">
            <v>CPTOTAL</v>
          </cell>
          <cell r="F1084" t="str">
            <v>Total Capital</v>
          </cell>
        </row>
        <row r="1085">
          <cell r="B1085" t="str">
            <v>0071848</v>
          </cell>
          <cell r="C1085" t="str">
            <v>Smart Diesel Cars X 2</v>
          </cell>
          <cell r="D1085" t="str">
            <v>Capital</v>
          </cell>
          <cell r="E1085" t="str">
            <v>CPTOTAL</v>
          </cell>
          <cell r="F1085" t="str">
            <v>Total Capital</v>
          </cell>
        </row>
        <row r="1086">
          <cell r="B1086" t="str">
            <v>0071900</v>
          </cell>
          <cell r="C1086" t="str">
            <v>VISI- Lab Sleep System</v>
          </cell>
          <cell r="D1086" t="str">
            <v>Capital</v>
          </cell>
          <cell r="E1086" t="str">
            <v>CPTOTAL</v>
          </cell>
          <cell r="F1086" t="str">
            <v>Total Capital</v>
          </cell>
        </row>
        <row r="1087">
          <cell r="B1087" t="str">
            <v>0080000</v>
          </cell>
          <cell r="C1087" t="str">
            <v>General Purpose</v>
          </cell>
          <cell r="D1087" t="str">
            <v>Charitable Funds</v>
          </cell>
          <cell r="E1087" t="str">
            <v>RXHCHRT</v>
          </cell>
          <cell r="F1087" t="str">
            <v>Total Charitable Funds</v>
          </cell>
        </row>
        <row r="1088">
          <cell r="B1088" t="str">
            <v>0080001</v>
          </cell>
          <cell r="C1088" t="str">
            <v>Accident &amp; Emergency</v>
          </cell>
          <cell r="D1088" t="str">
            <v>Charitable Funds</v>
          </cell>
          <cell r="E1088" t="str">
            <v>RXHCHRT</v>
          </cell>
          <cell r="F1088" t="str">
            <v>Total Charitable Funds</v>
          </cell>
        </row>
        <row r="1089">
          <cell r="B1089" t="str">
            <v>0080002</v>
          </cell>
          <cell r="C1089" t="str">
            <v>A &amp; E Research Fund</v>
          </cell>
          <cell r="D1089" t="str">
            <v>Charitable Funds</v>
          </cell>
          <cell r="E1089" t="str">
            <v>RXHCHRT</v>
          </cell>
          <cell r="F1089" t="str">
            <v>Total Charitable Funds</v>
          </cell>
        </row>
        <row r="1090">
          <cell r="B1090" t="str">
            <v>0080003</v>
          </cell>
          <cell r="C1090" t="str">
            <v>Aids Research</v>
          </cell>
          <cell r="D1090" t="str">
            <v>Charitable Funds</v>
          </cell>
          <cell r="E1090" t="str">
            <v>RXHCHRT</v>
          </cell>
          <cell r="F1090" t="str">
            <v>Total Charitable Funds</v>
          </cell>
        </row>
        <row r="1091">
          <cell r="B1091" t="str">
            <v>0080004</v>
          </cell>
          <cell r="C1091" t="str">
            <v>Anaesthetics</v>
          </cell>
          <cell r="D1091" t="str">
            <v>Charitable Funds</v>
          </cell>
          <cell r="E1091" t="str">
            <v>RXHCHRT</v>
          </cell>
          <cell r="F1091" t="str">
            <v>Total Charitable Funds</v>
          </cell>
        </row>
        <row r="1092">
          <cell r="B1092" t="str">
            <v>0080005</v>
          </cell>
          <cell r="C1092" t="str">
            <v>Anaesthetics Staff Fund</v>
          </cell>
          <cell r="D1092" t="str">
            <v>Charitable Funds</v>
          </cell>
          <cell r="E1092" t="str">
            <v>RXHCHRT</v>
          </cell>
          <cell r="F1092" t="str">
            <v>Total Charitable Funds</v>
          </cell>
        </row>
        <row r="1093">
          <cell r="B1093" t="str">
            <v>0080007</v>
          </cell>
          <cell r="C1093" t="str">
            <v>Biochemistry</v>
          </cell>
          <cell r="D1093" t="str">
            <v>Charitable Funds</v>
          </cell>
          <cell r="E1093" t="str">
            <v>RXHCHRT</v>
          </cell>
          <cell r="F1093" t="str">
            <v>Total Charitable Funds</v>
          </cell>
        </row>
        <row r="1094">
          <cell r="B1094" t="str">
            <v>0080008</v>
          </cell>
          <cell r="C1094" t="str">
            <v>Endoscopy Courses Fund</v>
          </cell>
          <cell r="D1094" t="str">
            <v>Charitable Funds</v>
          </cell>
          <cell r="E1094" t="str">
            <v>RXHCHRT</v>
          </cell>
          <cell r="F1094" t="str">
            <v>Total Charitable Funds</v>
          </cell>
        </row>
        <row r="1095">
          <cell r="B1095" t="str">
            <v>0080009</v>
          </cell>
          <cell r="C1095" t="str">
            <v>Breaking Bad News</v>
          </cell>
          <cell r="D1095" t="str">
            <v>Charitable Funds</v>
          </cell>
          <cell r="E1095" t="str">
            <v>RXHCHRT</v>
          </cell>
          <cell r="F1095" t="str">
            <v>Total Charitable Funds</v>
          </cell>
        </row>
        <row r="1096">
          <cell r="B1096" t="str">
            <v>0080010</v>
          </cell>
          <cell r="C1096" t="str">
            <v>Breast Screening</v>
          </cell>
          <cell r="D1096" t="str">
            <v>Charitable Funds</v>
          </cell>
          <cell r="E1096" t="str">
            <v>RXHCHRT</v>
          </cell>
          <cell r="F1096" t="str">
            <v>Total Charitable Funds</v>
          </cell>
        </row>
        <row r="1097">
          <cell r="B1097" t="str">
            <v>0080011</v>
          </cell>
          <cell r="C1097" t="str">
            <v>Park Centre for Breastcare</v>
          </cell>
          <cell r="D1097" t="str">
            <v>Charitable Funds</v>
          </cell>
          <cell r="E1097" t="str">
            <v>RXHCHRT</v>
          </cell>
          <cell r="F1097" t="str">
            <v>Total Charitable Funds</v>
          </cell>
        </row>
        <row r="1098">
          <cell r="B1098" t="str">
            <v>0080012</v>
          </cell>
          <cell r="C1098" t="str">
            <v>Vascular Ward Fund</v>
          </cell>
          <cell r="D1098" t="str">
            <v>Charitable Funds</v>
          </cell>
          <cell r="E1098" t="str">
            <v>RXHCHRT</v>
          </cell>
          <cell r="F1098" t="str">
            <v>Total Charitable Funds</v>
          </cell>
        </row>
        <row r="1099">
          <cell r="B1099" t="str">
            <v>0080013</v>
          </cell>
          <cell r="C1099" t="str">
            <v>Cancer</v>
          </cell>
          <cell r="D1099" t="str">
            <v>Charitable Funds</v>
          </cell>
          <cell r="E1099" t="str">
            <v>RXHCHRT</v>
          </cell>
          <cell r="F1099" t="str">
            <v>Total Charitable Funds</v>
          </cell>
        </row>
        <row r="1100">
          <cell r="B1100" t="str">
            <v>0080014</v>
          </cell>
          <cell r="C1100" t="str">
            <v>Cardiology</v>
          </cell>
          <cell r="D1100" t="str">
            <v>Charitable Funds</v>
          </cell>
          <cell r="E1100" t="str">
            <v>RXHCHRT</v>
          </cell>
          <cell r="F1100" t="str">
            <v>Total Charitable Funds</v>
          </cell>
        </row>
        <row r="1101">
          <cell r="B1101" t="str">
            <v>0080015</v>
          </cell>
          <cell r="C1101" t="str">
            <v>Cardiac Surgical Nurses Ward Fund</v>
          </cell>
          <cell r="D1101" t="str">
            <v>Charitable Funds</v>
          </cell>
          <cell r="E1101" t="str">
            <v>RXHCHRT</v>
          </cell>
          <cell r="F1101" t="str">
            <v>Total Charitable Funds</v>
          </cell>
        </row>
        <row r="1102">
          <cell r="B1102" t="str">
            <v>0080016</v>
          </cell>
          <cell r="C1102" t="str">
            <v>Level 6a Cardiac Unit</v>
          </cell>
          <cell r="D1102" t="str">
            <v>Charitable Funds</v>
          </cell>
          <cell r="E1102" t="str">
            <v>RXHCHRT</v>
          </cell>
          <cell r="F1102" t="str">
            <v>Total Charitable Funds</v>
          </cell>
        </row>
        <row r="1103">
          <cell r="B1103" t="str">
            <v>0080017</v>
          </cell>
          <cell r="C1103" t="str">
            <v>Chichester Ward</v>
          </cell>
          <cell r="D1103" t="str">
            <v>Charitable Funds</v>
          </cell>
          <cell r="E1103" t="str">
            <v>RXHCHRT</v>
          </cell>
          <cell r="F1103" t="str">
            <v>Total Charitable Funds</v>
          </cell>
        </row>
        <row r="1104">
          <cell r="B1104" t="str">
            <v>0080018</v>
          </cell>
          <cell r="C1104" t="str">
            <v xml:space="preserve"> Chaplaincy</v>
          </cell>
          <cell r="D1104" t="str">
            <v>Charitable Funds</v>
          </cell>
          <cell r="E1104" t="str">
            <v>RXHCHRT</v>
          </cell>
          <cell r="F1104" t="str">
            <v>Total Charitable Funds</v>
          </cell>
        </row>
        <row r="1105">
          <cell r="B1105" t="str">
            <v>0080019</v>
          </cell>
          <cell r="C1105" t="str">
            <v>Chemotherapy</v>
          </cell>
          <cell r="D1105" t="str">
            <v>Charitable Funds</v>
          </cell>
          <cell r="E1105" t="str">
            <v>RXHCHRT</v>
          </cell>
          <cell r="F1105" t="str">
            <v>Total Charitable Funds</v>
          </cell>
        </row>
        <row r="1106">
          <cell r="B1106" t="str">
            <v>0080020</v>
          </cell>
          <cell r="C1106" t="str">
            <v>Consultant Medical Staff</v>
          </cell>
          <cell r="D1106" t="str">
            <v>Charitable Funds</v>
          </cell>
          <cell r="E1106" t="str">
            <v>RXHCHRT</v>
          </cell>
          <cell r="F1106" t="str">
            <v>Total Charitable Funds</v>
          </cell>
        </row>
        <row r="1107">
          <cell r="B1107" t="str">
            <v>0080021</v>
          </cell>
          <cell r="C1107" t="str">
            <v>Nursing Development &amp; Research</v>
          </cell>
          <cell r="D1107" t="str">
            <v>Charitable Funds</v>
          </cell>
          <cell r="E1107" t="str">
            <v>RXHCHRT</v>
          </cell>
          <cell r="F1107" t="str">
            <v>Total Charitable Funds</v>
          </cell>
        </row>
        <row r="1108">
          <cell r="B1108" t="str">
            <v>0080022</v>
          </cell>
          <cell r="C1108" t="str">
            <v>Diabetic</v>
          </cell>
          <cell r="D1108" t="str">
            <v>Charitable Funds</v>
          </cell>
          <cell r="E1108" t="str">
            <v>RXHCHRT</v>
          </cell>
          <cell r="F1108" t="str">
            <v>Total Charitable Funds</v>
          </cell>
        </row>
        <row r="1109">
          <cell r="B1109" t="str">
            <v>0080023</v>
          </cell>
          <cell r="C1109" t="str">
            <v>Diabetes Nurses Education</v>
          </cell>
          <cell r="D1109" t="str">
            <v>Charitable Funds</v>
          </cell>
          <cell r="E1109" t="str">
            <v>RXHCHRT</v>
          </cell>
          <cell r="F1109" t="str">
            <v>Total Charitable Funds</v>
          </cell>
        </row>
        <row r="1110">
          <cell r="B1110" t="str">
            <v>0080024</v>
          </cell>
          <cell r="C1110" t="str">
            <v>Dietetic</v>
          </cell>
          <cell r="D1110" t="str">
            <v>Charitable Funds</v>
          </cell>
          <cell r="E1110" t="str">
            <v>RXHCHRT</v>
          </cell>
          <cell r="F1110" t="str">
            <v>Total Charitable Funds</v>
          </cell>
        </row>
        <row r="1111">
          <cell r="B1111" t="str">
            <v>0080025</v>
          </cell>
          <cell r="C1111" t="str">
            <v>Nurses - Rsch</v>
          </cell>
          <cell r="D1111" t="str">
            <v>Charitable Funds</v>
          </cell>
          <cell r="E1111" t="str">
            <v>RXHCHRT</v>
          </cell>
          <cell r="F1111" t="str">
            <v>Total Charitable Funds</v>
          </cell>
        </row>
        <row r="1112">
          <cell r="B1112" t="str">
            <v>0080026</v>
          </cell>
          <cell r="C1112" t="str">
            <v>Finance</v>
          </cell>
          <cell r="D1112" t="str">
            <v>Charitable Funds</v>
          </cell>
          <cell r="E1112" t="str">
            <v>RXHCHRT</v>
          </cell>
          <cell r="F1112" t="str">
            <v>Total Charitable Funds</v>
          </cell>
        </row>
        <row r="1113">
          <cell r="B1113" t="str">
            <v>0080027</v>
          </cell>
          <cell r="C1113" t="str">
            <v>Facilities</v>
          </cell>
          <cell r="D1113" t="str">
            <v>Charitable Funds</v>
          </cell>
          <cell r="E1113" t="str">
            <v>RXHCHRT</v>
          </cell>
          <cell r="F1113" t="str">
            <v>Total Charitable Funds</v>
          </cell>
        </row>
        <row r="1114">
          <cell r="B1114" t="str">
            <v>0080028</v>
          </cell>
          <cell r="C1114" t="str">
            <v>Gastroenterology</v>
          </cell>
          <cell r="D1114" t="str">
            <v>Charitable Funds</v>
          </cell>
          <cell r="E1114" t="str">
            <v>RXHCHRT</v>
          </cell>
          <cell r="F1114" t="str">
            <v>Total Charitable Funds</v>
          </cell>
        </row>
        <row r="1115">
          <cell r="B1115" t="str">
            <v>0080029</v>
          </cell>
          <cell r="C1115" t="str">
            <v>Facilities Staff Welfare Events Fund</v>
          </cell>
          <cell r="D1115" t="str">
            <v>Charitable Funds</v>
          </cell>
          <cell r="E1115" t="str">
            <v>RXHCHRT</v>
          </cell>
          <cell r="F1115" t="str">
            <v>Total Charitable Funds</v>
          </cell>
        </row>
        <row r="1116">
          <cell r="B1116" t="str">
            <v>0080030</v>
          </cell>
          <cell r="C1116" t="str">
            <v>Grant Ward</v>
          </cell>
          <cell r="D1116" t="str">
            <v>Charitable Funds</v>
          </cell>
          <cell r="E1116" t="str">
            <v>RXHCHRT</v>
          </cell>
          <cell r="F1116" t="str">
            <v>Total Charitable Funds</v>
          </cell>
        </row>
        <row r="1117">
          <cell r="B1117" t="str">
            <v>0080031</v>
          </cell>
          <cell r="C1117" t="str">
            <v>Grant Ward Education Fund</v>
          </cell>
          <cell r="D1117" t="str">
            <v>Charitable Funds</v>
          </cell>
          <cell r="E1117" t="str">
            <v>RXHCHRT</v>
          </cell>
          <cell r="F1117" t="str">
            <v>Total Charitable Funds</v>
          </cell>
        </row>
        <row r="1118">
          <cell r="B1118" t="str">
            <v>0080032</v>
          </cell>
          <cell r="C1118" t="str">
            <v>Gum Clinic</v>
          </cell>
          <cell r="D1118" t="str">
            <v>Charitable Funds</v>
          </cell>
          <cell r="E1118" t="str">
            <v>RXHCHRT</v>
          </cell>
          <cell r="F1118" t="str">
            <v>Total Charitable Funds</v>
          </cell>
        </row>
        <row r="1119">
          <cell r="B1119" t="str">
            <v>0080033</v>
          </cell>
          <cell r="C1119" t="str">
            <v>Health Advice Team Fund</v>
          </cell>
          <cell r="D1119" t="str">
            <v>Charitable Funds</v>
          </cell>
          <cell r="E1119" t="str">
            <v>RXHCHRT</v>
          </cell>
          <cell r="F1119" t="str">
            <v>Total Charitable Funds</v>
          </cell>
        </row>
        <row r="1120">
          <cell r="B1120" t="str">
            <v>0080034</v>
          </cell>
          <cell r="C1120" t="str">
            <v>Haematology Dept</v>
          </cell>
          <cell r="D1120" t="str">
            <v>Charitable Funds</v>
          </cell>
          <cell r="E1120" t="str">
            <v>RXHCHRT</v>
          </cell>
          <cell r="F1120" t="str">
            <v>Total Charitable Funds</v>
          </cell>
        </row>
        <row r="1121">
          <cell r="B1121" t="str">
            <v>0080035</v>
          </cell>
          <cell r="C1121" t="str">
            <v>Histology</v>
          </cell>
          <cell r="D1121" t="str">
            <v>Charitable Funds</v>
          </cell>
          <cell r="E1121" t="str">
            <v>RXHCHRT</v>
          </cell>
          <cell r="F1121" t="str">
            <v>Total Charitable Funds</v>
          </cell>
        </row>
        <row r="1122">
          <cell r="B1122" t="str">
            <v>0080036</v>
          </cell>
          <cell r="C1122" t="str">
            <v>Howard 1 Ward</v>
          </cell>
          <cell r="D1122" t="str">
            <v>Charitable Funds</v>
          </cell>
          <cell r="E1122" t="str">
            <v>RXHCHRT</v>
          </cell>
          <cell r="F1122" t="str">
            <v>Total Charitable Funds</v>
          </cell>
        </row>
        <row r="1123">
          <cell r="B1123" t="str">
            <v>0080037</v>
          </cell>
          <cell r="C1123" t="str">
            <v>Haematology/ Oncology Ward</v>
          </cell>
          <cell r="D1123" t="str">
            <v>Charitable Funds</v>
          </cell>
          <cell r="E1123" t="str">
            <v>RXHCHRT</v>
          </cell>
          <cell r="F1123" t="str">
            <v>Total Charitable Funds</v>
          </cell>
        </row>
        <row r="1124">
          <cell r="B1124" t="str">
            <v>0080038</v>
          </cell>
          <cell r="C1124" t="str">
            <v>Intensive Therapy Unit</v>
          </cell>
          <cell r="D1124" t="str">
            <v>Charitable Funds</v>
          </cell>
          <cell r="E1124" t="str">
            <v>RXHCHRT</v>
          </cell>
          <cell r="F1124" t="str">
            <v>Total Charitable Funds</v>
          </cell>
        </row>
        <row r="1125">
          <cell r="B1125" t="str">
            <v>0080039</v>
          </cell>
          <cell r="C1125" t="str">
            <v>Intensive Care Unit - Nurses</v>
          </cell>
          <cell r="D1125" t="str">
            <v>Charitable Funds</v>
          </cell>
          <cell r="E1125" t="str">
            <v>RXHCHRT</v>
          </cell>
          <cell r="F1125" t="str">
            <v>Total Charitable Funds</v>
          </cell>
        </row>
        <row r="1126">
          <cell r="B1126" t="str">
            <v>0080040</v>
          </cell>
          <cell r="C1126" t="str">
            <v>Jowers Ward Fund</v>
          </cell>
          <cell r="D1126" t="str">
            <v>Charitable Funds</v>
          </cell>
          <cell r="E1126" t="str">
            <v>RXHCHRT</v>
          </cell>
          <cell r="F1126" t="str">
            <v>Total Charitable Funds</v>
          </cell>
        </row>
        <row r="1127">
          <cell r="B1127" t="str">
            <v>0080041</v>
          </cell>
          <cell r="C1127" t="str">
            <v>Level 9A Ward-Digestive Diseases</v>
          </cell>
          <cell r="D1127" t="str">
            <v>Charitable Funds</v>
          </cell>
          <cell r="E1127" t="str">
            <v>RXHCHRT</v>
          </cell>
          <cell r="F1127" t="str">
            <v>Total Charitable Funds</v>
          </cell>
        </row>
        <row r="1128">
          <cell r="B1128" t="str">
            <v>0080042</v>
          </cell>
          <cell r="C1128" t="str">
            <v>Level 8A East</v>
          </cell>
          <cell r="D1128" t="str">
            <v>Charitable Funds</v>
          </cell>
          <cell r="E1128" t="str">
            <v>RXHCHRT</v>
          </cell>
          <cell r="F1128" t="str">
            <v>Total Charitable Funds</v>
          </cell>
        </row>
        <row r="1129">
          <cell r="B1129" t="str">
            <v>0080043</v>
          </cell>
          <cell r="C1129" t="str">
            <v>Level 8A West</v>
          </cell>
          <cell r="D1129" t="str">
            <v>Charitable Funds</v>
          </cell>
          <cell r="E1129" t="str">
            <v>RXHCHRT</v>
          </cell>
          <cell r="F1129" t="str">
            <v>Total Charitable Funds</v>
          </cell>
        </row>
        <row r="1130">
          <cell r="B1130" t="str">
            <v>0080044</v>
          </cell>
          <cell r="C1130" t="str">
            <v>Lionel Day</v>
          </cell>
          <cell r="D1130" t="str">
            <v>Charitable Funds</v>
          </cell>
          <cell r="E1130" t="str">
            <v>RXHCHRT</v>
          </cell>
          <cell r="F1130" t="str">
            <v>Total Charitable Funds</v>
          </cell>
        </row>
        <row r="1131">
          <cell r="B1131" t="str">
            <v>0080045</v>
          </cell>
          <cell r="C1131" t="str">
            <v>Medical Admissions Unit (Old Solomons)</v>
          </cell>
          <cell r="D1131" t="str">
            <v>Charitable Funds</v>
          </cell>
          <cell r="E1131" t="str">
            <v>RXHCHRT</v>
          </cell>
          <cell r="F1131" t="str">
            <v>Total Charitable Funds</v>
          </cell>
        </row>
        <row r="1132">
          <cell r="B1132" t="str">
            <v>0080046</v>
          </cell>
          <cell r="C1132" t="str">
            <v>Medical Photography</v>
          </cell>
          <cell r="D1132" t="str">
            <v>Charitable Funds</v>
          </cell>
          <cell r="E1132" t="str">
            <v>RXHCHRT</v>
          </cell>
          <cell r="F1132" t="str">
            <v>Total Charitable Funds</v>
          </cell>
        </row>
        <row r="1133">
          <cell r="B1133" t="str">
            <v>0080047</v>
          </cell>
          <cell r="C1133" t="str">
            <v>Medical Physics Development</v>
          </cell>
          <cell r="D1133" t="str">
            <v>Charitable Funds</v>
          </cell>
          <cell r="E1133" t="str">
            <v>RXHCHRT</v>
          </cell>
          <cell r="F1133" t="str">
            <v>Total Charitable Funds</v>
          </cell>
        </row>
        <row r="1134">
          <cell r="B1134" t="str">
            <v>0080048</v>
          </cell>
          <cell r="C1134" t="str">
            <v>Medical Records/Opd  Rsch</v>
          </cell>
          <cell r="D1134" t="str">
            <v>Charitable Funds</v>
          </cell>
          <cell r="E1134" t="str">
            <v>RXHCHRT</v>
          </cell>
          <cell r="F1134" t="str">
            <v>Total Charitable Funds</v>
          </cell>
        </row>
        <row r="1135">
          <cell r="B1135" t="str">
            <v>0080049</v>
          </cell>
          <cell r="C1135" t="str">
            <v>Microbiology</v>
          </cell>
          <cell r="D1135" t="str">
            <v>Charitable Funds</v>
          </cell>
          <cell r="E1135" t="str">
            <v>RXHCHRT</v>
          </cell>
          <cell r="F1135" t="str">
            <v>Total Charitable Funds</v>
          </cell>
        </row>
        <row r="1136">
          <cell r="B1136" t="str">
            <v>0080050</v>
          </cell>
          <cell r="C1136" t="str">
            <v>Neurology</v>
          </cell>
          <cell r="D1136" t="str">
            <v>Charitable Funds</v>
          </cell>
          <cell r="E1136" t="str">
            <v>RXHCHRT</v>
          </cell>
          <cell r="F1136" t="str">
            <v>Total Charitable Funds</v>
          </cell>
        </row>
        <row r="1137">
          <cell r="B1137" t="str">
            <v>0080051</v>
          </cell>
          <cell r="C1137" t="str">
            <v>Neurosis</v>
          </cell>
          <cell r="D1137" t="str">
            <v>Charitable Funds</v>
          </cell>
          <cell r="E1137" t="str">
            <v>RXHCHRT</v>
          </cell>
          <cell r="F1137" t="str">
            <v>Total Charitable Funds</v>
          </cell>
        </row>
        <row r="1138">
          <cell r="B1138" t="str">
            <v>0080052</v>
          </cell>
          <cell r="C1138" t="str">
            <v>Nuclear Medicine Discretionary</v>
          </cell>
          <cell r="D1138" t="str">
            <v>Charitable Funds</v>
          </cell>
          <cell r="E1138" t="str">
            <v>RXHCHRT</v>
          </cell>
          <cell r="F1138" t="str">
            <v>Total Charitable Funds</v>
          </cell>
        </row>
        <row r="1139">
          <cell r="B1139" t="str">
            <v>0080053</v>
          </cell>
          <cell r="C1139" t="str">
            <v>Observation Ward</v>
          </cell>
          <cell r="D1139" t="str">
            <v>Charitable Funds</v>
          </cell>
          <cell r="E1139" t="str">
            <v>RXHCHRT</v>
          </cell>
          <cell r="F1139" t="str">
            <v>Total Charitable Funds</v>
          </cell>
        </row>
        <row r="1140">
          <cell r="B1140" t="str">
            <v>0080054</v>
          </cell>
          <cell r="C1140" t="str">
            <v>Obstetrics &amp; Gynaecology</v>
          </cell>
          <cell r="D1140" t="str">
            <v>Charitable Funds</v>
          </cell>
          <cell r="E1140" t="str">
            <v>RXHCHRT</v>
          </cell>
          <cell r="F1140" t="str">
            <v>Total Charitable Funds</v>
          </cell>
        </row>
        <row r="1141">
          <cell r="B1141" t="str">
            <v>0080055</v>
          </cell>
          <cell r="C1141" t="str">
            <v>Orthopaedic</v>
          </cell>
          <cell r="D1141" t="str">
            <v>Charitable Funds</v>
          </cell>
          <cell r="E1141" t="str">
            <v>RXHCHRT</v>
          </cell>
          <cell r="F1141" t="str">
            <v>Total Charitable Funds</v>
          </cell>
        </row>
        <row r="1142">
          <cell r="B1142" t="str">
            <v>0080056</v>
          </cell>
          <cell r="C1142" t="str">
            <v>Brighton FRCR Education Fund</v>
          </cell>
          <cell r="D1142" t="str">
            <v>Charitable Funds</v>
          </cell>
          <cell r="E1142" t="str">
            <v>RXHCHRT</v>
          </cell>
          <cell r="F1142" t="str">
            <v>Total Charitable Funds</v>
          </cell>
        </row>
        <row r="1143">
          <cell r="B1143" t="str">
            <v>0080057</v>
          </cell>
          <cell r="C1143" t="str">
            <v>Patients Monies Holding</v>
          </cell>
          <cell r="D1143" t="str">
            <v>Charitable Funds</v>
          </cell>
          <cell r="E1143" t="str">
            <v>RXHCHRT</v>
          </cell>
          <cell r="F1143" t="str">
            <v>Total Charitable Funds</v>
          </cell>
        </row>
        <row r="1144">
          <cell r="B1144" t="str">
            <v>0080058</v>
          </cell>
          <cell r="C1144" t="str">
            <v>New Level 8 Fund (Old Peel Stewart)</v>
          </cell>
          <cell r="D1144" t="str">
            <v>Charitable Funds</v>
          </cell>
          <cell r="E1144" t="str">
            <v>RXHCHRT</v>
          </cell>
          <cell r="F1144" t="str">
            <v>Total Charitable Funds</v>
          </cell>
        </row>
        <row r="1145">
          <cell r="B1145" t="str">
            <v>0080059</v>
          </cell>
          <cell r="C1145" t="str">
            <v>Pharmacy Department</v>
          </cell>
          <cell r="D1145" t="str">
            <v>Charitable Funds</v>
          </cell>
          <cell r="E1145" t="str">
            <v>RXHCHRT</v>
          </cell>
          <cell r="F1145" t="str">
            <v>Total Charitable Funds</v>
          </cell>
        </row>
        <row r="1146">
          <cell r="B1146" t="str">
            <v>0080060</v>
          </cell>
          <cell r="C1146" t="str">
            <v>Clinical Pharmacy Unit</v>
          </cell>
          <cell r="D1146" t="str">
            <v>Charitable Funds</v>
          </cell>
          <cell r="E1146" t="str">
            <v>RXHCHRT</v>
          </cell>
          <cell r="F1146" t="str">
            <v>Total Charitable Funds</v>
          </cell>
        </row>
        <row r="1147">
          <cell r="B1147" t="str">
            <v>0080061</v>
          </cell>
          <cell r="C1147" t="str">
            <v>Physiotherapy</v>
          </cell>
          <cell r="D1147" t="str">
            <v>Charitable Funds</v>
          </cell>
          <cell r="E1147" t="str">
            <v>RXHCHRT</v>
          </cell>
          <cell r="F1147" t="str">
            <v>Total Charitable Funds</v>
          </cell>
        </row>
        <row r="1148">
          <cell r="B1148" t="str">
            <v>0080062</v>
          </cell>
          <cell r="C1148" t="str">
            <v>Physiotherapy Education</v>
          </cell>
          <cell r="D1148" t="str">
            <v>Charitable Funds</v>
          </cell>
          <cell r="E1148" t="str">
            <v>RXHCHRT</v>
          </cell>
          <cell r="F1148" t="str">
            <v>Total Charitable Funds</v>
          </cell>
        </row>
        <row r="1149">
          <cell r="B1149" t="str">
            <v>0080063</v>
          </cell>
          <cell r="C1149" t="str">
            <v>Asf (Admin/Secretarial Forum)</v>
          </cell>
          <cell r="D1149" t="str">
            <v>Charitable Funds</v>
          </cell>
          <cell r="E1149" t="str">
            <v>RXHCHRT</v>
          </cell>
          <cell r="F1149" t="str">
            <v>Total Charitable Funds</v>
          </cell>
        </row>
        <row r="1150">
          <cell r="B1150" t="str">
            <v>0080064</v>
          </cell>
          <cell r="C1150" t="str">
            <v>Platelets - Dr Duncan'S Research</v>
          </cell>
          <cell r="D1150" t="str">
            <v>Charitable Funds</v>
          </cell>
          <cell r="E1150" t="str">
            <v>RXHCHRT</v>
          </cell>
          <cell r="F1150" t="str">
            <v>Total Charitable Funds</v>
          </cell>
        </row>
        <row r="1151">
          <cell r="B1151" t="str">
            <v>0080065</v>
          </cell>
          <cell r="C1151" t="str">
            <v>Radiology</v>
          </cell>
          <cell r="D1151" t="str">
            <v>Charitable Funds</v>
          </cell>
          <cell r="E1151" t="str">
            <v>RXHCHRT</v>
          </cell>
          <cell r="F1151" t="str">
            <v>Total Charitable Funds</v>
          </cell>
        </row>
        <row r="1152">
          <cell r="B1152" t="str">
            <v>0080066</v>
          </cell>
          <cell r="C1152" t="str">
            <v>Radiotherapy</v>
          </cell>
          <cell r="D1152" t="str">
            <v>Charitable Funds</v>
          </cell>
          <cell r="E1152" t="str">
            <v>RXHCHRT</v>
          </cell>
          <cell r="F1152" t="str">
            <v>Total Charitable Funds</v>
          </cell>
        </row>
        <row r="1153">
          <cell r="B1153" t="str">
            <v>0080067</v>
          </cell>
          <cell r="C1153" t="str">
            <v>Renal</v>
          </cell>
          <cell r="D1153" t="str">
            <v>Charitable Funds</v>
          </cell>
          <cell r="E1153" t="str">
            <v>RXHCHRT</v>
          </cell>
          <cell r="F1153" t="str">
            <v>Total Charitable Funds</v>
          </cell>
        </row>
        <row r="1154">
          <cell r="B1154" t="str">
            <v>0080068</v>
          </cell>
          <cell r="C1154" t="str">
            <v>Staff Development Fund</v>
          </cell>
          <cell r="D1154" t="str">
            <v>Charitable Funds</v>
          </cell>
          <cell r="E1154" t="str">
            <v>RXHCHRT</v>
          </cell>
          <cell r="F1154" t="str">
            <v>Total Charitable Funds</v>
          </cell>
        </row>
        <row r="1155">
          <cell r="B1155" t="str">
            <v>0080069</v>
          </cell>
          <cell r="C1155" t="str">
            <v>Renal Research</v>
          </cell>
          <cell r="D1155" t="str">
            <v>Charitable Funds</v>
          </cell>
          <cell r="E1155" t="str">
            <v>RXHCHRT</v>
          </cell>
          <cell r="F1155" t="str">
            <v>Total Charitable Funds</v>
          </cell>
        </row>
        <row r="1156">
          <cell r="B1156" t="str">
            <v>0080070</v>
          </cell>
          <cell r="C1156" t="str">
            <v>Rheumatology</v>
          </cell>
          <cell r="D1156" t="str">
            <v>Charitable Funds</v>
          </cell>
          <cell r="E1156" t="str">
            <v>RXHCHRT</v>
          </cell>
          <cell r="F1156" t="str">
            <v>Total Charitable Funds</v>
          </cell>
        </row>
        <row r="1157">
          <cell r="B1157" t="str">
            <v>0080071</v>
          </cell>
          <cell r="C1157" t="str">
            <v>Sponsor A Bed</v>
          </cell>
          <cell r="D1157" t="str">
            <v>Charitable Funds</v>
          </cell>
          <cell r="E1157" t="str">
            <v>RXHCHRT</v>
          </cell>
          <cell r="F1157" t="str">
            <v>Total Charitable Funds</v>
          </cell>
        </row>
        <row r="1158">
          <cell r="B1158" t="str">
            <v>0080072</v>
          </cell>
          <cell r="C1158" t="str">
            <v>Sexually Transmitted Infection Foundation</v>
          </cell>
          <cell r="D1158" t="str">
            <v>Charitable Funds</v>
          </cell>
          <cell r="E1158" t="str">
            <v>RXHCHRT</v>
          </cell>
          <cell r="F1158" t="str">
            <v>Total Charitable Funds</v>
          </cell>
        </row>
        <row r="1159">
          <cell r="B1159" t="str">
            <v>0080073</v>
          </cell>
          <cell r="C1159" t="str">
            <v>Stomacare</v>
          </cell>
          <cell r="D1159" t="str">
            <v>Charitable Funds</v>
          </cell>
          <cell r="E1159" t="str">
            <v>RXHCHRT</v>
          </cell>
          <cell r="F1159" t="str">
            <v>Total Charitable Funds</v>
          </cell>
        </row>
        <row r="1160">
          <cell r="B1160" t="str">
            <v>0080074</v>
          </cell>
          <cell r="C1160" t="str">
            <v xml:space="preserve"> Surgical Unit Fund</v>
          </cell>
          <cell r="D1160" t="str">
            <v>Charitable Funds</v>
          </cell>
          <cell r="E1160" t="str">
            <v>RXHCHRT</v>
          </cell>
          <cell r="F1160" t="str">
            <v>Total Charitable Funds</v>
          </cell>
        </row>
        <row r="1161">
          <cell r="B1161" t="str">
            <v>0080075</v>
          </cell>
          <cell r="C1161" t="str">
            <v>Tomology - Ct Scanner</v>
          </cell>
          <cell r="D1161" t="str">
            <v>Charitable Funds</v>
          </cell>
          <cell r="E1161" t="str">
            <v>RXHCHRT</v>
          </cell>
          <cell r="F1161" t="str">
            <v>Total Charitable Funds</v>
          </cell>
        </row>
        <row r="1162">
          <cell r="B1162" t="str">
            <v>0080076</v>
          </cell>
          <cell r="C1162" t="str">
            <v>Nutrition and Dietetics in Cancer Care</v>
          </cell>
          <cell r="D1162" t="str">
            <v>Charitable Funds</v>
          </cell>
          <cell r="E1162" t="str">
            <v>RXHCHRT</v>
          </cell>
          <cell r="F1162" t="str">
            <v>Total Charitable Funds</v>
          </cell>
        </row>
        <row r="1163">
          <cell r="B1163" t="str">
            <v>0080077</v>
          </cell>
          <cell r="C1163" t="str">
            <v>Patients Hotel</v>
          </cell>
          <cell r="D1163" t="str">
            <v>Charitable Funds</v>
          </cell>
          <cell r="E1163" t="str">
            <v>RXHCHRT</v>
          </cell>
          <cell r="F1163" t="str">
            <v>Total Charitable Funds</v>
          </cell>
        </row>
        <row r="1164">
          <cell r="B1164" t="str">
            <v>0080078</v>
          </cell>
          <cell r="C1164" t="str">
            <v>Trust Wide Events</v>
          </cell>
          <cell r="D1164" t="str">
            <v>Charitable Funds</v>
          </cell>
          <cell r="E1164" t="str">
            <v>RXHCHRT</v>
          </cell>
          <cell r="F1164" t="str">
            <v>Total Charitable Funds</v>
          </cell>
        </row>
        <row r="1165">
          <cell r="B1165" t="str">
            <v>0080079</v>
          </cell>
          <cell r="C1165" t="str">
            <v>Wrvs Gifting Fund</v>
          </cell>
          <cell r="D1165" t="str">
            <v>Charitable Funds</v>
          </cell>
          <cell r="E1165" t="str">
            <v>RXHCHRT</v>
          </cell>
          <cell r="F1165" t="str">
            <v>Total Charitable Funds</v>
          </cell>
        </row>
        <row r="1166">
          <cell r="B1166" t="str">
            <v>0080080</v>
          </cell>
          <cell r="C1166" t="str">
            <v>Wound Management</v>
          </cell>
          <cell r="D1166" t="str">
            <v>Charitable Funds</v>
          </cell>
          <cell r="E1166" t="str">
            <v>RXHCHRT</v>
          </cell>
          <cell r="F1166" t="str">
            <v>Total Charitable Funds</v>
          </cell>
        </row>
        <row r="1167">
          <cell r="B1167" t="str">
            <v>0080081</v>
          </cell>
          <cell r="C1167" t="str">
            <v>X-Ray</v>
          </cell>
          <cell r="D1167" t="str">
            <v>Charitable Funds</v>
          </cell>
          <cell r="E1167" t="str">
            <v>RXHCHRT</v>
          </cell>
          <cell r="F1167" t="str">
            <v>Total Charitable Funds</v>
          </cell>
        </row>
        <row r="1168">
          <cell r="B1168" t="str">
            <v>0080082</v>
          </cell>
          <cell r="C1168" t="str">
            <v>Endocrinology Fund</v>
          </cell>
          <cell r="D1168" t="str">
            <v>Charitable Funds</v>
          </cell>
          <cell r="E1168" t="str">
            <v>RXHCHRT</v>
          </cell>
          <cell r="F1168" t="str">
            <v>Total Charitable Funds</v>
          </cell>
        </row>
        <row r="1169">
          <cell r="B1169" t="str">
            <v>0080083</v>
          </cell>
          <cell r="C1169" t="str">
            <v>Weight Gain Research Fund-Dietetics</v>
          </cell>
          <cell r="D1169" t="str">
            <v>Charitable Funds</v>
          </cell>
          <cell r="E1169" t="str">
            <v>RXHCHRT</v>
          </cell>
          <cell r="F1169" t="str">
            <v>Total Charitable Funds</v>
          </cell>
        </row>
        <row r="1170">
          <cell r="B1170" t="str">
            <v>0080084</v>
          </cell>
          <cell r="C1170" t="str">
            <v>X Ray Level 5 Equipment Fund</v>
          </cell>
          <cell r="D1170" t="str">
            <v>Charitable Funds</v>
          </cell>
          <cell r="E1170" t="str">
            <v>RXHCHRT</v>
          </cell>
          <cell r="F1170" t="str">
            <v>Total Charitable Funds</v>
          </cell>
        </row>
        <row r="1171">
          <cell r="B1171" t="str">
            <v>0080085</v>
          </cell>
          <cell r="C1171" t="str">
            <v>Lifesaving Equipment Fund</v>
          </cell>
          <cell r="D1171" t="str">
            <v>Charitable Funds</v>
          </cell>
          <cell r="E1171" t="str">
            <v>RXHCHRT</v>
          </cell>
          <cell r="F1171" t="str">
            <v>Total Charitable Funds</v>
          </cell>
        </row>
        <row r="1172">
          <cell r="B1172" t="str">
            <v>0080086</v>
          </cell>
          <cell r="C1172" t="str">
            <v>Albion &amp; Lewes Ward Fund</v>
          </cell>
          <cell r="D1172" t="str">
            <v>Charitable Funds</v>
          </cell>
          <cell r="E1172" t="str">
            <v>RXHCHRT</v>
          </cell>
          <cell r="F1172" t="str">
            <v>Total Charitable Funds</v>
          </cell>
        </row>
        <row r="1173">
          <cell r="B1173" t="str">
            <v>0080087</v>
          </cell>
          <cell r="C1173" t="str">
            <v>Healthy Transport Fund</v>
          </cell>
          <cell r="D1173" t="str">
            <v>Charitable Funds</v>
          </cell>
          <cell r="E1173" t="str">
            <v>RXHCHRT</v>
          </cell>
          <cell r="F1173" t="str">
            <v>Total Charitable Funds</v>
          </cell>
        </row>
        <row r="1174">
          <cell r="B1174" t="str">
            <v>0080088</v>
          </cell>
          <cell r="C1174" t="str">
            <v>Cardiac Care Centre Social Fund</v>
          </cell>
          <cell r="D1174" t="str">
            <v>Charitable Funds</v>
          </cell>
          <cell r="E1174" t="str">
            <v>RXHCHRT</v>
          </cell>
          <cell r="F1174" t="str">
            <v>Total Charitable Funds</v>
          </cell>
        </row>
        <row r="1175">
          <cell r="B1175" t="str">
            <v>0080089</v>
          </cell>
          <cell r="C1175" t="str">
            <v>Endoscopy Endowment Fund</v>
          </cell>
          <cell r="D1175" t="str">
            <v>Charitable Funds</v>
          </cell>
          <cell r="E1175" t="str">
            <v>RXHCHRT</v>
          </cell>
          <cell r="F1175" t="str">
            <v>Total Charitable Funds</v>
          </cell>
        </row>
        <row r="1176">
          <cell r="B1176" t="str">
            <v>0080090</v>
          </cell>
          <cell r="C1176" t="str">
            <v>Voice Research</v>
          </cell>
          <cell r="D1176" t="str">
            <v>Charitable Funds</v>
          </cell>
          <cell r="E1176" t="str">
            <v>RXHCHRT</v>
          </cell>
          <cell r="F1176" t="str">
            <v>Total Charitable Funds</v>
          </cell>
        </row>
        <row r="1177">
          <cell r="B1177" t="str">
            <v>0080091</v>
          </cell>
          <cell r="C1177" t="str">
            <v>Regency Digestive Diseases Opd</v>
          </cell>
          <cell r="D1177" t="str">
            <v>Charitable Funds</v>
          </cell>
          <cell r="E1177" t="str">
            <v>RXHCHRT</v>
          </cell>
          <cell r="F1177" t="str">
            <v>Total Charitable Funds</v>
          </cell>
        </row>
        <row r="1178">
          <cell r="B1178" t="str">
            <v>0080092</v>
          </cell>
          <cell r="C1178" t="str">
            <v>Cardiology Equipment Fund</v>
          </cell>
          <cell r="D1178" t="str">
            <v>Charitable Funds</v>
          </cell>
          <cell r="E1178" t="str">
            <v>RXHCHRT</v>
          </cell>
          <cell r="F1178" t="str">
            <v>Total Charitable Funds</v>
          </cell>
        </row>
        <row r="1179">
          <cell r="B1179" t="str">
            <v>0080093</v>
          </cell>
          <cell r="C1179" t="str">
            <v>Wh Fletcher - Cap</v>
          </cell>
          <cell r="D1179" t="str">
            <v>Charitable Funds</v>
          </cell>
          <cell r="E1179" t="str">
            <v>RXHCHRT</v>
          </cell>
          <cell r="F1179" t="str">
            <v>Total Charitable Funds</v>
          </cell>
        </row>
        <row r="1180">
          <cell r="B1180" t="str">
            <v>0080094</v>
          </cell>
          <cell r="C1180" t="str">
            <v>Miss Hannington - Cap</v>
          </cell>
          <cell r="D1180" t="str">
            <v>Charitable Funds</v>
          </cell>
          <cell r="E1180" t="str">
            <v>RXHCHRT</v>
          </cell>
          <cell r="F1180" t="str">
            <v>Total Charitable Funds</v>
          </cell>
        </row>
        <row r="1181">
          <cell r="B1181" t="str">
            <v>0080095</v>
          </cell>
          <cell r="C1181" t="str">
            <v>Wh Fletcher - Income</v>
          </cell>
          <cell r="D1181" t="str">
            <v>Charitable Funds</v>
          </cell>
          <cell r="E1181" t="str">
            <v>RXHCHRT</v>
          </cell>
          <cell r="F1181" t="str">
            <v>Total Charitable Funds</v>
          </cell>
        </row>
        <row r="1182">
          <cell r="B1182" t="str">
            <v>0080096</v>
          </cell>
          <cell r="C1182" t="str">
            <v>Miss Hannington - Income</v>
          </cell>
          <cell r="D1182" t="str">
            <v>Charitable Funds</v>
          </cell>
          <cell r="E1182" t="str">
            <v>RXHCHRT</v>
          </cell>
          <cell r="F1182" t="str">
            <v>Total Charitable Funds</v>
          </cell>
        </row>
        <row r="1183">
          <cell r="B1183" t="str">
            <v>0080097</v>
          </cell>
          <cell r="C1183" t="str">
            <v>Pain Management - Hove Polyclinic</v>
          </cell>
          <cell r="D1183" t="str">
            <v>Charitable Funds</v>
          </cell>
          <cell r="E1183" t="str">
            <v>RXHCHRT</v>
          </cell>
          <cell r="F1183" t="str">
            <v>Total Charitable Funds</v>
          </cell>
        </row>
        <row r="1184">
          <cell r="B1184" t="str">
            <v>0080098</v>
          </cell>
          <cell r="C1184" t="str">
            <v>Brighton Obstetrician'S Staff Fund</v>
          </cell>
          <cell r="D1184" t="str">
            <v>Charitable Funds</v>
          </cell>
          <cell r="E1184" t="str">
            <v>RXHCHRT</v>
          </cell>
          <cell r="F1184" t="str">
            <v>Total Charitable Funds</v>
          </cell>
        </row>
        <row r="1185">
          <cell r="B1185" t="str">
            <v>0080099</v>
          </cell>
          <cell r="C1185" t="str">
            <v>Nurses Research Fund</v>
          </cell>
          <cell r="D1185" t="str">
            <v>Charitable Funds</v>
          </cell>
          <cell r="E1185" t="str">
            <v>RXHCHRT</v>
          </cell>
          <cell r="F1185" t="str">
            <v>Total Charitable Funds</v>
          </cell>
        </row>
        <row r="1186">
          <cell r="B1186" t="str">
            <v>0080100</v>
          </cell>
          <cell r="C1186" t="str">
            <v>Solomon Ward Fund</v>
          </cell>
          <cell r="D1186" t="str">
            <v>Charitable Funds</v>
          </cell>
          <cell r="E1186" t="str">
            <v>RXHCHRT</v>
          </cell>
          <cell r="F1186" t="str">
            <v>Total Charitable Funds</v>
          </cell>
        </row>
        <row r="1187">
          <cell r="B1187" t="str">
            <v>0080101</v>
          </cell>
          <cell r="C1187" t="str">
            <v>Cardiac Technician Fund</v>
          </cell>
          <cell r="D1187" t="str">
            <v>Charitable Funds</v>
          </cell>
          <cell r="E1187" t="str">
            <v>RXHCHRT</v>
          </cell>
          <cell r="F1187" t="str">
            <v>Total Charitable Funds</v>
          </cell>
        </row>
        <row r="1188">
          <cell r="B1188" t="str">
            <v>0080102</v>
          </cell>
          <cell r="C1188" t="str">
            <v>Neonatology Research Fund</v>
          </cell>
          <cell r="D1188" t="str">
            <v>Charitable Funds</v>
          </cell>
          <cell r="E1188" t="str">
            <v>RXHCHRT</v>
          </cell>
          <cell r="F1188" t="str">
            <v>Total Charitable Funds</v>
          </cell>
        </row>
        <row r="1189">
          <cell r="B1189" t="str">
            <v>0080103</v>
          </cell>
          <cell r="C1189" t="str">
            <v>Karen Booth Memorial Fund</v>
          </cell>
          <cell r="D1189" t="str">
            <v>Charitable Funds</v>
          </cell>
          <cell r="E1189" t="str">
            <v>RXHCHRT</v>
          </cell>
          <cell r="F1189" t="str">
            <v>Total Charitable Funds</v>
          </cell>
        </row>
        <row r="1190">
          <cell r="B1190" t="str">
            <v>0080104</v>
          </cell>
          <cell r="C1190" t="str">
            <v>Sussex Kidney Unit Development Fund</v>
          </cell>
          <cell r="D1190" t="str">
            <v>Charitable Funds</v>
          </cell>
          <cell r="E1190" t="str">
            <v>RXHCHRT</v>
          </cell>
          <cell r="F1190" t="str">
            <v>Total Charitable Funds</v>
          </cell>
        </row>
        <row r="1191">
          <cell r="B1191" t="str">
            <v>0080105</v>
          </cell>
          <cell r="C1191" t="str">
            <v>Cancer Nurses Fund</v>
          </cell>
          <cell r="D1191" t="str">
            <v>Charitable Funds</v>
          </cell>
          <cell r="E1191" t="str">
            <v>RXHCHRT</v>
          </cell>
          <cell r="F1191" t="str">
            <v>Total Charitable Funds</v>
          </cell>
        </row>
        <row r="1192">
          <cell r="B1192" t="str">
            <v>0080106</v>
          </cell>
          <cell r="C1192" t="str">
            <v>Renal Meetings Fund</v>
          </cell>
          <cell r="D1192" t="str">
            <v>Charitable Funds</v>
          </cell>
          <cell r="E1192" t="str">
            <v>RXHCHRT</v>
          </cell>
          <cell r="F1192" t="str">
            <v>Total Charitable Funds</v>
          </cell>
        </row>
        <row r="1193">
          <cell r="B1193" t="str">
            <v>0080107</v>
          </cell>
          <cell r="C1193" t="str">
            <v>Ivo Krejci Fund</v>
          </cell>
          <cell r="D1193" t="str">
            <v>Charitable Funds</v>
          </cell>
          <cell r="E1193" t="str">
            <v>RXHCHRT</v>
          </cell>
          <cell r="F1193" t="str">
            <v>Total Charitable Funds</v>
          </cell>
        </row>
        <row r="1194">
          <cell r="B1194" t="str">
            <v>0080108</v>
          </cell>
          <cell r="C1194" t="str">
            <v>Pink Dolphin Breast Care Fund</v>
          </cell>
          <cell r="D1194" t="str">
            <v>Charitable Funds</v>
          </cell>
          <cell r="E1194" t="str">
            <v>RXHCHRT</v>
          </cell>
          <cell r="F1194" t="str">
            <v>Total Charitable Funds</v>
          </cell>
        </row>
        <row r="1195">
          <cell r="B1195" t="str">
            <v>0080109</v>
          </cell>
          <cell r="C1195" t="str">
            <v>Haematology Day Unit Fund</v>
          </cell>
          <cell r="D1195" t="str">
            <v>Charitable Funds</v>
          </cell>
          <cell r="E1195" t="str">
            <v>RXHCHRT</v>
          </cell>
          <cell r="F1195" t="str">
            <v>Total Charitable Funds</v>
          </cell>
        </row>
        <row r="1196">
          <cell r="B1196" t="str">
            <v>0080110</v>
          </cell>
          <cell r="C1196" t="str">
            <v>Heart Failure Service Fund Account</v>
          </cell>
          <cell r="D1196" t="str">
            <v>Charitable Funds</v>
          </cell>
          <cell r="E1196" t="str">
            <v>RXHCHRT</v>
          </cell>
          <cell r="F1196" t="str">
            <v>Total Charitable Funds</v>
          </cell>
        </row>
        <row r="1197">
          <cell r="B1197" t="str">
            <v>0080111</v>
          </cell>
          <cell r="C1197" t="str">
            <v>Brighton Ent Education Fund</v>
          </cell>
          <cell r="D1197" t="str">
            <v>Charitable Funds</v>
          </cell>
          <cell r="E1197" t="str">
            <v>RXHCHRT</v>
          </cell>
          <cell r="F1197" t="str">
            <v>Total Charitable Funds</v>
          </cell>
        </row>
        <row r="1198">
          <cell r="B1198" t="str">
            <v>0080112</v>
          </cell>
          <cell r="C1198" t="str">
            <v>Hiv Education Fund</v>
          </cell>
          <cell r="D1198" t="str">
            <v>Charitable Funds</v>
          </cell>
          <cell r="E1198" t="str">
            <v>RXHCHRT</v>
          </cell>
          <cell r="F1198" t="str">
            <v>Total Charitable Funds</v>
          </cell>
        </row>
        <row r="1199">
          <cell r="B1199" t="str">
            <v>0080113</v>
          </cell>
          <cell r="C1199" t="str">
            <v>Sussex Gynaecological Cancer Centre Fund</v>
          </cell>
          <cell r="D1199" t="str">
            <v>Charitable Funds</v>
          </cell>
          <cell r="E1199" t="str">
            <v>RXHCHRT</v>
          </cell>
          <cell r="F1199" t="str">
            <v>Total Charitable Funds</v>
          </cell>
        </row>
        <row r="1200">
          <cell r="B1200" t="str">
            <v>0080114</v>
          </cell>
          <cell r="C1200" t="str">
            <v>Stroke Unit Fund</v>
          </cell>
          <cell r="D1200" t="str">
            <v>Charitable Funds</v>
          </cell>
          <cell r="E1200" t="str">
            <v>RXHCHRT</v>
          </cell>
          <cell r="F1200" t="str">
            <v>Total Charitable Funds</v>
          </cell>
        </row>
        <row r="1201">
          <cell r="B1201" t="str">
            <v>0080115</v>
          </cell>
          <cell r="C1201" t="str">
            <v>Cancer &amp; Palliative Care Specialists Fund</v>
          </cell>
          <cell r="D1201" t="str">
            <v>Charitable Funds</v>
          </cell>
          <cell r="E1201" t="str">
            <v>RXHCHRT</v>
          </cell>
          <cell r="F1201" t="str">
            <v>Total Charitable Funds</v>
          </cell>
        </row>
        <row r="1202">
          <cell r="B1202" t="str">
            <v>0080116</v>
          </cell>
          <cell r="C1202" t="str">
            <v>Outpatient Nursing Fund Rsch</v>
          </cell>
          <cell r="D1202" t="str">
            <v>Charitable Funds</v>
          </cell>
          <cell r="E1202" t="str">
            <v>RXHCHRT</v>
          </cell>
          <cell r="F1202" t="str">
            <v>Total Charitable Funds</v>
          </cell>
        </row>
        <row r="1203">
          <cell r="B1203" t="str">
            <v>0080117</v>
          </cell>
          <cell r="C1203" t="str">
            <v>Breast Feeding Initiative</v>
          </cell>
          <cell r="D1203" t="str">
            <v>Charitable Funds</v>
          </cell>
          <cell r="E1203" t="str">
            <v>RXHCHRT</v>
          </cell>
          <cell r="F1203" t="str">
            <v>Total Charitable Funds</v>
          </cell>
        </row>
        <row r="1204">
          <cell r="B1204" t="str">
            <v>0080118</v>
          </cell>
          <cell r="C1204" t="str">
            <v>ICU Staff Education &amp; Welfare Fund</v>
          </cell>
          <cell r="D1204" t="str">
            <v>Charitable Funds</v>
          </cell>
          <cell r="E1204" t="str">
            <v>RXHCHRT</v>
          </cell>
          <cell r="F1204" t="str">
            <v>Total Charitable Funds</v>
          </cell>
        </row>
        <row r="1205">
          <cell r="B1205" t="str">
            <v>0080119</v>
          </cell>
          <cell r="C1205" t="str">
            <v>Medical Directorate - Btn Site</v>
          </cell>
          <cell r="D1205" t="str">
            <v>Charitable Funds</v>
          </cell>
          <cell r="E1205" t="str">
            <v>RXHCHRT</v>
          </cell>
          <cell r="F1205" t="str">
            <v>Total Charitable Funds</v>
          </cell>
        </row>
        <row r="1206">
          <cell r="B1206" t="str">
            <v>0080120</v>
          </cell>
          <cell r="C1206" t="str">
            <v>BSUH X-Ray Dept Research Fund</v>
          </cell>
          <cell r="D1206" t="str">
            <v>Charitable Funds</v>
          </cell>
          <cell r="E1206" t="str">
            <v>RXHCHRT</v>
          </cell>
          <cell r="F1206" t="str">
            <v>Total Charitable Funds</v>
          </cell>
        </row>
        <row r="1207">
          <cell r="B1207" t="str">
            <v>0080121</v>
          </cell>
          <cell r="C1207" t="str">
            <v>Patient Safety Education &amp; Research Fund</v>
          </cell>
          <cell r="D1207" t="str">
            <v>Charitable Funds</v>
          </cell>
          <cell r="E1207" t="str">
            <v>RXHCHRT</v>
          </cell>
          <cell r="F1207" t="str">
            <v>Total Charitable Funds</v>
          </cell>
        </row>
        <row r="1208">
          <cell r="B1208" t="str">
            <v>0080122</v>
          </cell>
          <cell r="C1208" t="str">
            <v>BME Network Fund</v>
          </cell>
          <cell r="D1208" t="str">
            <v>Charitable Funds</v>
          </cell>
          <cell r="E1208" t="str">
            <v>RXHCHRT</v>
          </cell>
          <cell r="F1208" t="str">
            <v>Total Charitable Funds</v>
          </cell>
        </row>
        <row r="1209">
          <cell r="B1209" t="str">
            <v>0080123</v>
          </cell>
          <cell r="C1209" t="str">
            <v>Urogynaecology Research fund</v>
          </cell>
          <cell r="D1209" t="str">
            <v>Charitable Funds</v>
          </cell>
          <cell r="E1209" t="str">
            <v>RXHCHRT</v>
          </cell>
          <cell r="F1209" t="str">
            <v>Total Charitable Funds</v>
          </cell>
        </row>
        <row r="1210">
          <cell r="B1210" t="str">
            <v>0080124</v>
          </cell>
          <cell r="C1210" t="str">
            <v>Inflammatory Bowel Disease Fund</v>
          </cell>
          <cell r="D1210" t="str">
            <v>Charitable Funds</v>
          </cell>
          <cell r="E1210" t="str">
            <v>RXHCHRT</v>
          </cell>
          <cell r="F1210" t="str">
            <v>Total Charitable Funds</v>
          </cell>
        </row>
        <row r="1211">
          <cell r="B1211" t="str">
            <v>0080125</v>
          </cell>
          <cell r="C1211" t="str">
            <v>Clinical Research, Diabetes Centre</v>
          </cell>
          <cell r="D1211" t="str">
            <v>Charitable Funds</v>
          </cell>
          <cell r="E1211" t="str">
            <v>RXHCHRT</v>
          </cell>
          <cell r="F1211" t="str">
            <v>Total Charitable Funds</v>
          </cell>
        </row>
        <row r="1212">
          <cell r="B1212" t="str">
            <v>0080126</v>
          </cell>
          <cell r="C1212" t="str">
            <v>Digestive Diseases MacMillan Nurse Fund</v>
          </cell>
          <cell r="D1212" t="str">
            <v>Charitable Funds</v>
          </cell>
          <cell r="E1212" t="str">
            <v>RXHCHRT</v>
          </cell>
          <cell r="F1212" t="str">
            <v>Total Charitable Funds</v>
          </cell>
        </row>
        <row r="1213">
          <cell r="B1213" t="str">
            <v>0080127</v>
          </cell>
          <cell r="C1213" t="str">
            <v>HIV / GUM Nurses Education Fund</v>
          </cell>
          <cell r="D1213" t="str">
            <v>Charitable Funds</v>
          </cell>
          <cell r="E1213" t="str">
            <v>RXHCHRT</v>
          </cell>
          <cell r="F1213" t="str">
            <v>Total Charitable Funds</v>
          </cell>
        </row>
        <row r="1214">
          <cell r="B1214" t="str">
            <v>0080128</v>
          </cell>
          <cell r="C1214" t="str">
            <v>Orthopaedic OPD &amp; Plaster Room Fund</v>
          </cell>
          <cell r="D1214" t="str">
            <v>Charitable Funds</v>
          </cell>
          <cell r="E1214" t="str">
            <v>RXHCHRT</v>
          </cell>
          <cell r="F1214" t="str">
            <v>Total Charitable Funds</v>
          </cell>
        </row>
        <row r="1215">
          <cell r="B1215" t="str">
            <v>0080129</v>
          </cell>
          <cell r="C1215" t="str">
            <v>Rheumatology Nurse Specialist Fund</v>
          </cell>
          <cell r="D1215" t="str">
            <v>Charitable Funds</v>
          </cell>
          <cell r="E1215" t="str">
            <v>RXHCHRT</v>
          </cell>
          <cell r="F1215" t="str">
            <v>Total Charitable Funds</v>
          </cell>
        </row>
        <row r="1216">
          <cell r="B1216" t="str">
            <v>0080130</v>
          </cell>
          <cell r="C1216" t="str">
            <v xml:space="preserve"> Parentcraft Fund</v>
          </cell>
          <cell r="D1216" t="str">
            <v>Charitable Funds</v>
          </cell>
          <cell r="E1216" t="str">
            <v>RXHCHRT</v>
          </cell>
          <cell r="F1216" t="str">
            <v>Total Charitable Funds</v>
          </cell>
        </row>
        <row r="1217">
          <cell r="B1217" t="str">
            <v>0080131</v>
          </cell>
          <cell r="C1217" t="str">
            <v>Nigel Porter Unit for Breast Care Scanner Appe</v>
          </cell>
          <cell r="D1217" t="str">
            <v>Charitable Funds</v>
          </cell>
          <cell r="E1217" t="str">
            <v>RXHCHRT</v>
          </cell>
          <cell r="F1217" t="str">
            <v>Total Charitable Funds</v>
          </cell>
        </row>
        <row r="1218">
          <cell r="B1218" t="str">
            <v>0080132</v>
          </cell>
          <cell r="C1218" t="str">
            <v>Clinical Research into Care of the Elderly</v>
          </cell>
          <cell r="D1218" t="str">
            <v>Charitable Funds</v>
          </cell>
          <cell r="E1218" t="str">
            <v>RXHCHRT</v>
          </cell>
          <cell r="F1218" t="str">
            <v>Total Charitable Funds</v>
          </cell>
        </row>
        <row r="1219">
          <cell r="B1219" t="str">
            <v>0080133</v>
          </cell>
          <cell r="C1219" t="str">
            <v>Orthopaedic Secretariat Fund</v>
          </cell>
          <cell r="D1219" t="str">
            <v>Charitable Funds</v>
          </cell>
          <cell r="E1219" t="str">
            <v>RXHCHRT</v>
          </cell>
          <cell r="F1219" t="str">
            <v>Total Charitable Funds</v>
          </cell>
        </row>
        <row r="1220">
          <cell r="B1220" t="str">
            <v>0080134</v>
          </cell>
          <cell r="C1220" t="str">
            <v>Teenage Pregnancy Fund</v>
          </cell>
          <cell r="D1220" t="str">
            <v>Charitable Funds</v>
          </cell>
          <cell r="E1220" t="str">
            <v>RXHCHRT</v>
          </cell>
          <cell r="F1220" t="str">
            <v>Total Charitable Funds</v>
          </cell>
        </row>
        <row r="1221">
          <cell r="B1221" t="str">
            <v>0080135</v>
          </cell>
          <cell r="C1221" t="str">
            <v>Main OPD Staff Fund</v>
          </cell>
          <cell r="D1221" t="str">
            <v>Charitable Funds</v>
          </cell>
          <cell r="E1221" t="str">
            <v>RXHCHRT</v>
          </cell>
          <cell r="F1221" t="str">
            <v>Total Charitable Funds</v>
          </cell>
        </row>
        <row r="1222">
          <cell r="B1222" t="str">
            <v>0080136</v>
          </cell>
          <cell r="C1222" t="str">
            <v>Neurology Research Fund</v>
          </cell>
          <cell r="D1222" t="str">
            <v>Charitable Funds</v>
          </cell>
          <cell r="E1222" t="str">
            <v>RXHCHRT</v>
          </cell>
          <cell r="F1222" t="str">
            <v>Total Charitable Funds</v>
          </cell>
        </row>
        <row r="1223">
          <cell r="B1223" t="str">
            <v>0081000</v>
          </cell>
          <cell r="C1223" t="str">
            <v>General Purposes - Maternity</v>
          </cell>
          <cell r="D1223" t="str">
            <v>Charitable Funds</v>
          </cell>
          <cell r="E1223" t="str">
            <v>RXHCHRT</v>
          </cell>
          <cell r="F1223" t="str">
            <v>Total Charitable Funds</v>
          </cell>
        </row>
        <row r="1224">
          <cell r="B1224" t="str">
            <v>0081001</v>
          </cell>
          <cell r="C1224" t="str">
            <v>Maternity - Nurses</v>
          </cell>
          <cell r="D1224" t="str">
            <v>Charitable Funds</v>
          </cell>
          <cell r="E1224" t="str">
            <v>RXHCHRT</v>
          </cell>
          <cell r="F1224" t="str">
            <v>Total Charitable Funds</v>
          </cell>
        </row>
        <row r="1225">
          <cell r="B1225" t="str">
            <v>0081002</v>
          </cell>
          <cell r="C1225" t="str">
            <v>Maternity - Samaritans</v>
          </cell>
          <cell r="D1225" t="str">
            <v>Charitable Funds</v>
          </cell>
          <cell r="E1225" t="str">
            <v>RXHCHRT</v>
          </cell>
          <cell r="F1225" t="str">
            <v>Total Charitable Funds</v>
          </cell>
        </row>
        <row r="1226">
          <cell r="B1226" t="str">
            <v>0082000</v>
          </cell>
          <cell r="C1226" t="str">
            <v>General Purposes  Seh</v>
          </cell>
          <cell r="D1226" t="str">
            <v>Charitable Funds</v>
          </cell>
          <cell r="E1226" t="str">
            <v>RXHCHRT</v>
          </cell>
          <cell r="F1226" t="str">
            <v>Total Charitable Funds</v>
          </cell>
        </row>
        <row r="1227">
          <cell r="B1227" t="str">
            <v>0082001</v>
          </cell>
          <cell r="C1227" t="str">
            <v>Seh Nurses Fund</v>
          </cell>
          <cell r="D1227" t="str">
            <v>Charitable Funds</v>
          </cell>
          <cell r="E1227" t="str">
            <v>RXHCHRT</v>
          </cell>
          <cell r="F1227" t="str">
            <v>Total Charitable Funds</v>
          </cell>
        </row>
        <row r="1228">
          <cell r="B1228" t="str">
            <v>0082002</v>
          </cell>
          <cell r="C1228" t="str">
            <v>Seh Eyesight Fund</v>
          </cell>
          <cell r="D1228" t="str">
            <v>Charitable Funds</v>
          </cell>
          <cell r="E1228" t="str">
            <v>RXHCHRT</v>
          </cell>
          <cell r="F1228" t="str">
            <v>Total Charitable Funds</v>
          </cell>
        </row>
        <row r="1229">
          <cell r="B1229" t="str">
            <v>0082003</v>
          </cell>
          <cell r="C1229" t="str">
            <v>Sussex Eye Research</v>
          </cell>
          <cell r="D1229" t="str">
            <v>Charitable Funds</v>
          </cell>
          <cell r="E1229" t="str">
            <v>RXHCHRT</v>
          </cell>
          <cell r="F1229" t="str">
            <v>Total Charitable Funds</v>
          </cell>
        </row>
        <row r="1230">
          <cell r="B1230" t="str">
            <v>0082004</v>
          </cell>
          <cell r="C1230" t="str">
            <v>M Marsh (Orthoptists) - Cap</v>
          </cell>
          <cell r="D1230" t="str">
            <v>Charitable Funds</v>
          </cell>
          <cell r="E1230" t="str">
            <v>RXHCHRT</v>
          </cell>
          <cell r="F1230" t="str">
            <v>Total Charitable Funds</v>
          </cell>
        </row>
        <row r="1231">
          <cell r="B1231" t="str">
            <v>0082005</v>
          </cell>
          <cell r="C1231" t="str">
            <v>M Marsh (Orthoptists) - Income</v>
          </cell>
          <cell r="D1231" t="str">
            <v>Charitable Funds</v>
          </cell>
          <cell r="E1231" t="str">
            <v>RXHCHRT</v>
          </cell>
          <cell r="F1231" t="str">
            <v>Total Charitable Funds</v>
          </cell>
        </row>
        <row r="1232">
          <cell r="B1232" t="str">
            <v>0083000</v>
          </cell>
          <cell r="C1232" t="str">
            <v>Respiratory / Hiv Purposes - Bgh</v>
          </cell>
          <cell r="D1232" t="str">
            <v>Charitable Funds</v>
          </cell>
          <cell r="E1232" t="str">
            <v>RXHCHRT</v>
          </cell>
          <cell r="F1232" t="str">
            <v>Total Charitable Funds</v>
          </cell>
        </row>
        <row r="1233">
          <cell r="B1233" t="str">
            <v>0083001</v>
          </cell>
          <cell r="C1233" t="str">
            <v>Chest Unit</v>
          </cell>
          <cell r="D1233" t="str">
            <v>Charitable Funds</v>
          </cell>
          <cell r="E1233" t="str">
            <v>RXHCHRT</v>
          </cell>
          <cell r="F1233" t="str">
            <v>Total Charitable Funds</v>
          </cell>
        </row>
        <row r="1234">
          <cell r="B1234" t="str">
            <v>0083002</v>
          </cell>
          <cell r="C1234" t="str">
            <v>Physiotherapy</v>
          </cell>
          <cell r="D1234" t="str">
            <v>Charitable Funds</v>
          </cell>
          <cell r="E1234" t="str">
            <v>RXHCHRT</v>
          </cell>
          <cell r="F1234" t="str">
            <v>Total Charitable Funds</v>
          </cell>
        </row>
        <row r="1235">
          <cell r="B1235" t="str">
            <v>0083003</v>
          </cell>
          <cell r="C1235" t="str">
            <v>Respiratory Nurse Education Fund</v>
          </cell>
          <cell r="D1235" t="str">
            <v>Charitable Funds</v>
          </cell>
          <cell r="E1235" t="str">
            <v>RXHCHRT</v>
          </cell>
          <cell r="F1235" t="str">
            <v>Total Charitable Funds</v>
          </cell>
        </row>
        <row r="1236">
          <cell r="B1236" t="str">
            <v>0084000</v>
          </cell>
          <cell r="C1236" t="str">
            <v>Sussex Throat &amp; Ear Fund</v>
          </cell>
          <cell r="D1236" t="str">
            <v>Charitable Funds</v>
          </cell>
          <cell r="E1236" t="str">
            <v>RXHCHRT</v>
          </cell>
          <cell r="F1236" t="str">
            <v>Total Charitable Funds</v>
          </cell>
        </row>
        <row r="1237">
          <cell r="B1237" t="str">
            <v>0084001</v>
          </cell>
          <cell r="C1237" t="str">
            <v>Sound Waves</v>
          </cell>
          <cell r="D1237" t="str">
            <v>Charitable Funds</v>
          </cell>
          <cell r="E1237" t="str">
            <v>RXHCHRT</v>
          </cell>
          <cell r="F1237" t="str">
            <v>Total Charitable Funds</v>
          </cell>
        </row>
        <row r="1238">
          <cell r="B1238" t="str">
            <v>0084002</v>
          </cell>
          <cell r="C1238" t="str">
            <v>Egremont / Catherine James</v>
          </cell>
          <cell r="D1238" t="str">
            <v>Charitable Funds</v>
          </cell>
          <cell r="E1238" t="str">
            <v>RXHCHRT</v>
          </cell>
          <cell r="F1238" t="str">
            <v>Total Charitable Funds</v>
          </cell>
        </row>
        <row r="1239">
          <cell r="B1239" t="str">
            <v>0084003</v>
          </cell>
          <cell r="C1239" t="str">
            <v>Oral Research</v>
          </cell>
          <cell r="D1239" t="str">
            <v>Charitable Funds</v>
          </cell>
          <cell r="E1239" t="str">
            <v>RXHCHRT</v>
          </cell>
          <cell r="F1239" t="str">
            <v>Total Charitable Funds</v>
          </cell>
        </row>
        <row r="1240">
          <cell r="B1240" t="str">
            <v>0085000</v>
          </cell>
          <cell r="C1240" t="str">
            <v>General Purposes - Rah</v>
          </cell>
          <cell r="D1240" t="str">
            <v>Charitable Funds</v>
          </cell>
          <cell r="E1240" t="str">
            <v>RXHCHRT</v>
          </cell>
          <cell r="F1240" t="str">
            <v>Total Charitable Funds</v>
          </cell>
        </row>
        <row r="1241">
          <cell r="B1241" t="str">
            <v>0085001</v>
          </cell>
          <cell r="C1241" t="str">
            <v>Diabetic</v>
          </cell>
          <cell r="D1241" t="str">
            <v>Charitable Funds</v>
          </cell>
          <cell r="E1241" t="str">
            <v>RXHCHRT</v>
          </cell>
          <cell r="F1241" t="str">
            <v>Total Charitable Funds</v>
          </cell>
        </row>
        <row r="1242">
          <cell r="B1242" t="str">
            <v>0085002</v>
          </cell>
          <cell r="C1242" t="str">
            <v>Medical Equipment</v>
          </cell>
          <cell r="D1242" t="str">
            <v>Charitable Funds</v>
          </cell>
          <cell r="E1242" t="str">
            <v>RXHCHRT</v>
          </cell>
          <cell r="F1242" t="str">
            <v>Total Charitable Funds</v>
          </cell>
        </row>
        <row r="1243">
          <cell r="B1243" t="str">
            <v>0085003</v>
          </cell>
          <cell r="C1243" t="str">
            <v>Physiotherapy</v>
          </cell>
          <cell r="D1243" t="str">
            <v>Charitable Funds</v>
          </cell>
          <cell r="E1243" t="str">
            <v>RXHCHRT</v>
          </cell>
          <cell r="F1243" t="str">
            <v>Total Charitable Funds</v>
          </cell>
        </row>
        <row r="1244">
          <cell r="B1244" t="str">
            <v>0085004</v>
          </cell>
          <cell r="C1244" t="str">
            <v>Respiratory Research</v>
          </cell>
          <cell r="D1244" t="str">
            <v>Charitable Funds</v>
          </cell>
          <cell r="E1244" t="str">
            <v>RXHCHRT</v>
          </cell>
          <cell r="F1244" t="str">
            <v>Total Charitable Funds</v>
          </cell>
        </row>
        <row r="1245">
          <cell r="B1245" t="str">
            <v>0085005</v>
          </cell>
          <cell r="C1245" t="str">
            <v>Blanche Ward</v>
          </cell>
          <cell r="D1245" t="str">
            <v>Charitable Funds</v>
          </cell>
          <cell r="E1245" t="str">
            <v>RXHCHRT</v>
          </cell>
          <cell r="F1245" t="str">
            <v>Total Charitable Funds</v>
          </cell>
        </row>
        <row r="1246">
          <cell r="B1246" t="str">
            <v>0085006</v>
          </cell>
          <cell r="C1246" t="str">
            <v>Lydia Ward</v>
          </cell>
          <cell r="D1246" t="str">
            <v>Charitable Funds</v>
          </cell>
          <cell r="E1246" t="str">
            <v>RXHCHRT</v>
          </cell>
          <cell r="F1246" t="str">
            <v>Total Charitable Funds</v>
          </cell>
        </row>
        <row r="1247">
          <cell r="B1247" t="str">
            <v>0085007</v>
          </cell>
          <cell r="C1247" t="str">
            <v>Cawthorne Ward</v>
          </cell>
          <cell r="D1247" t="str">
            <v>Charitable Funds</v>
          </cell>
          <cell r="E1247" t="str">
            <v>RXHCHRT</v>
          </cell>
          <cell r="F1247" t="str">
            <v>Total Charitable Funds</v>
          </cell>
        </row>
        <row r="1248">
          <cell r="B1248" t="str">
            <v>0085008</v>
          </cell>
          <cell r="C1248" t="str">
            <v>Neonatal HIV Fund</v>
          </cell>
          <cell r="D1248" t="str">
            <v>Charitable Funds</v>
          </cell>
          <cell r="E1248" t="str">
            <v>RXHCHRT</v>
          </cell>
          <cell r="F1248" t="str">
            <v>Total Charitable Funds</v>
          </cell>
        </row>
        <row r="1249">
          <cell r="B1249" t="str">
            <v>0085009</v>
          </cell>
          <cell r="C1249" t="str">
            <v>Trevor Mann Baby Unit</v>
          </cell>
          <cell r="D1249" t="str">
            <v>Charitable Funds</v>
          </cell>
          <cell r="E1249" t="str">
            <v>RXHCHRT</v>
          </cell>
          <cell r="F1249" t="str">
            <v>Total Charitable Funds</v>
          </cell>
        </row>
        <row r="1250">
          <cell r="B1250" t="str">
            <v>0085010</v>
          </cell>
          <cell r="C1250" t="str">
            <v>Baby Emergency Transport Fund (B.E.T.S.)</v>
          </cell>
          <cell r="D1250" t="str">
            <v>Charitable Funds</v>
          </cell>
          <cell r="E1250" t="str">
            <v>RXHCHRT</v>
          </cell>
          <cell r="F1250" t="str">
            <v>Total Charitable Funds</v>
          </cell>
        </row>
        <row r="1251">
          <cell r="B1251" t="str">
            <v>0085011</v>
          </cell>
          <cell r="C1251" t="str">
            <v>Operating Theatres - RACH</v>
          </cell>
          <cell r="D1251" t="str">
            <v>Charitable Funds</v>
          </cell>
          <cell r="E1251" t="str">
            <v>RXHCHRT</v>
          </cell>
          <cell r="F1251" t="str">
            <v>Total Charitable Funds</v>
          </cell>
        </row>
        <row r="1252">
          <cell r="B1252" t="str">
            <v>0085012</v>
          </cell>
          <cell r="C1252" t="str">
            <v>Paedictric Dietetics</v>
          </cell>
          <cell r="D1252" t="str">
            <v>Charitable Funds</v>
          </cell>
          <cell r="E1252" t="str">
            <v>RXHCHRT</v>
          </cell>
          <cell r="F1252" t="str">
            <v>Total Charitable Funds</v>
          </cell>
        </row>
        <row r="1253">
          <cell r="B1253" t="str">
            <v>0085013</v>
          </cell>
          <cell r="C1253" t="str">
            <v>Paediatric Gastroenterology and Nutrition</v>
          </cell>
          <cell r="D1253" t="str">
            <v>Charitable Funds</v>
          </cell>
          <cell r="E1253" t="str">
            <v>RXHCHRT</v>
          </cell>
          <cell r="F1253" t="str">
            <v>Total Charitable Funds</v>
          </cell>
        </row>
        <row r="1254">
          <cell r="B1254" t="str">
            <v>0085014</v>
          </cell>
          <cell r="C1254" t="str">
            <v>Rocking Horse Appeal</v>
          </cell>
          <cell r="D1254" t="str">
            <v>Charitable Funds</v>
          </cell>
          <cell r="E1254" t="str">
            <v>RXHCHRT</v>
          </cell>
          <cell r="F1254" t="str">
            <v>Total Charitable Funds</v>
          </cell>
        </row>
        <row r="1255">
          <cell r="B1255" t="str">
            <v>0086000</v>
          </cell>
          <cell r="C1255" t="str">
            <v>General Purposes Fund Bgh</v>
          </cell>
          <cell r="D1255" t="str">
            <v>Charitable Funds</v>
          </cell>
          <cell r="E1255" t="str">
            <v>RXHCHRT</v>
          </cell>
          <cell r="F1255" t="str">
            <v>Total Charitable Funds</v>
          </cell>
        </row>
        <row r="1256">
          <cell r="B1256" t="str">
            <v>0086001</v>
          </cell>
          <cell r="C1256" t="str">
            <v>Elton John Clinic</v>
          </cell>
          <cell r="D1256" t="str">
            <v>Charitable Funds</v>
          </cell>
          <cell r="E1256" t="str">
            <v>RXHCHRT</v>
          </cell>
          <cell r="F1256" t="str">
            <v>Total Charitable Funds</v>
          </cell>
        </row>
        <row r="1257">
          <cell r="B1257" t="str">
            <v>0086003</v>
          </cell>
          <cell r="C1257" t="str">
            <v>Brighton Formulary</v>
          </cell>
          <cell r="D1257" t="str">
            <v>Charitable Funds</v>
          </cell>
          <cell r="E1257" t="str">
            <v>RXHCHRT</v>
          </cell>
          <cell r="F1257" t="str">
            <v>Total Charitable Funds</v>
          </cell>
        </row>
        <row r="1258">
          <cell r="B1258" t="str">
            <v>0086004</v>
          </cell>
          <cell r="C1258" t="str">
            <v>Dermatology</v>
          </cell>
          <cell r="D1258" t="str">
            <v>Charitable Funds</v>
          </cell>
          <cell r="E1258" t="str">
            <v>RXHCHRT</v>
          </cell>
          <cell r="F1258" t="str">
            <v>Total Charitable Funds</v>
          </cell>
        </row>
        <row r="1259">
          <cell r="B1259" t="str">
            <v>0086005</v>
          </cell>
          <cell r="C1259" t="str">
            <v>Geriatric</v>
          </cell>
          <cell r="D1259" t="str">
            <v>Charitable Funds</v>
          </cell>
          <cell r="E1259" t="str">
            <v>RXHCHRT</v>
          </cell>
          <cell r="F1259" t="str">
            <v>Total Charitable Funds</v>
          </cell>
        </row>
        <row r="1260">
          <cell r="B1260" t="str">
            <v>0086006</v>
          </cell>
          <cell r="C1260" t="str">
            <v>Nursery</v>
          </cell>
          <cell r="D1260" t="str">
            <v>Charitable Funds</v>
          </cell>
          <cell r="E1260" t="str">
            <v>RXHCHRT</v>
          </cell>
          <cell r="F1260" t="str">
            <v>Total Charitable Funds</v>
          </cell>
        </row>
        <row r="1261">
          <cell r="B1261" t="str">
            <v>0086007</v>
          </cell>
          <cell r="C1261" t="str">
            <v>Hospital Watch</v>
          </cell>
          <cell r="D1261" t="str">
            <v>Charitable Funds</v>
          </cell>
          <cell r="E1261" t="str">
            <v>RXHCHRT</v>
          </cell>
          <cell r="F1261" t="str">
            <v>Total Charitable Funds</v>
          </cell>
        </row>
        <row r="1262">
          <cell r="B1262" t="str">
            <v>0086008</v>
          </cell>
          <cell r="C1262" t="str">
            <v>Medical Unit Training</v>
          </cell>
          <cell r="D1262" t="str">
            <v>Charitable Funds</v>
          </cell>
          <cell r="E1262" t="str">
            <v>RXHCHRT</v>
          </cell>
          <cell r="F1262" t="str">
            <v>Total Charitable Funds</v>
          </cell>
        </row>
        <row r="1263">
          <cell r="B1263" t="str">
            <v>0086009</v>
          </cell>
          <cell r="C1263" t="str">
            <v>Medical Records/Opd  Bgh</v>
          </cell>
          <cell r="D1263" t="str">
            <v>Charitable Funds</v>
          </cell>
          <cell r="E1263" t="str">
            <v>RXHCHRT</v>
          </cell>
          <cell r="F1263" t="str">
            <v>Total Charitable Funds</v>
          </cell>
        </row>
        <row r="1264">
          <cell r="B1264" t="str">
            <v>0086010</v>
          </cell>
          <cell r="C1264" t="str">
            <v>Pharmacy</v>
          </cell>
          <cell r="D1264" t="str">
            <v>Charitable Funds</v>
          </cell>
          <cell r="E1264" t="str">
            <v>RXHCHRT</v>
          </cell>
          <cell r="F1264" t="str">
            <v>Total Charitable Funds</v>
          </cell>
        </row>
        <row r="1265">
          <cell r="B1265" t="str">
            <v>0086011</v>
          </cell>
          <cell r="C1265" t="str">
            <v>Self-Defence</v>
          </cell>
          <cell r="D1265" t="str">
            <v>Charitable Funds</v>
          </cell>
          <cell r="E1265" t="str">
            <v>RXHCHRT</v>
          </cell>
          <cell r="F1265" t="str">
            <v>Total Charitable Funds</v>
          </cell>
        </row>
        <row r="1266">
          <cell r="B1266" t="str">
            <v>0086012</v>
          </cell>
          <cell r="C1266" t="str">
            <v>Urology Department</v>
          </cell>
          <cell r="D1266" t="str">
            <v>Charitable Funds</v>
          </cell>
          <cell r="E1266" t="str">
            <v>RXHCHRT</v>
          </cell>
          <cell r="F1266" t="str">
            <v>Total Charitable Funds</v>
          </cell>
        </row>
        <row r="1267">
          <cell r="B1267" t="str">
            <v>0086013</v>
          </cell>
          <cell r="C1267" t="str">
            <v>New Bristol Ward Fund (Old C1)</v>
          </cell>
          <cell r="D1267" t="str">
            <v>Charitable Funds</v>
          </cell>
          <cell r="E1267" t="str">
            <v>RXHCHRT</v>
          </cell>
          <cell r="F1267" t="str">
            <v>Total Charitable Funds</v>
          </cell>
        </row>
        <row r="1268">
          <cell r="B1268" t="str">
            <v>0086014</v>
          </cell>
          <cell r="C1268" t="str">
            <v>Cuckmere 2 Ward</v>
          </cell>
          <cell r="D1268" t="str">
            <v>Charitable Funds</v>
          </cell>
          <cell r="E1268" t="str">
            <v>RXHCHRT</v>
          </cell>
          <cell r="F1268" t="str">
            <v>Total Charitable Funds</v>
          </cell>
        </row>
        <row r="1269">
          <cell r="B1269" t="str">
            <v>0086015</v>
          </cell>
          <cell r="C1269" t="str">
            <v>New Bailey Ward</v>
          </cell>
          <cell r="D1269" t="str">
            <v>Charitable Funds</v>
          </cell>
          <cell r="E1269" t="str">
            <v>RXHCHRT</v>
          </cell>
          <cell r="F1269" t="str">
            <v>Total Charitable Funds</v>
          </cell>
        </row>
        <row r="1270">
          <cell r="B1270" t="str">
            <v>0086016</v>
          </cell>
          <cell r="C1270" t="str">
            <v>Bristol Ward - Gynae</v>
          </cell>
          <cell r="D1270" t="str">
            <v>Charitable Funds</v>
          </cell>
          <cell r="E1270" t="str">
            <v>RXHCHRT</v>
          </cell>
          <cell r="F1270" t="str">
            <v>Total Charitable Funds</v>
          </cell>
        </row>
        <row r="1271">
          <cell r="B1271" t="str">
            <v>0086018</v>
          </cell>
          <cell r="C1271" t="str">
            <v>New Peel &amp; Stewart Fund (Old Edburton 3)</v>
          </cell>
          <cell r="D1271" t="str">
            <v>Charitable Funds</v>
          </cell>
          <cell r="E1271" t="str">
            <v>RXHCHRT</v>
          </cell>
          <cell r="F1271" t="str">
            <v>Total Charitable Funds</v>
          </cell>
        </row>
        <row r="1272">
          <cell r="B1272" t="str">
            <v>0086019</v>
          </cell>
          <cell r="C1272" t="str">
            <v xml:space="preserve"> Dyke 2 Ward</v>
          </cell>
          <cell r="D1272" t="str">
            <v>Charitable Funds</v>
          </cell>
          <cell r="E1272" t="str">
            <v>RXHCHRT</v>
          </cell>
          <cell r="F1272" t="str">
            <v>Total Charitable Funds</v>
          </cell>
        </row>
        <row r="1273">
          <cell r="B1273" t="str">
            <v>0086020</v>
          </cell>
          <cell r="C1273" t="str">
            <v>Day Surgery Unit E1</v>
          </cell>
          <cell r="D1273" t="str">
            <v>Charitable Funds</v>
          </cell>
          <cell r="E1273" t="str">
            <v>RXHCHRT</v>
          </cell>
          <cell r="F1273" t="str">
            <v>Total Charitable Funds</v>
          </cell>
        </row>
        <row r="1274">
          <cell r="B1274" t="str">
            <v>0086021</v>
          </cell>
          <cell r="C1274" t="str">
            <v>Better Deal For Staff</v>
          </cell>
          <cell r="D1274" t="str">
            <v>Charitable Funds</v>
          </cell>
          <cell r="E1274" t="str">
            <v>RXHCHRT</v>
          </cell>
          <cell r="F1274" t="str">
            <v>Total Charitable Funds</v>
          </cell>
        </row>
        <row r="1275">
          <cell r="B1275" t="str">
            <v>0086022</v>
          </cell>
          <cell r="C1275" t="str">
            <v>Voluntary Services</v>
          </cell>
          <cell r="D1275" t="str">
            <v>Charitable Funds</v>
          </cell>
          <cell r="E1275" t="str">
            <v>RXHCHRT</v>
          </cell>
          <cell r="F1275" t="str">
            <v>Total Charitable Funds</v>
          </cell>
        </row>
        <row r="1276">
          <cell r="B1276" t="str">
            <v>0086023</v>
          </cell>
          <cell r="C1276" t="str">
            <v>New Vallance Ward 05 Fund (Old Beech)</v>
          </cell>
          <cell r="D1276" t="str">
            <v>Charitable Funds</v>
          </cell>
          <cell r="E1276" t="str">
            <v>RXHCHRT</v>
          </cell>
          <cell r="F1276" t="str">
            <v>Total Charitable Funds</v>
          </cell>
        </row>
        <row r="1277">
          <cell r="B1277" t="str">
            <v>0086024</v>
          </cell>
          <cell r="C1277" t="str">
            <v>Brighton &amp; Sussex Allergy Research Fund</v>
          </cell>
          <cell r="D1277" t="str">
            <v>Charitable Funds</v>
          </cell>
          <cell r="E1277" t="str">
            <v>RXHCHRT</v>
          </cell>
          <cell r="F1277" t="str">
            <v>Total Charitable Funds</v>
          </cell>
        </row>
        <row r="1278">
          <cell r="B1278" t="str">
            <v>0087000</v>
          </cell>
          <cell r="C1278" t="str">
            <v>Princess Royal General Fund</v>
          </cell>
          <cell r="D1278" t="str">
            <v>Charitable Funds</v>
          </cell>
          <cell r="E1278" t="str">
            <v>RXHCHRT</v>
          </cell>
          <cell r="F1278" t="str">
            <v>Total Charitable Funds</v>
          </cell>
        </row>
        <row r="1279">
          <cell r="B1279" t="str">
            <v>0087001</v>
          </cell>
          <cell r="C1279" t="str">
            <v>Arthritic Fund</v>
          </cell>
          <cell r="D1279" t="str">
            <v>Charitable Funds</v>
          </cell>
          <cell r="E1279" t="str">
            <v>RXHCHRT</v>
          </cell>
          <cell r="F1279" t="str">
            <v>Total Charitable Funds</v>
          </cell>
        </row>
        <row r="1280">
          <cell r="B1280" t="str">
            <v>0087002</v>
          </cell>
          <cell r="C1280" t="str">
            <v>Breast Care Development Fund</v>
          </cell>
          <cell r="D1280" t="str">
            <v>Charitable Funds</v>
          </cell>
          <cell r="E1280" t="str">
            <v>RXHCHRT</v>
          </cell>
          <cell r="F1280" t="str">
            <v>Total Charitable Funds</v>
          </cell>
        </row>
        <row r="1281">
          <cell r="B1281" t="str">
            <v>0087003</v>
          </cell>
          <cell r="C1281" t="str">
            <v>Dermatology Resource Fund Prh</v>
          </cell>
          <cell r="D1281" t="str">
            <v>Charitable Funds</v>
          </cell>
          <cell r="E1281" t="str">
            <v>RXHCHRT</v>
          </cell>
          <cell r="F1281" t="str">
            <v>Total Charitable Funds</v>
          </cell>
        </row>
        <row r="1282">
          <cell r="B1282" t="str">
            <v>0087004</v>
          </cell>
          <cell r="C1282" t="str">
            <v>Diabetes &amp; Endo Research Fund</v>
          </cell>
          <cell r="D1282" t="str">
            <v>Charitable Funds</v>
          </cell>
          <cell r="E1282" t="str">
            <v>RXHCHRT</v>
          </cell>
          <cell r="F1282" t="str">
            <v>Total Charitable Funds</v>
          </cell>
        </row>
        <row r="1283">
          <cell r="B1283" t="str">
            <v>0087005</v>
          </cell>
          <cell r="C1283" t="str">
            <v>Diabetes &amp; Endocrine Fund</v>
          </cell>
          <cell r="D1283" t="str">
            <v>Charitable Funds</v>
          </cell>
          <cell r="E1283" t="str">
            <v>RXHCHRT</v>
          </cell>
          <cell r="F1283" t="str">
            <v>Total Charitable Funds</v>
          </cell>
        </row>
        <row r="1284">
          <cell r="B1284" t="str">
            <v>0087006</v>
          </cell>
          <cell r="C1284" t="str">
            <v>Elderly Health</v>
          </cell>
          <cell r="D1284" t="str">
            <v>Charitable Funds</v>
          </cell>
          <cell r="E1284" t="str">
            <v>RXHCHRT</v>
          </cell>
          <cell r="F1284" t="str">
            <v>Total Charitable Funds</v>
          </cell>
        </row>
        <row r="1285">
          <cell r="B1285" t="str">
            <v>0087007</v>
          </cell>
          <cell r="C1285" t="str">
            <v>Gastroenterology Spec Reg Educaation</v>
          </cell>
          <cell r="D1285" t="str">
            <v>Charitable Funds</v>
          </cell>
          <cell r="E1285" t="str">
            <v>RXHCHRT</v>
          </cell>
          <cell r="F1285" t="str">
            <v>Total Charitable Funds</v>
          </cell>
        </row>
        <row r="1286">
          <cell r="B1286" t="str">
            <v>0087008</v>
          </cell>
          <cell r="C1286" t="str">
            <v>Goodacre Bequest Fund</v>
          </cell>
          <cell r="D1286" t="str">
            <v>Charitable Funds</v>
          </cell>
          <cell r="E1286" t="str">
            <v>RXHCHRT</v>
          </cell>
          <cell r="F1286" t="str">
            <v>Total Charitable Funds</v>
          </cell>
        </row>
        <row r="1287">
          <cell r="B1287" t="str">
            <v>0087009</v>
          </cell>
          <cell r="C1287" t="str">
            <v>Goodacre Educational Trust Fund</v>
          </cell>
          <cell r="D1287" t="str">
            <v>Charitable Funds</v>
          </cell>
          <cell r="E1287" t="str">
            <v>RXHCHRT</v>
          </cell>
          <cell r="F1287" t="str">
            <v>Total Charitable Funds</v>
          </cell>
        </row>
        <row r="1288">
          <cell r="B1288" t="str">
            <v>0087010</v>
          </cell>
          <cell r="C1288" t="str">
            <v>Haematology Fund</v>
          </cell>
          <cell r="D1288" t="str">
            <v>Charitable Funds</v>
          </cell>
          <cell r="E1288" t="str">
            <v>RXHCHRT</v>
          </cell>
          <cell r="F1288" t="str">
            <v>Total Charitable Funds</v>
          </cell>
        </row>
        <row r="1289">
          <cell r="B1289" t="str">
            <v>0087011</v>
          </cell>
          <cell r="C1289" t="str">
            <v>Haywards Heath Chapel Fund</v>
          </cell>
          <cell r="D1289" t="str">
            <v>Charitable Funds</v>
          </cell>
          <cell r="E1289" t="str">
            <v>RXHCHRT</v>
          </cell>
          <cell r="F1289" t="str">
            <v>Total Charitable Funds</v>
          </cell>
        </row>
        <row r="1290">
          <cell r="B1290" t="str">
            <v>0087012</v>
          </cell>
          <cell r="C1290" t="str">
            <v>PRH Surgery Fund</v>
          </cell>
          <cell r="D1290" t="str">
            <v>Charitable Funds</v>
          </cell>
          <cell r="E1290" t="str">
            <v>RXHCHRT</v>
          </cell>
          <cell r="F1290" t="str">
            <v>Total Charitable Funds</v>
          </cell>
        </row>
        <row r="1291">
          <cell r="B1291" t="str">
            <v>0087013</v>
          </cell>
          <cell r="C1291" t="str">
            <v>Hpnc Angiography Fund</v>
          </cell>
          <cell r="D1291" t="str">
            <v>Charitable Funds</v>
          </cell>
          <cell r="E1291" t="str">
            <v>RXHCHRT</v>
          </cell>
          <cell r="F1291" t="str">
            <v>Total Charitable Funds</v>
          </cell>
        </row>
        <row r="1292">
          <cell r="B1292" t="str">
            <v>0087014</v>
          </cell>
          <cell r="C1292" t="str">
            <v>Hpnc General Fund</v>
          </cell>
          <cell r="D1292" t="str">
            <v>Charitable Funds</v>
          </cell>
          <cell r="E1292" t="str">
            <v>RXHCHRT</v>
          </cell>
          <cell r="F1292" t="str">
            <v>Total Charitable Funds</v>
          </cell>
        </row>
        <row r="1293">
          <cell r="B1293" t="str">
            <v>0087015</v>
          </cell>
          <cell r="C1293" t="str">
            <v>Hpnc Icu Fnd</v>
          </cell>
          <cell r="D1293" t="str">
            <v>Charitable Funds</v>
          </cell>
          <cell r="E1293" t="str">
            <v>RXHCHRT</v>
          </cell>
          <cell r="F1293" t="str">
            <v>Total Charitable Funds</v>
          </cell>
        </row>
        <row r="1294">
          <cell r="B1294" t="str">
            <v>0087016</v>
          </cell>
          <cell r="C1294" t="str">
            <v>Hpnc Multiple Sclerosis Fund</v>
          </cell>
          <cell r="D1294" t="str">
            <v>Charitable Funds</v>
          </cell>
          <cell r="E1294" t="str">
            <v>RXHCHRT</v>
          </cell>
          <cell r="F1294" t="str">
            <v>Total Charitable Funds</v>
          </cell>
        </row>
        <row r="1295">
          <cell r="B1295" t="str">
            <v>0087017</v>
          </cell>
          <cell r="C1295" t="str">
            <v>Hpnc Neurosciences Fund</v>
          </cell>
          <cell r="D1295" t="str">
            <v>Charitable Funds</v>
          </cell>
          <cell r="E1295" t="str">
            <v>RXHCHRT</v>
          </cell>
          <cell r="F1295" t="str">
            <v>Total Charitable Funds</v>
          </cell>
        </row>
        <row r="1296">
          <cell r="B1296" t="str">
            <v>0087018</v>
          </cell>
          <cell r="C1296" t="str">
            <v>Hpnc Neurosciences Research Fund</v>
          </cell>
          <cell r="D1296" t="str">
            <v>Charitable Funds</v>
          </cell>
          <cell r="E1296" t="str">
            <v>RXHCHRT</v>
          </cell>
          <cell r="F1296" t="str">
            <v>Total Charitable Funds</v>
          </cell>
        </row>
        <row r="1297">
          <cell r="B1297" t="str">
            <v>0087019</v>
          </cell>
          <cell r="C1297" t="str">
            <v>Hpnc Nursing Fund</v>
          </cell>
          <cell r="D1297" t="str">
            <v>Charitable Funds</v>
          </cell>
          <cell r="E1297" t="str">
            <v>RXHCHRT</v>
          </cell>
          <cell r="F1297" t="str">
            <v>Total Charitable Funds</v>
          </cell>
        </row>
        <row r="1298">
          <cell r="B1298" t="str">
            <v>0087020</v>
          </cell>
          <cell r="C1298" t="str">
            <v>Hurst Transport Service Fund</v>
          </cell>
          <cell r="D1298" t="str">
            <v>Charitable Funds</v>
          </cell>
          <cell r="E1298" t="str">
            <v>RXHCHRT</v>
          </cell>
          <cell r="F1298" t="str">
            <v>Total Charitable Funds</v>
          </cell>
        </row>
        <row r="1299">
          <cell r="B1299" t="str">
            <v>0087021</v>
          </cell>
          <cell r="C1299" t="str">
            <v>Infection Control Fund</v>
          </cell>
          <cell r="D1299" t="str">
            <v>Charitable Funds</v>
          </cell>
          <cell r="E1299" t="str">
            <v>RXHCHRT</v>
          </cell>
          <cell r="F1299" t="str">
            <v>Total Charitable Funds</v>
          </cell>
        </row>
        <row r="1300">
          <cell r="B1300" t="str">
            <v>0087022</v>
          </cell>
          <cell r="C1300" t="str">
            <v>Jean Phare Legacy Fund</v>
          </cell>
          <cell r="D1300" t="str">
            <v>Charitable Funds</v>
          </cell>
          <cell r="E1300" t="str">
            <v>RXHCHRT</v>
          </cell>
          <cell r="F1300" t="str">
            <v>Total Charitable Funds</v>
          </cell>
        </row>
        <row r="1301">
          <cell r="B1301" t="str">
            <v>0087023</v>
          </cell>
          <cell r="C1301" t="str">
            <v>Maps Fund</v>
          </cell>
          <cell r="D1301" t="str">
            <v>Charitable Funds</v>
          </cell>
          <cell r="E1301" t="str">
            <v>RXHCHRT</v>
          </cell>
          <cell r="F1301" t="str">
            <v>Total Charitable Funds</v>
          </cell>
        </row>
        <row r="1302">
          <cell r="B1302" t="str">
            <v>0087024</v>
          </cell>
          <cell r="C1302" t="str">
            <v>Medical Equip (F Clarke) Fund</v>
          </cell>
          <cell r="D1302" t="str">
            <v>Charitable Funds</v>
          </cell>
          <cell r="E1302" t="str">
            <v>RXHCHRT</v>
          </cell>
          <cell r="F1302" t="str">
            <v>Total Charitable Funds</v>
          </cell>
        </row>
        <row r="1303">
          <cell r="B1303" t="str">
            <v>0087025</v>
          </cell>
          <cell r="C1303" t="str">
            <v>Medical Patients Benefit Fund</v>
          </cell>
          <cell r="D1303" t="str">
            <v>Charitable Funds</v>
          </cell>
          <cell r="E1303" t="str">
            <v>RXHCHRT</v>
          </cell>
          <cell r="F1303" t="str">
            <v>Total Charitable Funds</v>
          </cell>
        </row>
        <row r="1304">
          <cell r="B1304" t="str">
            <v>0087026</v>
          </cell>
          <cell r="C1304" t="str">
            <v>Mid Sussex Trust General Fund</v>
          </cell>
          <cell r="D1304" t="str">
            <v>Charitable Funds</v>
          </cell>
          <cell r="E1304" t="str">
            <v>RXHCHRT</v>
          </cell>
          <cell r="F1304" t="str">
            <v>Total Charitable Funds</v>
          </cell>
        </row>
        <row r="1305">
          <cell r="B1305" t="str">
            <v>0087027</v>
          </cell>
          <cell r="C1305" t="str">
            <v>Nearly New Shop Fund</v>
          </cell>
          <cell r="D1305" t="str">
            <v>Charitable Funds</v>
          </cell>
          <cell r="E1305" t="str">
            <v>RXHCHRT</v>
          </cell>
          <cell r="F1305" t="str">
            <v>Total Charitable Funds</v>
          </cell>
        </row>
        <row r="1306">
          <cell r="B1306" t="str">
            <v>0087028</v>
          </cell>
          <cell r="C1306" t="str">
            <v>Nursing Staff Fund</v>
          </cell>
          <cell r="D1306" t="str">
            <v>Charitable Funds</v>
          </cell>
          <cell r="E1306" t="str">
            <v>RXHCHRT</v>
          </cell>
          <cell r="F1306" t="str">
            <v>Total Charitable Funds</v>
          </cell>
        </row>
        <row r="1307">
          <cell r="B1307" t="str">
            <v>0087029</v>
          </cell>
          <cell r="C1307" t="str">
            <v>Nutrition &amp; Dietetics Fund</v>
          </cell>
          <cell r="D1307" t="str">
            <v>Charitable Funds</v>
          </cell>
          <cell r="E1307" t="str">
            <v>RXHCHRT</v>
          </cell>
          <cell r="F1307" t="str">
            <v>Total Charitable Funds</v>
          </cell>
        </row>
        <row r="1308">
          <cell r="B1308" t="str">
            <v>0087030</v>
          </cell>
          <cell r="C1308" t="str">
            <v>Obs &amp; Gynae Cme Fund</v>
          </cell>
          <cell r="D1308" t="str">
            <v>Charitable Funds</v>
          </cell>
          <cell r="E1308" t="str">
            <v>RXHCHRT</v>
          </cell>
          <cell r="F1308" t="str">
            <v>Total Charitable Funds</v>
          </cell>
        </row>
        <row r="1309">
          <cell r="B1309" t="str">
            <v>0087031</v>
          </cell>
          <cell r="C1309" t="str">
            <v>Obs &amp; Gynae Education Fund</v>
          </cell>
          <cell r="D1309" t="str">
            <v>Charitable Funds</v>
          </cell>
          <cell r="E1309" t="str">
            <v>RXHCHRT</v>
          </cell>
          <cell r="F1309" t="str">
            <v>Total Charitable Funds</v>
          </cell>
        </row>
        <row r="1310">
          <cell r="B1310" t="str">
            <v>0087032</v>
          </cell>
          <cell r="C1310" t="str">
            <v>Occupational Health Fund</v>
          </cell>
          <cell r="D1310" t="str">
            <v>Charitable Funds</v>
          </cell>
          <cell r="E1310" t="str">
            <v>RXHCHRT</v>
          </cell>
          <cell r="F1310" t="str">
            <v>Total Charitable Funds</v>
          </cell>
        </row>
        <row r="1311">
          <cell r="B1311" t="str">
            <v>0087033</v>
          </cell>
          <cell r="C1311" t="str">
            <v>Outpatients Prh</v>
          </cell>
          <cell r="D1311" t="str">
            <v>Charitable Funds</v>
          </cell>
          <cell r="E1311" t="str">
            <v>RXHCHRT</v>
          </cell>
          <cell r="F1311" t="str">
            <v>Total Charitable Funds</v>
          </cell>
        </row>
        <row r="1312">
          <cell r="B1312" t="str">
            <v>0087034</v>
          </cell>
          <cell r="C1312" t="str">
            <v>Paediatrics Trust Fund</v>
          </cell>
          <cell r="D1312" t="str">
            <v>Charitable Funds</v>
          </cell>
          <cell r="E1312" t="str">
            <v>RXHCHRT</v>
          </cell>
          <cell r="F1312" t="str">
            <v>Total Charitable Funds</v>
          </cell>
        </row>
        <row r="1313">
          <cell r="B1313" t="str">
            <v>0087035</v>
          </cell>
          <cell r="C1313" t="str">
            <v>Pain Management Unit Prh</v>
          </cell>
          <cell r="D1313" t="str">
            <v>Charitable Funds</v>
          </cell>
          <cell r="E1313" t="str">
            <v>RXHCHRT</v>
          </cell>
          <cell r="F1313" t="str">
            <v>Total Charitable Funds</v>
          </cell>
        </row>
        <row r="1314">
          <cell r="B1314" t="str">
            <v>0087036</v>
          </cell>
          <cell r="C1314" t="str">
            <v>Palliative Care Fund</v>
          </cell>
          <cell r="D1314" t="str">
            <v>Charitable Funds</v>
          </cell>
          <cell r="E1314" t="str">
            <v>RXHCHRT</v>
          </cell>
          <cell r="F1314" t="str">
            <v>Total Charitable Funds</v>
          </cell>
        </row>
        <row r="1315">
          <cell r="B1315" t="str">
            <v>0087037</v>
          </cell>
          <cell r="C1315" t="str">
            <v>Pathology Laboratory Fund</v>
          </cell>
          <cell r="D1315" t="str">
            <v>Charitable Funds</v>
          </cell>
          <cell r="E1315" t="str">
            <v>RXHCHRT</v>
          </cell>
          <cell r="F1315" t="str">
            <v>Total Charitable Funds</v>
          </cell>
        </row>
        <row r="1316">
          <cell r="B1316" t="str">
            <v>0087038</v>
          </cell>
          <cell r="C1316" t="str">
            <v>Prh Medical Records Fund</v>
          </cell>
          <cell r="D1316" t="str">
            <v>Charitable Funds</v>
          </cell>
          <cell r="E1316" t="str">
            <v>RXHCHRT</v>
          </cell>
          <cell r="F1316" t="str">
            <v>Total Charitable Funds</v>
          </cell>
        </row>
        <row r="1317">
          <cell r="B1317" t="str">
            <v>0087039</v>
          </cell>
          <cell r="C1317" t="str">
            <v>Princess Royal A &amp; E Fund</v>
          </cell>
          <cell r="D1317" t="str">
            <v>Charitable Funds</v>
          </cell>
          <cell r="E1317" t="str">
            <v>RXHCHRT</v>
          </cell>
          <cell r="F1317" t="str">
            <v>Total Charitable Funds</v>
          </cell>
        </row>
        <row r="1318">
          <cell r="B1318" t="str">
            <v>0087040</v>
          </cell>
          <cell r="C1318" t="str">
            <v>Princess Royal Arts Project Fund</v>
          </cell>
          <cell r="D1318" t="str">
            <v>Charitable Funds</v>
          </cell>
          <cell r="E1318" t="str">
            <v>RXHCHRT</v>
          </cell>
          <cell r="F1318" t="str">
            <v>Total Charitable Funds</v>
          </cell>
        </row>
        <row r="1319">
          <cell r="B1319" t="str">
            <v>0087041</v>
          </cell>
          <cell r="C1319" t="str">
            <v>Princess Royal Biochemistry Fund</v>
          </cell>
          <cell r="D1319" t="str">
            <v>Charitable Funds</v>
          </cell>
          <cell r="E1319" t="str">
            <v>RXHCHRT</v>
          </cell>
          <cell r="F1319" t="str">
            <v>Total Charitable Funds</v>
          </cell>
        </row>
        <row r="1320">
          <cell r="B1320" t="str">
            <v>0087042</v>
          </cell>
          <cell r="C1320" t="str">
            <v>Princess Royal Cardiac Rehab Fund</v>
          </cell>
          <cell r="D1320" t="str">
            <v>Charitable Funds</v>
          </cell>
          <cell r="E1320" t="str">
            <v>RXHCHRT</v>
          </cell>
          <cell r="F1320" t="str">
            <v>Total Charitable Funds</v>
          </cell>
        </row>
        <row r="1321">
          <cell r="B1321" t="str">
            <v>0087043</v>
          </cell>
          <cell r="C1321" t="str">
            <v>Princess Royal Cardiology Fund</v>
          </cell>
          <cell r="D1321" t="str">
            <v>Charitable Funds</v>
          </cell>
          <cell r="E1321" t="str">
            <v>RXHCHRT</v>
          </cell>
          <cell r="F1321" t="str">
            <v>Total Charitable Funds</v>
          </cell>
        </row>
        <row r="1322">
          <cell r="B1322" t="str">
            <v>0087044</v>
          </cell>
          <cell r="C1322" t="str">
            <v>Princess Royal Chapel Fund</v>
          </cell>
          <cell r="D1322" t="str">
            <v>Charitable Funds</v>
          </cell>
          <cell r="E1322" t="str">
            <v>RXHCHRT</v>
          </cell>
          <cell r="F1322" t="str">
            <v>Total Charitable Funds</v>
          </cell>
        </row>
        <row r="1323">
          <cell r="B1323" t="str">
            <v>0087045</v>
          </cell>
          <cell r="C1323" t="str">
            <v>Princess Royal Day Hospital Assess &amp; Rehab</v>
          </cell>
          <cell r="D1323" t="str">
            <v>Charitable Funds</v>
          </cell>
          <cell r="E1323" t="str">
            <v>RXHCHRT</v>
          </cell>
          <cell r="F1323" t="str">
            <v>Total Charitable Funds</v>
          </cell>
        </row>
        <row r="1324">
          <cell r="B1324" t="str">
            <v>0087046</v>
          </cell>
          <cell r="C1324" t="str">
            <v>Princess Royal Ent Equip Fund</v>
          </cell>
          <cell r="D1324" t="str">
            <v>Charitable Funds</v>
          </cell>
          <cell r="E1324" t="str">
            <v>RXHCHRT</v>
          </cell>
          <cell r="F1324" t="str">
            <v>Total Charitable Funds</v>
          </cell>
        </row>
        <row r="1325">
          <cell r="B1325" t="str">
            <v>0087047</v>
          </cell>
          <cell r="C1325" t="str">
            <v>Princess Royal General - Equipment Only</v>
          </cell>
          <cell r="D1325" t="str">
            <v>Charitable Funds</v>
          </cell>
          <cell r="E1325" t="str">
            <v>RXHCHRT</v>
          </cell>
          <cell r="F1325" t="str">
            <v>Total Charitable Funds</v>
          </cell>
        </row>
        <row r="1326">
          <cell r="B1326" t="str">
            <v>0087048</v>
          </cell>
          <cell r="C1326" t="str">
            <v>Princess Royal Histopathology Fund</v>
          </cell>
          <cell r="D1326" t="str">
            <v>Charitable Funds</v>
          </cell>
          <cell r="E1326" t="str">
            <v>RXHCHRT</v>
          </cell>
          <cell r="F1326" t="str">
            <v>Total Charitable Funds</v>
          </cell>
        </row>
        <row r="1327">
          <cell r="B1327" t="str">
            <v>0087049</v>
          </cell>
          <cell r="C1327" t="str">
            <v>Princess Royal Hs Library Fund</v>
          </cell>
          <cell r="D1327" t="str">
            <v>Charitable Funds</v>
          </cell>
          <cell r="E1327" t="str">
            <v>RXHCHRT</v>
          </cell>
          <cell r="F1327" t="str">
            <v>Total Charitable Funds</v>
          </cell>
        </row>
        <row r="1328">
          <cell r="B1328" t="str">
            <v>0087050</v>
          </cell>
          <cell r="C1328" t="str">
            <v xml:space="preserve"> Princess Royal Icu Fund</v>
          </cell>
          <cell r="D1328" t="str">
            <v>Charitable Funds</v>
          </cell>
          <cell r="E1328" t="str">
            <v>RXHCHRT</v>
          </cell>
          <cell r="F1328" t="str">
            <v>Total Charitable Funds</v>
          </cell>
        </row>
        <row r="1329">
          <cell r="B1329" t="str">
            <v>0087051</v>
          </cell>
          <cell r="C1329" t="str">
            <v>Princess Royal Medical Directorate Fund</v>
          </cell>
          <cell r="D1329" t="str">
            <v>Charitable Funds</v>
          </cell>
          <cell r="E1329" t="str">
            <v>RXHCHRT</v>
          </cell>
          <cell r="F1329" t="str">
            <v>Total Charitable Funds</v>
          </cell>
        </row>
        <row r="1330">
          <cell r="B1330" t="str">
            <v>0087052</v>
          </cell>
          <cell r="C1330" t="str">
            <v>Princess Royal Microbiology Fund</v>
          </cell>
          <cell r="D1330" t="str">
            <v>Charitable Funds</v>
          </cell>
          <cell r="E1330" t="str">
            <v>RXHCHRT</v>
          </cell>
          <cell r="F1330" t="str">
            <v>Total Charitable Funds</v>
          </cell>
        </row>
        <row r="1331">
          <cell r="B1331" t="str">
            <v>0087053</v>
          </cell>
          <cell r="C1331" t="str">
            <v>Princess Royal Path Lab Fund</v>
          </cell>
          <cell r="D1331" t="str">
            <v>Charitable Funds</v>
          </cell>
          <cell r="E1331" t="str">
            <v>RXHCHRT</v>
          </cell>
          <cell r="F1331" t="str">
            <v>Total Charitable Funds</v>
          </cell>
        </row>
        <row r="1332">
          <cell r="B1332" t="str">
            <v>0087054</v>
          </cell>
          <cell r="C1332" t="str">
            <v>Princess Royal Patients Fund</v>
          </cell>
          <cell r="D1332" t="str">
            <v>Charitable Funds</v>
          </cell>
          <cell r="E1332" t="str">
            <v>RXHCHRT</v>
          </cell>
          <cell r="F1332" t="str">
            <v>Total Charitable Funds</v>
          </cell>
        </row>
        <row r="1333">
          <cell r="B1333" t="str">
            <v>0087055</v>
          </cell>
          <cell r="C1333" t="str">
            <v>Princess Royal Physiotherapy Fund</v>
          </cell>
          <cell r="D1333" t="str">
            <v>Charitable Funds</v>
          </cell>
          <cell r="E1333" t="str">
            <v>RXHCHRT</v>
          </cell>
          <cell r="F1333" t="str">
            <v>Total Charitable Funds</v>
          </cell>
        </row>
        <row r="1334">
          <cell r="B1334" t="str">
            <v>0087056</v>
          </cell>
          <cell r="C1334" t="str">
            <v>Princess Royal Research, Educ'N &amp; Equip Fund</v>
          </cell>
          <cell r="D1334" t="str">
            <v>Charitable Funds</v>
          </cell>
          <cell r="E1334" t="str">
            <v>RXHCHRT</v>
          </cell>
          <cell r="F1334" t="str">
            <v>Total Charitable Funds</v>
          </cell>
        </row>
        <row r="1335">
          <cell r="B1335" t="str">
            <v>0087057</v>
          </cell>
          <cell r="C1335" t="str">
            <v>Princess Royal Respiratory Fund</v>
          </cell>
          <cell r="D1335" t="str">
            <v>Charitable Funds</v>
          </cell>
          <cell r="E1335" t="str">
            <v>RXHCHRT</v>
          </cell>
          <cell r="F1335" t="str">
            <v>Total Charitable Funds</v>
          </cell>
        </row>
        <row r="1336">
          <cell r="B1336" t="str">
            <v>0087058</v>
          </cell>
          <cell r="C1336" t="str">
            <v>Princess Royal Special Fund</v>
          </cell>
          <cell r="D1336" t="str">
            <v>Charitable Funds</v>
          </cell>
          <cell r="E1336" t="str">
            <v>RXHCHRT</v>
          </cell>
          <cell r="F1336" t="str">
            <v>Total Charitable Funds</v>
          </cell>
        </row>
        <row r="1337">
          <cell r="B1337" t="str">
            <v>0087059</v>
          </cell>
          <cell r="C1337" t="str">
            <v>Princess Royal Stoma Care Fund</v>
          </cell>
          <cell r="D1337" t="str">
            <v>Charitable Funds</v>
          </cell>
          <cell r="E1337" t="str">
            <v>RXHCHRT</v>
          </cell>
          <cell r="F1337" t="str">
            <v>Total Charitable Funds</v>
          </cell>
        </row>
        <row r="1338">
          <cell r="B1338" t="str">
            <v>0087060</v>
          </cell>
          <cell r="C1338" t="str">
            <v>Princess Royal Surgical Research Fund</v>
          </cell>
          <cell r="D1338" t="str">
            <v>Charitable Funds</v>
          </cell>
          <cell r="E1338" t="str">
            <v>RXHCHRT</v>
          </cell>
          <cell r="F1338" t="str">
            <v>Total Charitable Funds</v>
          </cell>
        </row>
        <row r="1339">
          <cell r="B1339" t="str">
            <v>0087061</v>
          </cell>
          <cell r="C1339" t="str">
            <v>Princess Royal Urology Fund</v>
          </cell>
          <cell r="D1339" t="str">
            <v>Charitable Funds</v>
          </cell>
          <cell r="E1339" t="str">
            <v>RXHCHRT</v>
          </cell>
          <cell r="F1339" t="str">
            <v>Total Charitable Funds</v>
          </cell>
        </row>
        <row r="1340">
          <cell r="B1340" t="str">
            <v>0087062</v>
          </cell>
          <cell r="C1340" t="str">
            <v>Princess Royal Vol Services Fund</v>
          </cell>
          <cell r="D1340" t="str">
            <v>Charitable Funds</v>
          </cell>
          <cell r="E1340" t="str">
            <v>RXHCHRT</v>
          </cell>
          <cell r="F1340" t="str">
            <v>Total Charitable Funds</v>
          </cell>
        </row>
        <row r="1341">
          <cell r="B1341" t="str">
            <v>0087063</v>
          </cell>
          <cell r="C1341" t="str">
            <v>Princess Royal X-Ray Fund</v>
          </cell>
          <cell r="D1341" t="str">
            <v>Charitable Funds</v>
          </cell>
          <cell r="E1341" t="str">
            <v>RXHCHRT</v>
          </cell>
          <cell r="F1341" t="str">
            <v>Total Charitable Funds</v>
          </cell>
        </row>
        <row r="1342">
          <cell r="B1342" t="str">
            <v>0087064</v>
          </cell>
          <cell r="C1342" t="str">
            <v>Princess Royal Pharmacy Fund</v>
          </cell>
          <cell r="D1342" t="str">
            <v>Charitable Funds</v>
          </cell>
          <cell r="E1342" t="str">
            <v>RXHCHRT</v>
          </cell>
          <cell r="F1342" t="str">
            <v>Total Charitable Funds</v>
          </cell>
        </row>
        <row r="1343">
          <cell r="B1343" t="str">
            <v>0087065</v>
          </cell>
          <cell r="C1343" t="str">
            <v>Resuscitation Trust Fund</v>
          </cell>
          <cell r="D1343" t="str">
            <v>Charitable Funds</v>
          </cell>
          <cell r="E1343" t="str">
            <v>RXHCHRT</v>
          </cell>
          <cell r="F1343" t="str">
            <v>Total Charitable Funds</v>
          </cell>
        </row>
        <row r="1344">
          <cell r="B1344" t="str">
            <v>0087066</v>
          </cell>
          <cell r="C1344" t="str">
            <v>Rheumatology Trust Fund</v>
          </cell>
          <cell r="D1344" t="str">
            <v>Charitable Funds</v>
          </cell>
          <cell r="E1344" t="str">
            <v>RXHCHRT</v>
          </cell>
          <cell r="F1344" t="str">
            <v>Total Charitable Funds</v>
          </cell>
        </row>
        <row r="1345">
          <cell r="B1345" t="str">
            <v>0087067</v>
          </cell>
          <cell r="C1345" t="str">
            <v>Scbu Fund</v>
          </cell>
          <cell r="D1345" t="str">
            <v>Charitable Funds</v>
          </cell>
          <cell r="E1345" t="str">
            <v>RXHCHRT</v>
          </cell>
          <cell r="F1345" t="str">
            <v>Total Charitable Funds</v>
          </cell>
        </row>
        <row r="1346">
          <cell r="B1346" t="str">
            <v>0087068</v>
          </cell>
          <cell r="C1346" t="str">
            <v>St Francis Swimming Fund</v>
          </cell>
          <cell r="D1346" t="str">
            <v>Charitable Funds</v>
          </cell>
          <cell r="E1346" t="str">
            <v>RXHCHRT</v>
          </cell>
          <cell r="F1346" t="str">
            <v>Total Charitable Funds</v>
          </cell>
        </row>
        <row r="1347">
          <cell r="B1347" t="str">
            <v>0087069</v>
          </cell>
          <cell r="C1347" t="str">
            <v>Staff Lottery Fund</v>
          </cell>
          <cell r="D1347" t="str">
            <v>Charitable Funds</v>
          </cell>
          <cell r="E1347" t="str">
            <v>RXHCHRT</v>
          </cell>
          <cell r="F1347" t="str">
            <v>Total Charitable Funds</v>
          </cell>
        </row>
        <row r="1348">
          <cell r="B1348" t="str">
            <v>0087070</v>
          </cell>
          <cell r="C1348" t="str">
            <v>Stroke Rehabilitation Unit</v>
          </cell>
          <cell r="D1348" t="str">
            <v>Charitable Funds</v>
          </cell>
          <cell r="E1348" t="str">
            <v>RXHCHRT</v>
          </cell>
          <cell r="F1348" t="str">
            <v>Total Charitable Funds</v>
          </cell>
        </row>
        <row r="1349">
          <cell r="B1349" t="str">
            <v>0087071</v>
          </cell>
          <cell r="C1349" t="str">
            <v>Theatre Staff Fund</v>
          </cell>
          <cell r="D1349" t="str">
            <v>Charitable Funds</v>
          </cell>
          <cell r="E1349" t="str">
            <v>RXHCHRT</v>
          </cell>
          <cell r="F1349" t="str">
            <v>Total Charitable Funds</v>
          </cell>
        </row>
        <row r="1350">
          <cell r="B1350" t="str">
            <v>0087072</v>
          </cell>
          <cell r="C1350" t="str">
            <v>Wcd Midwifery &amp; Nursing Fund</v>
          </cell>
          <cell r="D1350" t="str">
            <v>Charitable Funds</v>
          </cell>
          <cell r="E1350" t="str">
            <v>RXHCHRT</v>
          </cell>
          <cell r="F1350" t="str">
            <v>Total Charitable Funds</v>
          </cell>
        </row>
        <row r="1351">
          <cell r="B1351" t="str">
            <v>0087073</v>
          </cell>
          <cell r="C1351" t="str">
            <v>Wendy House Playgroup Fund</v>
          </cell>
          <cell r="D1351" t="str">
            <v>Charitable Funds</v>
          </cell>
          <cell r="E1351" t="str">
            <v>RXHCHRT</v>
          </cell>
          <cell r="F1351" t="str">
            <v>Total Charitable Funds</v>
          </cell>
        </row>
        <row r="1352">
          <cell r="B1352" t="str">
            <v>0087074</v>
          </cell>
          <cell r="C1352" t="str">
            <v>Albourne/Twineham Ward Fund</v>
          </cell>
          <cell r="D1352" t="str">
            <v>Charitable Funds</v>
          </cell>
          <cell r="E1352" t="str">
            <v>RXHCHRT</v>
          </cell>
          <cell r="F1352" t="str">
            <v>Total Charitable Funds</v>
          </cell>
        </row>
        <row r="1353">
          <cell r="B1353" t="str">
            <v>0087075</v>
          </cell>
          <cell r="C1353" t="str">
            <v>Ansty Ward Fund</v>
          </cell>
          <cell r="D1353" t="str">
            <v>Charitable Funds</v>
          </cell>
          <cell r="E1353" t="str">
            <v>RXHCHRT</v>
          </cell>
          <cell r="F1353" t="str">
            <v>Total Charitable Funds</v>
          </cell>
        </row>
        <row r="1354">
          <cell r="B1354" t="str">
            <v>0087076</v>
          </cell>
          <cell r="C1354" t="str">
            <v>Balcombe Ward Fund</v>
          </cell>
          <cell r="D1354" t="str">
            <v>Charitable Funds</v>
          </cell>
          <cell r="E1354" t="str">
            <v>RXHCHRT</v>
          </cell>
          <cell r="F1354" t="str">
            <v>Total Charitable Funds</v>
          </cell>
        </row>
        <row r="1355">
          <cell r="B1355" t="str">
            <v>0087077</v>
          </cell>
          <cell r="C1355" t="str">
            <v>Bolney Ward Fund</v>
          </cell>
          <cell r="D1355" t="str">
            <v>Charitable Funds</v>
          </cell>
          <cell r="E1355" t="str">
            <v>RXHCHRT</v>
          </cell>
          <cell r="F1355" t="str">
            <v>Total Charitable Funds</v>
          </cell>
        </row>
        <row r="1356">
          <cell r="B1356" t="str">
            <v>0087078</v>
          </cell>
          <cell r="C1356" t="str">
            <v>Cuckfield Ward Fund</v>
          </cell>
          <cell r="D1356" t="str">
            <v>Charitable Funds</v>
          </cell>
          <cell r="E1356" t="str">
            <v>RXHCHRT</v>
          </cell>
          <cell r="F1356" t="str">
            <v>Total Charitable Funds</v>
          </cell>
        </row>
        <row r="1357">
          <cell r="B1357" t="str">
            <v>0087079</v>
          </cell>
          <cell r="C1357" t="str">
            <v>Horsted Keynes Adult Ward Fund</v>
          </cell>
          <cell r="D1357" t="str">
            <v>Charitable Funds</v>
          </cell>
          <cell r="E1357" t="str">
            <v>RXHCHRT</v>
          </cell>
          <cell r="F1357" t="str">
            <v>Total Charitable Funds</v>
          </cell>
        </row>
        <row r="1358">
          <cell r="B1358" t="str">
            <v>0087080</v>
          </cell>
          <cell r="C1358" t="str">
            <v>Horsted Keynes Ward Fund</v>
          </cell>
          <cell r="D1358" t="str">
            <v>Charitable Funds</v>
          </cell>
          <cell r="E1358" t="str">
            <v>RXHCHRT</v>
          </cell>
          <cell r="F1358" t="str">
            <v>Total Charitable Funds</v>
          </cell>
        </row>
        <row r="1359">
          <cell r="B1359" t="str">
            <v>0087083</v>
          </cell>
          <cell r="C1359" t="str">
            <v>Pyecombe Ward Fund</v>
          </cell>
          <cell r="D1359" t="str">
            <v>Charitable Funds</v>
          </cell>
          <cell r="E1359" t="str">
            <v>RXHCHRT</v>
          </cell>
          <cell r="F1359" t="str">
            <v>Total Charitable Funds</v>
          </cell>
        </row>
        <row r="1360">
          <cell r="B1360" t="str">
            <v>0087084</v>
          </cell>
          <cell r="C1360" t="str">
            <v>Hurstpierpoint Ward Fund (old Twineham)</v>
          </cell>
          <cell r="D1360" t="str">
            <v>Charitable Funds</v>
          </cell>
          <cell r="E1360" t="str">
            <v>RXHCHRT</v>
          </cell>
          <cell r="F1360" t="str">
            <v>Total Charitable Funds</v>
          </cell>
        </row>
        <row r="1361">
          <cell r="B1361" t="str">
            <v>0087085</v>
          </cell>
          <cell r="C1361" t="str">
            <v>Hurstpierpoint Ward Nurses Fund</v>
          </cell>
          <cell r="D1361" t="str">
            <v>Charitable Funds</v>
          </cell>
          <cell r="E1361" t="str">
            <v>RXHCHRT</v>
          </cell>
          <cell r="F1361" t="str">
            <v>Total Charitable Funds</v>
          </cell>
        </row>
        <row r="1362">
          <cell r="B1362" t="str">
            <v>0087086</v>
          </cell>
          <cell r="C1362" t="str">
            <v>Maternity PRH</v>
          </cell>
          <cell r="D1362" t="str">
            <v>Charitable Funds</v>
          </cell>
          <cell r="E1362" t="str">
            <v>RXHCHRT</v>
          </cell>
          <cell r="F1362" t="str">
            <v>Total Charitable Funds</v>
          </cell>
        </row>
        <row r="1363">
          <cell r="B1363" t="str">
            <v>0087089</v>
          </cell>
          <cell r="C1363" t="str">
            <v>Ardingly Ward (Old Lindfield)</v>
          </cell>
          <cell r="D1363" t="str">
            <v>Charitable Funds</v>
          </cell>
          <cell r="E1363" t="str">
            <v>RXHCHRT</v>
          </cell>
          <cell r="F1363" t="str">
            <v>Total Charitable Funds</v>
          </cell>
        </row>
        <row r="1364">
          <cell r="B1364" t="str">
            <v>0088000</v>
          </cell>
          <cell r="C1364" t="str">
            <v>PGMC Education Fund</v>
          </cell>
          <cell r="D1364" t="str">
            <v>Charitable Funds</v>
          </cell>
          <cell r="E1364" t="str">
            <v>RXHCHRT</v>
          </cell>
          <cell r="F1364" t="str">
            <v>Total Charitable Funds</v>
          </cell>
        </row>
        <row r="1365">
          <cell r="B1365" t="str">
            <v>0088001</v>
          </cell>
          <cell r="C1365" t="str">
            <v>Library Endowment fund</v>
          </cell>
          <cell r="D1365" t="str">
            <v>Charitable Funds</v>
          </cell>
          <cell r="E1365" t="str">
            <v>RXHCHRT</v>
          </cell>
          <cell r="F1365" t="str">
            <v>Total Charitable Funds</v>
          </cell>
        </row>
        <row r="1366">
          <cell r="B1366" t="str">
            <v>0089000</v>
          </cell>
          <cell r="C1366" t="str">
            <v>Charitable Funds Unallocated</v>
          </cell>
          <cell r="D1366" t="str">
            <v>Charitable Funds</v>
          </cell>
          <cell r="E1366" t="str">
            <v>RXHCHRT</v>
          </cell>
          <cell r="F1366" t="str">
            <v>Total Charitable Funds</v>
          </cell>
        </row>
        <row r="1367">
          <cell r="B1367" t="str">
            <v>0089001</v>
          </cell>
          <cell r="C1367" t="str">
            <v>Restricted Unrealised Gain/Loss</v>
          </cell>
          <cell r="D1367" t="str">
            <v>Charitable Funds</v>
          </cell>
          <cell r="E1367" t="str">
            <v>RXHCHRT</v>
          </cell>
          <cell r="F1367" t="str">
            <v>Total Charitable Funds</v>
          </cell>
        </row>
        <row r="1368">
          <cell r="B1368" t="str">
            <v>0089002</v>
          </cell>
          <cell r="C1368" t="str">
            <v>Unrestricted Unrealised Gain/Loss</v>
          </cell>
          <cell r="D1368" t="str">
            <v>Charitable Funds</v>
          </cell>
          <cell r="E1368" t="str">
            <v>RXHCHRT</v>
          </cell>
          <cell r="F1368" t="str">
            <v>Total Charitable Funds</v>
          </cell>
        </row>
        <row r="1369">
          <cell r="B1369" t="str">
            <v>0089003</v>
          </cell>
          <cell r="C1369" t="str">
            <v>Endownment Unrealised Gain/Loss</v>
          </cell>
          <cell r="D1369" t="str">
            <v>Charitable Funds</v>
          </cell>
          <cell r="E1369" t="str">
            <v>RXHCHRT</v>
          </cell>
          <cell r="F1369" t="str">
            <v>Total Charitable Funds</v>
          </cell>
        </row>
        <row r="1370">
          <cell r="B1370" t="str">
            <v>0098880</v>
          </cell>
          <cell r="C1370" t="str">
            <v>B/S Charitable Funds</v>
          </cell>
          <cell r="D1370" t="str">
            <v>Balance Sheet</v>
          </cell>
          <cell r="E1370" t="str">
            <v>BSCCTTL</v>
          </cell>
          <cell r="F1370" t="str">
            <v>Total Balance Sheet Cost Centres</v>
          </cell>
        </row>
        <row r="1371">
          <cell r="B1371" t="str">
            <v>0099800</v>
          </cell>
          <cell r="C1371" t="str">
            <v>B/S Commissioning and Income</v>
          </cell>
          <cell r="D1371" t="str">
            <v>Balance Sheet</v>
          </cell>
          <cell r="E1371" t="str">
            <v>BSCCTTL</v>
          </cell>
          <cell r="F1371" t="str">
            <v>Total Balance Sheet Cost Centres</v>
          </cell>
        </row>
        <row r="1372">
          <cell r="B1372" t="str">
            <v>0099801</v>
          </cell>
          <cell r="C1372" t="str">
            <v>B/S Emergency Division</v>
          </cell>
          <cell r="D1372" t="str">
            <v>Balance Sheet</v>
          </cell>
          <cell r="E1372" t="str">
            <v>BSCCTTL</v>
          </cell>
          <cell r="F1372" t="str">
            <v>Total Balance Sheet Cost Centres</v>
          </cell>
        </row>
        <row r="1373">
          <cell r="B1373" t="str">
            <v>0099802</v>
          </cell>
          <cell r="C1373" t="str">
            <v>B/S Elective Division</v>
          </cell>
          <cell r="D1373" t="str">
            <v>Balance Sheet</v>
          </cell>
          <cell r="E1373" t="str">
            <v>BSCCTTL</v>
          </cell>
          <cell r="F1373" t="str">
            <v>Total Balance Sheet Cost Centres</v>
          </cell>
        </row>
        <row r="1374">
          <cell r="B1374" t="str">
            <v>0099803</v>
          </cell>
          <cell r="C1374" t="str">
            <v>B/S Specialised Services Division</v>
          </cell>
          <cell r="D1374" t="str">
            <v>Balance Sheet</v>
          </cell>
          <cell r="E1374" t="str">
            <v>BSCCTTL</v>
          </cell>
          <cell r="F1374" t="str">
            <v>Total Balance Sheet Cost Centres</v>
          </cell>
        </row>
        <row r="1375">
          <cell r="B1375" t="str">
            <v>0099810</v>
          </cell>
          <cell r="C1375" t="str">
            <v>B/S Women &amp; Children Division</v>
          </cell>
          <cell r="D1375" t="str">
            <v>Balance Sheet</v>
          </cell>
          <cell r="E1375" t="str">
            <v>BSCCTTL</v>
          </cell>
          <cell r="F1375" t="str">
            <v>Total Balance Sheet Cost Centres</v>
          </cell>
        </row>
        <row r="1376">
          <cell r="B1376" t="str">
            <v>0099830</v>
          </cell>
          <cell r="C1376" t="str">
            <v>B/S Performance and Planning</v>
          </cell>
          <cell r="D1376" t="str">
            <v>Balance Sheet</v>
          </cell>
          <cell r="E1376" t="str">
            <v>BSCCTTL</v>
          </cell>
          <cell r="F1376" t="str">
            <v>Total Balance Sheet Cost Centres</v>
          </cell>
        </row>
        <row r="1377">
          <cell r="B1377" t="str">
            <v>0099831</v>
          </cell>
          <cell r="C1377" t="str">
            <v>B/S DPSG</v>
          </cell>
          <cell r="D1377" t="str">
            <v>Balance Sheet</v>
          </cell>
          <cell r="E1377" t="str">
            <v>BSCCTTL</v>
          </cell>
          <cell r="F1377" t="str">
            <v>Total Balance Sheet Cost Centres</v>
          </cell>
        </row>
        <row r="1378">
          <cell r="B1378" t="str">
            <v>0099832</v>
          </cell>
          <cell r="C1378" t="str">
            <v>B/S Human Resources</v>
          </cell>
          <cell r="D1378" t="str">
            <v>Balance Sheet</v>
          </cell>
          <cell r="E1378" t="str">
            <v>BSCCTTL</v>
          </cell>
          <cell r="F1378" t="str">
            <v>Total Balance Sheet Cost Centres</v>
          </cell>
        </row>
        <row r="1379">
          <cell r="B1379" t="str">
            <v>0099833</v>
          </cell>
          <cell r="C1379" t="str">
            <v>B/S Finance</v>
          </cell>
          <cell r="D1379" t="str">
            <v>Balance Sheet</v>
          </cell>
          <cell r="E1379" t="str">
            <v>BSCCTTL</v>
          </cell>
          <cell r="F1379" t="str">
            <v>Total Balance Sheet Cost Centres</v>
          </cell>
        </row>
        <row r="1380">
          <cell r="B1380" t="str">
            <v>0099834</v>
          </cell>
          <cell r="C1380" t="str">
            <v>B/S Chief Exec and Turnaround</v>
          </cell>
          <cell r="D1380" t="str">
            <v>Balance Sheet</v>
          </cell>
          <cell r="E1380" t="str">
            <v>BSCCTTL</v>
          </cell>
          <cell r="F1380" t="str">
            <v>Total Balance Sheet Cost Centres</v>
          </cell>
        </row>
        <row r="1381">
          <cell r="B1381" t="str">
            <v>0099835</v>
          </cell>
          <cell r="C1381" t="str">
            <v>B/S R&amp;D Directorate</v>
          </cell>
          <cell r="D1381" t="str">
            <v>Balance Sheet</v>
          </cell>
          <cell r="E1381" t="str">
            <v>BSCCTTL</v>
          </cell>
          <cell r="F1381" t="str">
            <v>Total Balance Sheet Cost Centres</v>
          </cell>
        </row>
        <row r="1382">
          <cell r="B1382" t="str">
            <v>0099850</v>
          </cell>
          <cell r="C1382" t="str">
            <v>B/S Facilities &amp; Cap Dev Team</v>
          </cell>
          <cell r="D1382" t="str">
            <v>Balance Sheet</v>
          </cell>
          <cell r="E1382" t="str">
            <v>BSCCTTL</v>
          </cell>
          <cell r="F1382" t="str">
            <v>Total Balance Sheet Cost Centres</v>
          </cell>
        </row>
        <row r="1383">
          <cell r="B1383" t="str">
            <v>0099860</v>
          </cell>
          <cell r="C1383" t="str">
            <v>B/S Specialised Services Team</v>
          </cell>
          <cell r="D1383" t="str">
            <v>Balance Sheet</v>
          </cell>
          <cell r="E1383" t="str">
            <v>BSCCTTL</v>
          </cell>
          <cell r="F1383" t="str">
            <v>Total Balance Sheet Cost Centres</v>
          </cell>
        </row>
        <row r="1384">
          <cell r="B1384" t="str">
            <v>0099890</v>
          </cell>
          <cell r="C1384" t="str">
            <v>B/S Medical School</v>
          </cell>
          <cell r="D1384" t="str">
            <v>Balance Sheet</v>
          </cell>
          <cell r="E1384" t="str">
            <v>BSCCTTL</v>
          </cell>
          <cell r="F1384" t="str">
            <v>Total Balance Sheet Cost Centres</v>
          </cell>
        </row>
        <row r="1385">
          <cell r="B1385" t="str">
            <v>0099900</v>
          </cell>
          <cell r="C1385" t="str">
            <v>B/S Systems Team</v>
          </cell>
          <cell r="D1385" t="str">
            <v>Balance Sheet</v>
          </cell>
          <cell r="E1385" t="str">
            <v>BSCCTTL</v>
          </cell>
          <cell r="F1385" t="str">
            <v>Total Balance Sheet Cost Centres</v>
          </cell>
        </row>
        <row r="1386">
          <cell r="B1386" t="str">
            <v>0099901</v>
          </cell>
          <cell r="C1386" t="str">
            <v>Reserves</v>
          </cell>
          <cell r="D1386" t="str">
            <v>Balance Sheet</v>
          </cell>
          <cell r="E1386" t="str">
            <v>BSCCTTL</v>
          </cell>
          <cell r="F1386" t="str">
            <v>Total Balance Sheet Cost Centres</v>
          </cell>
        </row>
        <row r="1387">
          <cell r="B1387" t="str">
            <v>0099910</v>
          </cell>
          <cell r="C1387" t="str">
            <v>B/S Inter-Company</v>
          </cell>
          <cell r="D1387" t="str">
            <v>Balance Sheet</v>
          </cell>
          <cell r="E1387" t="str">
            <v>BSCCTTL</v>
          </cell>
          <cell r="F1387" t="str">
            <v>Total Balance Sheet Cost Centres</v>
          </cell>
        </row>
        <row r="1388">
          <cell r="B1388" t="str">
            <v>0099940</v>
          </cell>
          <cell r="C1388" t="str">
            <v>B/S Oracle</v>
          </cell>
          <cell r="D1388" t="str">
            <v>Balance Sheet</v>
          </cell>
          <cell r="E1388" t="str">
            <v>BSCCTTL</v>
          </cell>
          <cell r="F1388" t="str">
            <v>Total Balance Sheet Cost Centres</v>
          </cell>
        </row>
        <row r="1389">
          <cell r="B1389" t="str">
            <v>0099950</v>
          </cell>
          <cell r="C1389" t="str">
            <v>B/S Payroll</v>
          </cell>
          <cell r="D1389" t="str">
            <v>Balance Sheet</v>
          </cell>
          <cell r="E1389" t="str">
            <v>BSCCTTL</v>
          </cell>
          <cell r="F1389" t="str">
            <v>Total Balance Sheet Cost Centres</v>
          </cell>
        </row>
        <row r="1390">
          <cell r="B1390" t="str">
            <v>0099960</v>
          </cell>
          <cell r="C1390" t="str">
            <v>B/S Cashiers</v>
          </cell>
          <cell r="D1390" t="str">
            <v>Balance Sheet</v>
          </cell>
          <cell r="E1390" t="str">
            <v>BSCCTTL</v>
          </cell>
          <cell r="F1390" t="str">
            <v>Total Balance Sheet Cost Centres</v>
          </cell>
        </row>
        <row r="1391">
          <cell r="B1391" t="str">
            <v>0099970</v>
          </cell>
          <cell r="C1391" t="str">
            <v>B/S Income</v>
          </cell>
          <cell r="D1391" t="str">
            <v>Balance Sheet</v>
          </cell>
          <cell r="E1391" t="str">
            <v>BSCCTTL</v>
          </cell>
          <cell r="F1391" t="str">
            <v>Total Balance Sheet Cost Centres</v>
          </cell>
        </row>
        <row r="1392">
          <cell r="B1392" t="str">
            <v>0099980</v>
          </cell>
          <cell r="C1392" t="str">
            <v>B/S Payments</v>
          </cell>
          <cell r="D1392" t="str">
            <v>Balance Sheet</v>
          </cell>
          <cell r="E1392" t="str">
            <v>BSCCTTL</v>
          </cell>
          <cell r="F1392" t="str">
            <v>Total Balance Sheet Cost Centres</v>
          </cell>
        </row>
        <row r="1393">
          <cell r="B1393" t="str">
            <v>0099990</v>
          </cell>
          <cell r="C1393" t="str">
            <v>B/S Financial Control</v>
          </cell>
          <cell r="D1393" t="str">
            <v>Balance Sheet</v>
          </cell>
          <cell r="E1393" t="str">
            <v>BSCCTTL</v>
          </cell>
          <cell r="F1393" t="str">
            <v>Total Balance Sheet Cost Centres</v>
          </cell>
        </row>
      </sheetData>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troduction"/>
      <sheetName val="INPUTS --&gt;"/>
      <sheetName val="FRR"/>
      <sheetName val="DHM"/>
      <sheetName val="IS Act"/>
      <sheetName val="SoFP Act"/>
      <sheetName val="Rev"/>
      <sheetName val="Normalised Position"/>
      <sheetName val="Contingency &amp; Risks"/>
      <sheetName val="IS Rec"/>
      <sheetName val="CIPS"/>
      <sheetName val="Workforce"/>
      <sheetName val="Cash"/>
      <sheetName val="BPPC"/>
      <sheetName val="PLAN DATA --&gt;"/>
      <sheetName val="IS Plan"/>
      <sheetName val="SoFP Plan"/>
      <sheetName val="CIPS Plan"/>
      <sheetName val="WF Plan"/>
      <sheetName val="OUTPUTS --&gt;"/>
      <sheetName val="Briefings"/>
      <sheetName val="Validations"/>
    </sheetNames>
    <sheetDataSet>
      <sheetData sheetId="0"/>
      <sheetData sheetId="1">
        <row r="8">
          <cell r="D8" t="str">
            <v>Month 11</v>
          </cell>
        </row>
        <row r="11">
          <cell r="D11" t="str">
            <v>RXH</v>
          </cell>
        </row>
      </sheetData>
      <sheetData sheetId="2"/>
      <sheetData sheetId="3"/>
      <sheetData sheetId="4"/>
      <sheetData sheetId="5">
        <row r="30">
          <cell r="O3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Page"/>
      <sheetName val="Surplus"/>
      <sheetName val="NEW Risk Ratings"/>
      <sheetName val="OLD Risk Ratings"/>
      <sheetName val="TDA"/>
      <sheetName val="FRR"/>
      <sheetName val="COSratings"/>
      <sheetName val="COSratings calcs"/>
      <sheetName val="FRR Calcs"/>
      <sheetName val="Cash"/>
      <sheetName val="Rolling Cashflow"/>
      <sheetName val="Income"/>
      <sheetName val="Contract Perf (old)"/>
      <sheetName val="Contract Performance"/>
      <sheetName val="Operating Costs"/>
      <sheetName val="Contract Performance OLD"/>
      <sheetName val="Finance"/>
      <sheetName val="contract Monitoring Month 3"/>
      <sheetName val="Contract Performance (old)"/>
      <sheetName val="Sheet5"/>
      <sheetName val="contract Monitoring"/>
      <sheetName val="SOFP"/>
      <sheetName val="Debtors"/>
      <sheetName val="Capital"/>
      <sheetName val="Specialty Performance"/>
      <sheetName val="Divisional Performance"/>
      <sheetName val="FRR 2"/>
      <sheetName val="Forward Financial Risk"/>
      <sheetName val="Tips"/>
      <sheetName val="Cost Improvement Prog"/>
      <sheetName val="IncomeandExpenditure Data"/>
      <sheetName val="Monthly workings for CIPs"/>
      <sheetName val="Chart Data"/>
      <sheetName val="Manual adjs "/>
      <sheetName val="KN Baseplan"/>
      <sheetName val="KN Forecast Actuals"/>
      <sheetName val="IncomeandExpenditure Data2"/>
      <sheetName val="Balance Sheet Data"/>
      <sheetName val="Cash Data"/>
      <sheetName val="Capital Data"/>
      <sheetName val="FRR SHAs"/>
      <sheetName val="Normalised data"/>
      <sheetName val="Workings 1"/>
      <sheetName val="Sheet1"/>
      <sheetName val="Deanery Forecast"/>
      <sheetName val="Deanery Budget"/>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B30">
            <v>42461</v>
          </cell>
          <cell r="C30">
            <v>42491</v>
          </cell>
          <cell r="D30">
            <v>42522</v>
          </cell>
          <cell r="E30">
            <v>42552</v>
          </cell>
          <cell r="F30">
            <v>42583</v>
          </cell>
          <cell r="G30">
            <v>42614</v>
          </cell>
          <cell r="H30">
            <v>42644</v>
          </cell>
          <cell r="I30">
            <v>42675</v>
          </cell>
          <cell r="J30">
            <v>42705</v>
          </cell>
          <cell r="K30">
            <v>42736</v>
          </cell>
          <cell r="L30">
            <v>42767</v>
          </cell>
          <cell r="M30">
            <v>42795</v>
          </cell>
        </row>
        <row r="31">
          <cell r="A31" t="str">
            <v>Plan</v>
          </cell>
          <cell r="B31">
            <v>521.37142434103544</v>
          </cell>
          <cell r="C31">
            <v>511.78148498577781</v>
          </cell>
          <cell r="D31">
            <v>529.66927025661107</v>
          </cell>
          <cell r="E31">
            <v>1691.7746440478118</v>
          </cell>
          <cell r="F31">
            <v>1687.4781082144789</v>
          </cell>
          <cell r="G31">
            <v>1688.144313688201</v>
          </cell>
          <cell r="H31">
            <v>2875.8572990215353</v>
          </cell>
          <cell r="I31">
            <v>2890.3476690215352</v>
          </cell>
          <cell r="J31">
            <v>3129.7916600215349</v>
          </cell>
          <cell r="K31">
            <v>3194.4155408548681</v>
          </cell>
          <cell r="L31">
            <v>3192.4734763548681</v>
          </cell>
          <cell r="M31">
            <v>3190.5689503548683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dley, Jacqueline" refreshedDate="42537.443529398151" createdVersion="4" refreshedVersion="4" minRefreshableVersion="3" recordCount="14">
  <cacheSource type="worksheet">
    <worksheetSource ref="A3:AJ17" sheet="Monthly workings for CIPs"/>
  </cacheSource>
  <cacheFields count="36">
    <cacheField name="Description" numFmtId="0">
      <sharedItems count="8">
        <s v="Back Office"/>
        <s v="Clinical Workforce"/>
        <s v="Major IT Programmes"/>
        <s v="Medical Workforce"/>
        <s v="Operational Estate"/>
        <s v="Operational Productivity"/>
        <s v="Transformation"/>
        <s v="Workforce"/>
      </sharedItems>
    </cacheField>
    <cacheField name="Status:  Fully Developed, Plans in Progress, Opportunity or Unidentified" numFmtId="0">
      <sharedItems containsBlank="1"/>
    </cacheField>
    <cacheField name="Recurrent (R) or Non recurrent (NR)" numFmtId="0">
      <sharedItems/>
    </cacheField>
    <cacheField name="Category:  Pay (Skill Mix), Pay (WTE reduction) , Non Pay and Income" numFmtId="0">
      <sharedItems count="4">
        <s v="Income"/>
        <s v="Savings Non Pay"/>
        <s v="Savings - Pay (Skill Mix)"/>
        <s v="Savings - Pay (WTE reductions)"/>
      </sharedItems>
    </cacheField>
    <cacheField name="Risk Rating High (H), Medium (M), or Low (L)  (If Unidentified must be high risk)" numFmtId="0">
      <sharedItems containsBlank="1"/>
    </cacheField>
    <cacheField name="2016/17" numFmtId="172">
      <sharedItems containsSemiMixedTypes="0" containsString="0" containsNumber="1" minValue="18.421500000000002" maxValue="6537.8720000000012"/>
    </cacheField>
    <cacheField name="Plan Apr" numFmtId="172">
      <sharedItems containsSemiMixedTypes="0" containsString="0" containsNumber="1" minValue="0" maxValue="203.33333333333331"/>
    </cacheField>
    <cacheField name="Plan May" numFmtId="172">
      <sharedItems containsSemiMixedTypes="0" containsString="0" containsNumber="1" minValue="0" maxValue="223.33333333333343"/>
    </cacheField>
    <cacheField name="Plan Jun" numFmtId="172">
      <sharedItems containsSemiMixedTypes="0" containsString="0" containsNumber="1" minValue="0" maxValue="243.33333333333337"/>
    </cacheField>
    <cacheField name="Plan Jul" numFmtId="172">
      <sharedItems containsSemiMixedTypes="0" containsString="0" containsNumber="1" minValue="0" maxValue="639.76177777777775"/>
    </cacheField>
    <cacheField name="Plan Aug" numFmtId="172">
      <sharedItems containsSemiMixedTypes="0" containsString="0" containsNumber="1" minValue="0" maxValue="659.76377777777793"/>
    </cacheField>
    <cacheField name="Plan Sep" numFmtId="172">
      <sharedItems containsSemiMixedTypes="0" containsString="0" containsNumber="1" minValue="0" maxValue="639.76377777777782"/>
    </cacheField>
    <cacheField name="Plan Oct" numFmtId="172">
      <sharedItems containsSemiMixedTypes="0" containsString="0" containsNumber="1" minValue="3.0702500000000001" maxValue="649.76377777777782"/>
    </cacheField>
    <cacheField name="Plan Nov" numFmtId="172">
      <sharedItems containsSemiMixedTypes="0" containsString="0" containsNumber="1" minValue="3.0702500000000001" maxValue="659.76377777777782"/>
    </cacheField>
    <cacheField name="Plan Dec" numFmtId="172">
      <sharedItems containsSemiMixedTypes="0" containsString="0" containsNumber="1" minValue="3.0702500000000001" maxValue="696.69275000000005"/>
    </cacheField>
    <cacheField name="Plan Jan" numFmtId="172">
      <sharedItems containsSemiMixedTypes="0" containsString="0" containsNumber="1" minValue="3.0702500000000001" maxValue="699.74175000000002"/>
    </cacheField>
    <cacheField name="Plan Feb" numFmtId="172">
      <sharedItems containsSemiMixedTypes="0" containsString="0" containsNumber="1" minValue="3.0702500000000001" maxValue="699.74175000000002"/>
    </cacheField>
    <cacheField name="Plan Mar" numFmtId="172">
      <sharedItems containsSemiMixedTypes="0" containsString="0" containsNumber="1" minValue="3.0702500000000001" maxValue="699.74175000000002"/>
    </cacheField>
    <cacheField name="YTD Plan" numFmtId="172">
      <sharedItems containsSemiMixedTypes="0" containsString="0" containsNumber="1" minValue="0" maxValue="426.66666666666674"/>
    </cacheField>
    <cacheField name="YTD Variance" numFmtId="172">
      <sharedItems containsSemiMixedTypes="0" containsString="0" containsNumber="1" minValue="-25.692075993479705" maxValue="274.16666666666669"/>
    </cacheField>
    <cacheField name="Full Year Plan" numFmtId="172">
      <sharedItems containsSemiMixedTypes="0" containsString="0" containsNumber="1" minValue="18.421500000000002" maxValue="6537.8720000000012"/>
    </cacheField>
    <cacheField name="Apr" numFmtId="172">
      <sharedItems containsSemiMixedTypes="0" containsString="0" containsNumber="1" minValue="0" maxValue="313"/>
    </cacheField>
    <cacheField name="May" numFmtId="172">
      <sharedItems containsSemiMixedTypes="0" containsString="0" containsNumber="1" containsInteger="1" minValue="0" maxValue="304"/>
    </cacheField>
    <cacheField name="Jun" numFmtId="0">
      <sharedItems containsSemiMixedTypes="0" containsString="0" containsNumber="1" minValue="0" maxValue="257"/>
    </cacheField>
    <cacheField name="Jul" numFmtId="0">
      <sharedItems containsSemiMixedTypes="0" containsString="0" containsNumber="1" minValue="0" maxValue="625"/>
    </cacheField>
    <cacheField name="Aug" numFmtId="0">
      <sharedItems containsSemiMixedTypes="0" containsString="0" containsNumber="1" minValue="0" maxValue="645"/>
    </cacheField>
    <cacheField name="Sep" numFmtId="0">
      <sharedItems containsSemiMixedTypes="0" containsString="0" containsNumber="1" minValue="0" maxValue="625"/>
    </cacheField>
    <cacheField name="Oct" numFmtId="0">
      <sharedItems containsSemiMixedTypes="0" containsString="0" containsNumber="1" minValue="3.0702500000000001" maxValue="635"/>
    </cacheField>
    <cacheField name="Nov" numFmtId="0">
      <sharedItems containsSemiMixedTypes="0" containsString="0" containsNumber="1" minValue="3.0702500000000001" maxValue="645"/>
    </cacheField>
    <cacheField name="Dec" numFmtId="0">
      <sharedItems containsSemiMixedTypes="0" containsString="0" containsNumber="1" minValue="3.0702500000000001" maxValue="696.69275000000005"/>
    </cacheField>
    <cacheField name="Jan" numFmtId="0">
      <sharedItems containsSemiMixedTypes="0" containsString="0" containsNumber="1" minValue="3.0702500000000001" maxValue="699.74175000000002"/>
    </cacheField>
    <cacheField name="Feb" numFmtId="0">
      <sharedItems containsSemiMixedTypes="0" containsString="0" containsNumber="1" minValue="3.0702500000000001" maxValue="699.74175000000002"/>
    </cacheField>
    <cacheField name="Mar" numFmtId="0">
      <sharedItems containsSemiMixedTypes="0" containsString="0" containsNumber="1" minValue="3.0702500000000001" maxValue="699.74175000000002"/>
    </cacheField>
    <cacheField name="YTD Actual" numFmtId="172">
      <sharedItems containsSemiMixedTypes="0" containsString="0" containsNumber="1" minValue="0" maxValue="610"/>
    </cacheField>
    <cacheField name="Full Year Variance" numFmtId="172">
      <sharedItems containsSemiMixedTypes="0" containsString="0" containsNumber="1" minValue="-0.35833333333334849" maxValue="1.1279999999987922"/>
    </cacheField>
    <cacheField name="Forecast" numFmtId="172">
      <sharedItems containsSemiMixedTypes="0" containsString="0" containsNumber="1" minValue="18.421500000000002" maxValue="65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
  <r>
    <x v="0"/>
    <s v="Plans in Progress"/>
    <s v="R"/>
    <x v="0"/>
    <s v="M"/>
    <n v="2560"/>
    <n v="165.66666666666666"/>
    <n v="170.16666666666666"/>
    <n v="170.16666666666666"/>
    <n v="227.88888888888891"/>
    <n v="207.38888888888891"/>
    <n v="230.88888888888891"/>
    <n v="230.88888888888891"/>
    <n v="236.38888888888891"/>
    <n v="227.88888888888891"/>
    <n v="230.88888888888891"/>
    <n v="230.88888888888891"/>
    <n v="230.88888888888891"/>
    <n v="335.83333333333331"/>
    <n v="274.16666666666669"/>
    <n v="2560"/>
    <n v="306"/>
    <n v="304"/>
    <n v="143"/>
    <n v="200"/>
    <n v="180"/>
    <n v="203"/>
    <n v="204"/>
    <n v="209"/>
    <n v="200"/>
    <n v="204"/>
    <n v="203"/>
    <n v="204"/>
    <n v="610"/>
    <n v="0"/>
    <n v="2560"/>
  </r>
  <r>
    <x v="0"/>
    <s v="Plans in Progress"/>
    <s v="R"/>
    <x v="1"/>
    <s v="M"/>
    <n v="6537.8720000000012"/>
    <n v="203.33333333333331"/>
    <n v="223.33333333333343"/>
    <n v="243.33333333333337"/>
    <n v="639.76177777777775"/>
    <n v="659.76377777777793"/>
    <n v="639.76377777777782"/>
    <n v="649.76377777777782"/>
    <n v="659.76377777777782"/>
    <n v="609.76377777777782"/>
    <n v="669.76377777777782"/>
    <n v="669.76377777777782"/>
    <n v="669.76377777777793"/>
    <n v="426.66666666666674"/>
    <n v="121.33333333333326"/>
    <n v="6537.8720000000012"/>
    <n v="313"/>
    <n v="235"/>
    <n v="257"/>
    <n v="625"/>
    <n v="645"/>
    <n v="625"/>
    <n v="635"/>
    <n v="645"/>
    <n v="595"/>
    <n v="655"/>
    <n v="655"/>
    <n v="654"/>
    <n v="548"/>
    <n v="1.1279999999987922"/>
    <n v="6539"/>
  </r>
  <r>
    <x v="1"/>
    <s v="Plans in Progress"/>
    <s v="R"/>
    <x v="2"/>
    <s v="M"/>
    <n v="3776.0000000000005"/>
    <n v="0"/>
    <n v="0"/>
    <n v="0"/>
    <n v="419.55555555555554"/>
    <n v="419.55555555555554"/>
    <n v="419.55555555555554"/>
    <n v="419.55555555555554"/>
    <n v="419.55555555555554"/>
    <n v="419.55555555555554"/>
    <n v="419.55555555555554"/>
    <n v="419.55555555555554"/>
    <n v="419.55555555555554"/>
    <n v="0"/>
    <n v="0"/>
    <n v="3776.0000000000005"/>
    <n v="0"/>
    <n v="0"/>
    <n v="0"/>
    <n v="419.55555555555554"/>
    <n v="419.55555555555554"/>
    <n v="419.55555555555554"/>
    <n v="419.55555555555554"/>
    <n v="419.55555555555554"/>
    <n v="419.55555555555554"/>
    <n v="419.55555555555554"/>
    <n v="419.55555555555554"/>
    <n v="419.55555555555554"/>
    <n v="0"/>
    <n v="0"/>
    <n v="3776.0000000000005"/>
  </r>
  <r>
    <x v="2"/>
    <s v="Opportunity"/>
    <s v="R"/>
    <x v="1"/>
    <s v="M"/>
    <n v="107.90799999999999"/>
    <n v="0"/>
    <n v="0"/>
    <n v="0"/>
    <n v="11.989777777777777"/>
    <n v="11.989777777777777"/>
    <n v="11.989777777777777"/>
    <n v="11.989777777777777"/>
    <n v="11.989777777777777"/>
    <n v="11.989777777777777"/>
    <n v="11.989777777777777"/>
    <n v="11.989777777777777"/>
    <n v="11.989777777777777"/>
    <n v="0"/>
    <n v="0"/>
    <n v="107.90799999999999"/>
    <n v="0"/>
    <n v="0"/>
    <n v="0"/>
    <n v="11.989777777777777"/>
    <n v="11.989777777777777"/>
    <n v="11.989777777777777"/>
    <n v="11.989777777777777"/>
    <n v="11.989777777777777"/>
    <n v="11.989777777777777"/>
    <n v="11.989777777777777"/>
    <n v="11.989777777777777"/>
    <n v="11.989777777777777"/>
    <n v="0"/>
    <n v="0"/>
    <n v="107.90799999999999"/>
  </r>
  <r>
    <x v="3"/>
    <s v="Plans in Progress"/>
    <s v="R"/>
    <x v="2"/>
    <s v="M"/>
    <n v="2557.2880531938081"/>
    <n v="0"/>
    <n v="0"/>
    <n v="0"/>
    <n v="284.14311702153429"/>
    <n v="284.14311702153429"/>
    <n v="284.14311702153429"/>
    <n v="284.14311702153429"/>
    <n v="284.14311702153429"/>
    <n v="284.14311702153429"/>
    <n v="284.14311702153429"/>
    <n v="284.14311702153429"/>
    <n v="284.14311702153429"/>
    <n v="0"/>
    <n v="0"/>
    <n v="2557.2880531938081"/>
    <n v="0"/>
    <n v="0"/>
    <n v="0"/>
    <n v="284.14311702153429"/>
    <n v="284.14311702153429"/>
    <n v="284.14311702153429"/>
    <n v="284.14311702153429"/>
    <n v="284.14311702153429"/>
    <n v="284.14311702153429"/>
    <n v="284.14311702153429"/>
    <n v="284.14311702153429"/>
    <n v="284.14311702153429"/>
    <n v="0"/>
    <n v="0"/>
    <n v="2557.2880531938081"/>
  </r>
  <r>
    <x v="3"/>
    <s v="Plans in Progress"/>
    <s v="R"/>
    <x v="3"/>
    <s v="M"/>
    <n v="284.15000000000003"/>
    <n v="0"/>
    <n v="0"/>
    <n v="0"/>
    <n v="0"/>
    <n v="0"/>
    <n v="0"/>
    <n v="47.358333333333334"/>
    <n v="47.358333333333334"/>
    <n v="47.358333333333334"/>
    <n v="47.358333333333334"/>
    <n v="47.358333333333334"/>
    <n v="47.358333333333334"/>
    <n v="0"/>
    <n v="0"/>
    <n v="284.15000000000003"/>
    <n v="0"/>
    <n v="0"/>
    <n v="0"/>
    <n v="0"/>
    <n v="0"/>
    <n v="0"/>
    <n v="47"/>
    <n v="47.358333333333334"/>
    <n v="47.358333333333334"/>
    <n v="47.358333333333334"/>
    <n v="47.358333333333334"/>
    <n v="47.358333333333334"/>
    <n v="0"/>
    <n v="-0.35833333333334849"/>
    <n v="283.79166666666669"/>
  </r>
  <r>
    <x v="4"/>
    <s v="Opportunity"/>
    <s v="R"/>
    <x v="1"/>
    <s v="M"/>
    <n v="49.999999999999993"/>
    <n v="4.166666666666667"/>
    <n v="4.166666666666667"/>
    <n v="4.166666666666667"/>
    <n v="4.166666666666667"/>
    <n v="4.166666666666667"/>
    <n v="4.166666666666667"/>
    <n v="4.166666666666667"/>
    <n v="4.166666666666667"/>
    <n v="4.166666666666667"/>
    <n v="4.166666666666667"/>
    <n v="4.166666666666667"/>
    <n v="4.166666666666667"/>
    <n v="8.3333333333333339"/>
    <n v="-0.16666666666666607"/>
    <n v="49.999999999999993"/>
    <n v="4.166666666666667"/>
    <n v="4"/>
    <n v="4.166666666666667"/>
    <n v="4.166666666666667"/>
    <n v="4.166666666666667"/>
    <n v="4.166666666666667"/>
    <n v="4.166666666666667"/>
    <n v="4.166666666666667"/>
    <n v="4.166666666666667"/>
    <n v="4.166666666666667"/>
    <n v="4.166666666666667"/>
    <n v="4.166666666666667"/>
    <n v="8.1666666666666679"/>
    <n v="-0.1666666666666643"/>
    <n v="49.833333333333329"/>
  </r>
  <r>
    <x v="5"/>
    <s v="Opportunity"/>
    <s v="R"/>
    <x v="0"/>
    <s v="M"/>
    <n v="257.55"/>
    <n v="0"/>
    <n v="0"/>
    <n v="0"/>
    <n v="28.616666666666667"/>
    <n v="28.616666666666667"/>
    <n v="28.616666666666667"/>
    <n v="28.616666666666667"/>
    <n v="28.616666666666667"/>
    <n v="28.616666666666667"/>
    <n v="28.616666666666667"/>
    <n v="28.616666666666667"/>
    <n v="28.616666666666667"/>
    <n v="0"/>
    <n v="0"/>
    <n v="257.55"/>
    <n v="0"/>
    <n v="0"/>
    <n v="0"/>
    <n v="28.616666666666667"/>
    <n v="28.616666666666667"/>
    <n v="28.616666666666667"/>
    <n v="28.616666666666667"/>
    <n v="28.616666666666667"/>
    <n v="28.616666666666667"/>
    <n v="28.616666666666667"/>
    <n v="28.616666666666667"/>
    <n v="28.616666666666667"/>
    <n v="0"/>
    <n v="0"/>
    <n v="257.55"/>
  </r>
  <r>
    <x v="5"/>
    <s v="Opportunity"/>
    <s v="R"/>
    <x v="1"/>
    <s v="M"/>
    <n v="3662.2874999999999"/>
    <n v="0"/>
    <n v="0"/>
    <n v="0"/>
    <n v="0"/>
    <n v="0"/>
    <n v="0"/>
    <n v="510.38158333333337"/>
    <n v="510.38158333333337"/>
    <n v="660.38158333333342"/>
    <n v="660.38058333333333"/>
    <n v="660.38058333333333"/>
    <n v="660.38158333333342"/>
    <n v="0"/>
    <n v="0"/>
    <n v="3662.2874999999999"/>
    <n v="0"/>
    <n v="0"/>
    <n v="0"/>
    <n v="0"/>
    <n v="0"/>
    <n v="0"/>
    <n v="510.38158333333337"/>
    <n v="510.38158333333337"/>
    <n v="660.38158333333342"/>
    <n v="660.38058333333333"/>
    <n v="660.38058333333333"/>
    <n v="660.38158333333342"/>
    <n v="0"/>
    <n v="0"/>
    <n v="3662.2874999999999"/>
  </r>
  <r>
    <x v="5"/>
    <s v="Opportunity"/>
    <s v="R"/>
    <x v="3"/>
    <s v="M"/>
    <n v="3889.3035000000004"/>
    <n v="0"/>
    <n v="0"/>
    <n v="0"/>
    <n v="0"/>
    <n v="0"/>
    <n v="0"/>
    <n v="546.69275000000005"/>
    <n v="546.69275000000005"/>
    <n v="696.69275000000005"/>
    <n v="699.74175000000002"/>
    <n v="699.74175000000002"/>
    <n v="699.74175000000002"/>
    <n v="0"/>
    <n v="0"/>
    <n v="3889.3035000000004"/>
    <n v="0"/>
    <n v="0"/>
    <n v="0"/>
    <n v="0"/>
    <n v="0"/>
    <n v="0"/>
    <n v="546.69275000000005"/>
    <n v="546.69275000000005"/>
    <n v="696.69275000000005"/>
    <n v="699.74175000000002"/>
    <n v="699.74175000000002"/>
    <n v="699.74175000000002"/>
    <n v="0"/>
    <n v="0"/>
    <n v="3889.3035000000004"/>
  </r>
  <r>
    <x v="6"/>
    <s v="Plans in Progress"/>
    <s v="R"/>
    <x v="0"/>
    <s v="M"/>
    <n v="18.421500000000002"/>
    <n v="0"/>
    <n v="0"/>
    <n v="0"/>
    <n v="0"/>
    <n v="0"/>
    <n v="0"/>
    <n v="3.0702500000000001"/>
    <n v="3.0702500000000001"/>
    <n v="3.0702500000000001"/>
    <n v="3.0702500000000001"/>
    <n v="3.0702500000000001"/>
    <n v="3.0702500000000001"/>
    <n v="0"/>
    <n v="0"/>
    <n v="18.421500000000002"/>
    <n v="0"/>
    <n v="0"/>
    <n v="0"/>
    <n v="0"/>
    <n v="0"/>
    <n v="0"/>
    <n v="3.0702500000000001"/>
    <n v="3.0702500000000001"/>
    <n v="3.0702500000000001"/>
    <n v="3.0702500000000001"/>
    <n v="3.0702500000000001"/>
    <n v="3.0702500000000001"/>
    <n v="0"/>
    <n v="0"/>
    <n v="18.421500000000002"/>
  </r>
  <r>
    <x v="7"/>
    <s v="Plans in Progress"/>
    <s v="R"/>
    <x v="2"/>
    <s v="M"/>
    <n v="315.76500000000004"/>
    <n v="13.813750000000001"/>
    <n v="13.813750000000001"/>
    <n v="13.813750000000001"/>
    <n v="13.813750000000001"/>
    <n v="13.813750000000001"/>
    <n v="13.813750000000001"/>
    <n v="38.813750000000006"/>
    <n v="38.813750000000006"/>
    <n v="38.813750000000006"/>
    <n v="38.813750000000006"/>
    <n v="38.813750000000006"/>
    <n v="38.813750000000006"/>
    <n v="27.627500000000001"/>
    <n v="-21.627500000000001"/>
    <n v="315.76500000000004"/>
    <n v="3"/>
    <n v="3"/>
    <n v="16"/>
    <n v="16"/>
    <n v="16"/>
    <n v="29"/>
    <n v="38.813750000000006"/>
    <n v="38.813750000000006"/>
    <n v="38.813750000000006"/>
    <n v="38.813750000000006"/>
    <n v="38.813750000000006"/>
    <n v="38.813750000000006"/>
    <n v="6"/>
    <n v="0.11750000000000682"/>
    <n v="315.88250000000005"/>
  </r>
  <r>
    <x v="7"/>
    <s v="Plans in Progress"/>
    <s v="R"/>
    <x v="3"/>
    <s v="M"/>
    <n v="499.99999999999994"/>
    <n v="0"/>
    <n v="0"/>
    <n v="0"/>
    <n v="0"/>
    <n v="0"/>
    <n v="0"/>
    <n v="83.333333333333329"/>
    <n v="83.333333333333329"/>
    <n v="83.333333333333329"/>
    <n v="83.333333333333329"/>
    <n v="83.333333333333329"/>
    <n v="83.333333333333329"/>
    <n v="0"/>
    <n v="0"/>
    <n v="499.99999999999994"/>
    <n v="0"/>
    <n v="0"/>
    <n v="0"/>
    <n v="0"/>
    <n v="0"/>
    <n v="0"/>
    <n v="83.333333333333329"/>
    <n v="83.333333333333329"/>
    <n v="83.333333333333329"/>
    <n v="83.333333333333329"/>
    <n v="83.333333333333329"/>
    <n v="83.333333333333329"/>
    <n v="0"/>
    <n v="0"/>
    <n v="499.99999999999994"/>
  </r>
  <r>
    <x v="0"/>
    <m/>
    <s v="R"/>
    <x v="1"/>
    <m/>
    <n v="587.12828796931251"/>
    <n v="134.39100767436872"/>
    <n v="100.301068319111"/>
    <n v="98.188853589944316"/>
    <n v="61.838443692944303"/>
    <n v="58.03990785961097"/>
    <n v="55.206113333333214"/>
    <n v="17.082848666666692"/>
    <n v="16.073218666666687"/>
    <n v="14.017209666666684"/>
    <n v="12.59309050000001"/>
    <n v="10.651026"/>
    <n v="8.7454999999999998"/>
    <n v="234.6920759934797"/>
    <n v="-25.692075993479705"/>
    <n v="587.12828796931251"/>
    <n v="110"/>
    <n v="99"/>
    <n v="101"/>
    <n v="64"/>
    <n v="61"/>
    <n v="58"/>
    <n v="20"/>
    <n v="18"/>
    <n v="17"/>
    <n v="15"/>
    <n v="13"/>
    <n v="11"/>
    <n v="209"/>
    <n v="-0.12828796931250963"/>
    <n v="5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9:G41" firstHeaderRow="0" firstDataRow="1" firstDataCol="1"/>
  <pivotFields count="36">
    <pivotField axis="axisRow" showAll="0" defaultSubtotal="0">
      <items count="8">
        <item x="0"/>
        <item x="1"/>
        <item x="2"/>
        <item x="3"/>
        <item x="4"/>
        <item x="5"/>
        <item x="6"/>
        <item x="7"/>
      </items>
    </pivotField>
    <pivotField showAll="0"/>
    <pivotField showAll="0"/>
    <pivotField axis="axisRow" showAll="0" defaultSubtotal="0">
      <items count="4">
        <item x="0"/>
        <item x="2"/>
        <item x="3"/>
        <item x="1"/>
      </items>
    </pivotField>
    <pivotField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dataField="1" numFmtId="172" showAll="0"/>
    <pivotField dataField="1" numFmtId="172" showAll="0" defaultSubtotal="0"/>
    <pivotField dataField="1"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numFmtId="172" showAll="0"/>
    <pivotField dataField="1" numFmtId="172" showAll="0"/>
    <pivotField dataField="1" numFmtId="172" showAll="0" defaultSubtotal="0"/>
    <pivotField dataField="1" numFmtId="172" showAll="0"/>
  </pivotFields>
  <rowFields count="2">
    <field x="0"/>
    <field x="3"/>
  </rowFields>
  <rowItems count="22">
    <i>
      <x/>
    </i>
    <i r="1">
      <x/>
    </i>
    <i r="1">
      <x v="3"/>
    </i>
    <i>
      <x v="1"/>
    </i>
    <i r="1">
      <x v="1"/>
    </i>
    <i>
      <x v="2"/>
    </i>
    <i r="1">
      <x v="3"/>
    </i>
    <i>
      <x v="3"/>
    </i>
    <i r="1">
      <x v="1"/>
    </i>
    <i r="1">
      <x v="2"/>
    </i>
    <i>
      <x v="4"/>
    </i>
    <i r="1">
      <x v="3"/>
    </i>
    <i>
      <x v="5"/>
    </i>
    <i r="1">
      <x/>
    </i>
    <i r="1">
      <x v="2"/>
    </i>
    <i r="1">
      <x v="3"/>
    </i>
    <i>
      <x v="6"/>
    </i>
    <i r="1">
      <x/>
    </i>
    <i>
      <x v="7"/>
    </i>
    <i r="1">
      <x v="1"/>
    </i>
    <i r="1">
      <x v="2"/>
    </i>
    <i t="grand">
      <x/>
    </i>
  </rowItems>
  <colFields count="1">
    <field x="-2"/>
  </colFields>
  <colItems count="6">
    <i>
      <x/>
    </i>
    <i i="1">
      <x v="1"/>
    </i>
    <i i="2">
      <x v="2"/>
    </i>
    <i i="3">
      <x v="3"/>
    </i>
    <i i="4">
      <x v="4"/>
    </i>
    <i i="5">
      <x v="5"/>
    </i>
  </colItems>
  <dataFields count="6">
    <dataField name="Sum of YTD Plan" fld="18" baseField="0" baseItem="0"/>
    <dataField name="Sum of YTD Actual" fld="33" baseField="0" baseItem="0"/>
    <dataField name="Sum of YTD Variance" fld="19" baseField="0" baseItem="0"/>
    <dataField name="Sum of Full Year Plan" fld="20" baseField="0" baseItem="0"/>
    <dataField name="Sum of Forecast" fld="35" baseField="0" baseItem="0"/>
    <dataField name="Sum of Full Year Variance" fld="3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1:O80"/>
  <sheetViews>
    <sheetView showGridLines="0" tabSelected="1" zoomScale="90" zoomScaleNormal="90" workbookViewId="0">
      <selection activeCell="K16" sqref="K16:N26"/>
    </sheetView>
  </sheetViews>
  <sheetFormatPr defaultRowHeight="13.2"/>
  <cols>
    <col min="1" max="1" width="33.33203125" customWidth="1"/>
    <col min="2" max="4" width="13.109375" customWidth="1"/>
    <col min="5" max="5" width="0.6640625" customWidth="1"/>
    <col min="6" max="6" width="20.109375" customWidth="1"/>
    <col min="7" max="9" width="13.109375" customWidth="1"/>
    <col min="10" max="10" width="0.6640625" customWidth="1"/>
    <col min="11" max="11" width="25.88671875" customWidth="1"/>
    <col min="12" max="14" width="13.109375" customWidth="1"/>
    <col min="19" max="19" width="9.33203125" customWidth="1"/>
  </cols>
  <sheetData>
    <row r="1" spans="1:15" ht="17.399999999999999">
      <c r="A1" s="47" t="s">
        <v>1360</v>
      </c>
      <c r="B1" s="47"/>
      <c r="F1" s="117"/>
    </row>
    <row r="3" spans="1:15" ht="4.5" customHeight="1"/>
    <row r="4" spans="1:15" ht="3" customHeight="1"/>
    <row r="5" spans="1:15">
      <c r="A5" s="92" t="s">
        <v>3</v>
      </c>
      <c r="B5" s="112"/>
      <c r="C5" s="112"/>
      <c r="D5" s="84"/>
      <c r="E5" s="84"/>
      <c r="F5" s="84"/>
      <c r="G5" s="84"/>
      <c r="H5" s="84"/>
      <c r="I5" s="84"/>
      <c r="J5" s="84"/>
      <c r="K5" s="84"/>
      <c r="L5" s="84"/>
      <c r="M5" s="84"/>
      <c r="N5" s="82"/>
    </row>
    <row r="6" spans="1:15" ht="12.75" customHeight="1">
      <c r="A6" s="2095" t="s">
        <v>1375</v>
      </c>
      <c r="B6" s="2096"/>
      <c r="C6" s="2096"/>
      <c r="D6" s="2096"/>
      <c r="E6" s="2096"/>
      <c r="F6" s="2096"/>
      <c r="G6" s="2096"/>
      <c r="H6" s="2096"/>
      <c r="I6" s="2096"/>
      <c r="J6" s="2096"/>
      <c r="K6" s="2096"/>
      <c r="L6" s="2096"/>
      <c r="M6" s="2096"/>
      <c r="N6" s="2097"/>
    </row>
    <row r="7" spans="1:15">
      <c r="A7" s="2095"/>
      <c r="B7" s="2096"/>
      <c r="C7" s="2096"/>
      <c r="D7" s="2096"/>
      <c r="E7" s="2096"/>
      <c r="F7" s="2096"/>
      <c r="G7" s="2096"/>
      <c r="H7" s="2096"/>
      <c r="I7" s="2096"/>
      <c r="J7" s="2096"/>
      <c r="K7" s="2096"/>
      <c r="L7" s="2096"/>
      <c r="M7" s="2096"/>
      <c r="N7" s="2097"/>
    </row>
    <row r="8" spans="1:15" ht="43.5" customHeight="1">
      <c r="A8" s="2098"/>
      <c r="B8" s="2099"/>
      <c r="C8" s="2099"/>
      <c r="D8" s="2099"/>
      <c r="E8" s="2099"/>
      <c r="F8" s="2099"/>
      <c r="G8" s="2099"/>
      <c r="H8" s="2099"/>
      <c r="I8" s="2099"/>
      <c r="J8" s="2099"/>
      <c r="K8" s="2099"/>
      <c r="L8" s="2099"/>
      <c r="M8" s="2099"/>
      <c r="N8" s="2100"/>
    </row>
    <row r="9" spans="1:15" ht="4.5" customHeight="1" thickBot="1">
      <c r="A9" s="40"/>
      <c r="B9" s="40"/>
      <c r="C9" s="40"/>
      <c r="D9" s="40"/>
      <c r="F9" s="40"/>
      <c r="G9" s="40"/>
      <c r="H9" s="40"/>
      <c r="I9" s="40"/>
      <c r="K9" s="40"/>
      <c r="L9" s="40"/>
      <c r="M9" s="40"/>
      <c r="N9" s="40"/>
    </row>
    <row r="10" spans="1:15" ht="21.6" thickBot="1">
      <c r="A10" s="1869" t="s">
        <v>1394</v>
      </c>
      <c r="B10" s="1870"/>
      <c r="C10" s="1870"/>
      <c r="D10" s="1871" t="s">
        <v>30</v>
      </c>
      <c r="E10" s="56"/>
      <c r="F10" s="1869" t="s">
        <v>1211</v>
      </c>
      <c r="G10" s="1870"/>
      <c r="H10" s="1870"/>
      <c r="I10" s="1871" t="s">
        <v>30</v>
      </c>
      <c r="J10" s="1958"/>
      <c r="K10" s="1994" t="s">
        <v>36</v>
      </c>
      <c r="L10" s="1995"/>
      <c r="M10" s="1996"/>
      <c r="N10" s="1997" t="s">
        <v>32</v>
      </c>
      <c r="O10" s="30"/>
    </row>
    <row r="11" spans="1:15" ht="15.75" customHeight="1">
      <c r="A11" s="2079"/>
      <c r="B11" s="2076" t="s">
        <v>1390</v>
      </c>
      <c r="C11" s="2077"/>
      <c r="D11" s="2078"/>
      <c r="E11" s="258"/>
      <c r="F11" s="118"/>
      <c r="G11" s="30"/>
      <c r="H11" s="2127" t="s">
        <v>922</v>
      </c>
      <c r="I11" s="258"/>
      <c r="J11" s="119"/>
      <c r="K11" s="746"/>
      <c r="L11" s="43"/>
      <c r="M11" s="43"/>
      <c r="N11" s="122"/>
    </row>
    <row r="12" spans="1:15" ht="16.5" customHeight="1">
      <c r="A12" s="2070" t="s">
        <v>233</v>
      </c>
      <c r="B12" s="2071" t="s">
        <v>721</v>
      </c>
      <c r="C12" s="2071" t="s">
        <v>722</v>
      </c>
      <c r="D12" s="2072" t="s">
        <v>723</v>
      </c>
      <c r="E12" s="258"/>
      <c r="F12" s="30"/>
      <c r="G12" s="446" t="s">
        <v>721</v>
      </c>
      <c r="H12" s="2128"/>
      <c r="I12" s="121" t="s">
        <v>723</v>
      </c>
      <c r="J12" s="119"/>
      <c r="K12" s="43"/>
      <c r="L12" s="32" t="s">
        <v>721</v>
      </c>
      <c r="M12" s="1604" t="s">
        <v>1304</v>
      </c>
      <c r="N12" s="121" t="s">
        <v>723</v>
      </c>
    </row>
    <row r="13" spans="1:15" ht="12.75" customHeight="1">
      <c r="A13" s="2070" t="s">
        <v>293</v>
      </c>
      <c r="B13" s="2082">
        <v>1</v>
      </c>
      <c r="C13" s="2082">
        <v>1</v>
      </c>
      <c r="D13" s="2083">
        <v>0</v>
      </c>
      <c r="E13" s="258"/>
      <c r="F13" s="1801" t="s">
        <v>28</v>
      </c>
      <c r="G13" s="326">
        <f>Surplus!B9*-1</f>
        <v>-5849.590999999964</v>
      </c>
      <c r="H13" s="1798">
        <f>Surplus!C9*-1</f>
        <v>-11087.739000000043</v>
      </c>
      <c r="I13" s="327">
        <f>G13-H13</f>
        <v>5238.1480000000793</v>
      </c>
      <c r="J13" s="119"/>
      <c r="K13" s="1801" t="s">
        <v>28</v>
      </c>
      <c r="L13" s="307">
        <f>+Cash!B9</f>
        <v>7247.4089999999997</v>
      </c>
      <c r="M13" s="307">
        <f>+Cash!C9</f>
        <v>5896.4869999999937</v>
      </c>
      <c r="N13" s="327">
        <f>L13-M13</f>
        <v>1350.9220000000059</v>
      </c>
    </row>
    <row r="14" spans="1:15">
      <c r="A14" s="2070" t="s">
        <v>299</v>
      </c>
      <c r="B14" s="2082">
        <v>1</v>
      </c>
      <c r="C14" s="2082">
        <v>1</v>
      </c>
      <c r="D14" s="2083">
        <v>0</v>
      </c>
      <c r="E14" s="122"/>
      <c r="F14" s="1801" t="s">
        <v>29</v>
      </c>
      <c r="G14" s="1926">
        <f>Surplus!G9*-1</f>
        <v>-15570.193000000188</v>
      </c>
      <c r="H14" s="1798">
        <f>Surplus!H9*-1</f>
        <v>-15570.190000000024</v>
      </c>
      <c r="I14" s="327">
        <f>(G14-H14)</f>
        <v>-3.0000001643202268E-3</v>
      </c>
      <c r="J14" s="120"/>
      <c r="K14" s="1939" t="s">
        <v>1305</v>
      </c>
      <c r="L14" s="307">
        <f>+Cash!G9</f>
        <v>3166.8110000000015</v>
      </c>
      <c r="M14" s="307">
        <f>+Cash!H9</f>
        <v>3168.0399999999645</v>
      </c>
      <c r="N14" s="327">
        <f>L14-M14</f>
        <v>-1.2289999999629799</v>
      </c>
    </row>
    <row r="15" spans="1:15">
      <c r="A15" s="2070" t="s">
        <v>1388</v>
      </c>
      <c r="B15" s="2082">
        <v>1</v>
      </c>
      <c r="C15" s="2082">
        <v>1</v>
      </c>
      <c r="D15" s="2083">
        <v>0</v>
      </c>
      <c r="E15" s="122"/>
      <c r="F15" s="30"/>
      <c r="G15" s="34"/>
      <c r="H15" s="34"/>
      <c r="I15" s="306"/>
      <c r="J15" s="120"/>
      <c r="K15" s="43"/>
      <c r="L15" s="43"/>
      <c r="M15" s="43"/>
      <c r="N15" s="123"/>
    </row>
    <row r="16" spans="1:15" ht="12.75" customHeight="1">
      <c r="A16" s="2070" t="s">
        <v>1389</v>
      </c>
      <c r="B16" s="2086">
        <v>1</v>
      </c>
      <c r="C16" s="2087">
        <v>1</v>
      </c>
      <c r="D16" s="2088">
        <v>0</v>
      </c>
      <c r="E16" s="122"/>
      <c r="F16" s="2101" t="s">
        <v>1396</v>
      </c>
      <c r="G16" s="2096"/>
      <c r="H16" s="2096"/>
      <c r="I16" s="2102"/>
      <c r="J16" s="120"/>
      <c r="K16" s="2101" t="s">
        <v>1397</v>
      </c>
      <c r="L16" s="2096"/>
      <c r="M16" s="2096"/>
      <c r="N16" s="2102"/>
    </row>
    <row r="17" spans="1:15">
      <c r="A17" s="2074" t="s">
        <v>1394</v>
      </c>
      <c r="B17" s="2082">
        <v>1</v>
      </c>
      <c r="C17" s="2082">
        <v>1</v>
      </c>
      <c r="D17" s="2084">
        <v>0</v>
      </c>
      <c r="E17" s="122"/>
      <c r="F17" s="2101"/>
      <c r="G17" s="2096"/>
      <c r="H17" s="2096"/>
      <c r="I17" s="2102"/>
      <c r="J17" s="120"/>
      <c r="K17" s="2101"/>
      <c r="L17" s="2096"/>
      <c r="M17" s="2096"/>
      <c r="N17" s="2102"/>
    </row>
    <row r="18" spans="1:15">
      <c r="A18" s="2075"/>
      <c r="B18" s="2076" t="s">
        <v>1391</v>
      </c>
      <c r="C18" s="2077"/>
      <c r="D18" s="2078"/>
      <c r="E18" s="122"/>
      <c r="F18" s="2101"/>
      <c r="G18" s="2096"/>
      <c r="H18" s="2096"/>
      <c r="I18" s="2102"/>
      <c r="J18" s="120"/>
      <c r="K18" s="2101"/>
      <c r="L18" s="2096"/>
      <c r="M18" s="2096"/>
      <c r="N18" s="2102"/>
    </row>
    <row r="19" spans="1:15" ht="26.4">
      <c r="A19" s="2070" t="s">
        <v>233</v>
      </c>
      <c r="B19" s="2071" t="s">
        <v>721</v>
      </c>
      <c r="C19" s="2071" t="s">
        <v>922</v>
      </c>
      <c r="D19" s="2072" t="s">
        <v>723</v>
      </c>
      <c r="E19" s="122"/>
      <c r="F19" s="2101"/>
      <c r="G19" s="2096"/>
      <c r="H19" s="2096"/>
      <c r="I19" s="2102"/>
      <c r="J19" s="120"/>
      <c r="K19" s="2101"/>
      <c r="L19" s="2096"/>
      <c r="M19" s="2096"/>
      <c r="N19" s="2102"/>
    </row>
    <row r="20" spans="1:15">
      <c r="A20" s="2070" t="s">
        <v>293</v>
      </c>
      <c r="B20" s="2082">
        <v>1</v>
      </c>
      <c r="C20" s="2082">
        <v>1</v>
      </c>
      <c r="D20" s="2083">
        <v>0</v>
      </c>
      <c r="E20" s="122"/>
      <c r="F20" s="2101"/>
      <c r="G20" s="2096"/>
      <c r="H20" s="2096"/>
      <c r="I20" s="2102"/>
      <c r="J20" s="120"/>
      <c r="K20" s="2101"/>
      <c r="L20" s="2096"/>
      <c r="M20" s="2096"/>
      <c r="N20" s="2102"/>
    </row>
    <row r="21" spans="1:15">
      <c r="A21" s="2070" t="s">
        <v>299</v>
      </c>
      <c r="B21" s="2082">
        <v>1</v>
      </c>
      <c r="C21" s="2082">
        <v>1</v>
      </c>
      <c r="D21" s="2083">
        <v>0</v>
      </c>
      <c r="E21" s="122"/>
      <c r="F21" s="2101"/>
      <c r="G21" s="2096"/>
      <c r="H21" s="2096"/>
      <c r="I21" s="2102"/>
      <c r="J21" s="120"/>
      <c r="K21" s="2101"/>
      <c r="L21" s="2096"/>
      <c r="M21" s="2096"/>
      <c r="N21" s="2102"/>
    </row>
    <row r="22" spans="1:15">
      <c r="A22" s="2070" t="s">
        <v>1388</v>
      </c>
      <c r="B22" s="2082">
        <v>1</v>
      </c>
      <c r="C22" s="2082">
        <v>1</v>
      </c>
      <c r="D22" s="2083">
        <v>0</v>
      </c>
      <c r="E22" s="122"/>
      <c r="F22" s="2101"/>
      <c r="G22" s="2096"/>
      <c r="H22" s="2096"/>
      <c r="I22" s="2102"/>
      <c r="J22" s="120"/>
      <c r="K22" s="2101"/>
      <c r="L22" s="2096"/>
      <c r="M22" s="2096"/>
      <c r="N22" s="2102"/>
    </row>
    <row r="23" spans="1:15">
      <c r="A23" s="2070" t="s">
        <v>1389</v>
      </c>
      <c r="B23" s="2087">
        <v>1</v>
      </c>
      <c r="C23" s="2087">
        <v>4</v>
      </c>
      <c r="D23" s="2088">
        <v>0</v>
      </c>
      <c r="E23" s="122"/>
      <c r="F23" s="2101"/>
      <c r="G23" s="2096"/>
      <c r="H23" s="2096"/>
      <c r="I23" s="2102"/>
      <c r="J23" s="120"/>
      <c r="K23" s="2101"/>
      <c r="L23" s="2096"/>
      <c r="M23" s="2096"/>
      <c r="N23" s="2102"/>
    </row>
    <row r="24" spans="1:15">
      <c r="A24" s="2080" t="s">
        <v>1394</v>
      </c>
      <c r="B24" s="2082">
        <v>1</v>
      </c>
      <c r="C24" s="2082">
        <v>2</v>
      </c>
      <c r="D24" s="2085">
        <v>0</v>
      </c>
      <c r="E24" s="122"/>
      <c r="F24" s="2101"/>
      <c r="G24" s="2096"/>
      <c r="H24" s="2096"/>
      <c r="I24" s="2102"/>
      <c r="J24" s="120"/>
      <c r="K24" s="2101"/>
      <c r="L24" s="2096"/>
      <c r="M24" s="2096"/>
      <c r="N24" s="2102"/>
    </row>
    <row r="25" spans="1:15" ht="6" customHeight="1">
      <c r="A25" s="2080"/>
      <c r="B25" s="2073"/>
      <c r="C25" s="2073"/>
      <c r="D25" s="2081"/>
      <c r="E25" s="122"/>
      <c r="F25" s="2101"/>
      <c r="G25" s="2096"/>
      <c r="H25" s="2096"/>
      <c r="I25" s="2102"/>
      <c r="J25" s="120"/>
      <c r="K25" s="2101"/>
      <c r="L25" s="2096"/>
      <c r="M25" s="2096"/>
      <c r="N25" s="2102"/>
    </row>
    <row r="26" spans="1:15" ht="62.25" customHeight="1" thickBot="1">
      <c r="A26" s="2103" t="s">
        <v>1395</v>
      </c>
      <c r="B26" s="2125"/>
      <c r="C26" s="2125"/>
      <c r="D26" s="2126"/>
      <c r="E26" s="119"/>
      <c r="F26" s="2103"/>
      <c r="G26" s="2104"/>
      <c r="H26" s="2104"/>
      <c r="I26" s="2105"/>
      <c r="J26" s="119"/>
      <c r="K26" s="2103"/>
      <c r="L26" s="2104"/>
      <c r="M26" s="2104"/>
      <c r="N26" s="2105"/>
    </row>
    <row r="27" spans="1:15" ht="4.5" customHeight="1" thickBot="1">
      <c r="A27" s="43"/>
      <c r="B27" s="43"/>
      <c r="C27" s="294"/>
      <c r="D27" s="87"/>
      <c r="F27" s="43"/>
      <c r="G27" s="43"/>
      <c r="H27" s="57"/>
      <c r="I27" s="57"/>
      <c r="K27" s="43"/>
      <c r="L27" s="43"/>
      <c r="M27" s="43"/>
      <c r="N27" s="294"/>
    </row>
    <row r="28" spans="1:15" ht="21.6" thickBot="1">
      <c r="A28" s="1954" t="s">
        <v>37</v>
      </c>
      <c r="B28" s="1955"/>
      <c r="C28" s="1956"/>
      <c r="D28" s="1957" t="s">
        <v>32</v>
      </c>
      <c r="E28" s="56"/>
      <c r="F28" s="1869" t="s">
        <v>213</v>
      </c>
      <c r="G28" s="1870"/>
      <c r="H28" s="1870"/>
      <c r="I28" s="1871" t="s">
        <v>30</v>
      </c>
      <c r="J28" s="315"/>
      <c r="K28" s="1888" t="s">
        <v>38</v>
      </c>
      <c r="L28" s="1889"/>
      <c r="M28" s="1889"/>
      <c r="N28" s="1890" t="s">
        <v>31</v>
      </c>
      <c r="O28" s="30"/>
    </row>
    <row r="29" spans="1:15" ht="12.75" customHeight="1">
      <c r="A29" s="118"/>
      <c r="B29" s="30"/>
      <c r="C29" s="30"/>
      <c r="D29" s="258"/>
      <c r="E29" s="119"/>
      <c r="F29" s="30"/>
      <c r="G29" s="30"/>
      <c r="H29" s="1604"/>
      <c r="I29" s="258"/>
      <c r="J29" s="119"/>
      <c r="K29" s="43"/>
      <c r="L29" s="43"/>
      <c r="M29" s="43"/>
      <c r="N29" s="122"/>
    </row>
    <row r="30" spans="1:15" ht="26.4">
      <c r="A30" s="118"/>
      <c r="B30" s="77" t="s">
        <v>721</v>
      </c>
      <c r="C30" s="1604" t="s">
        <v>922</v>
      </c>
      <c r="D30" s="1803" t="s">
        <v>723</v>
      </c>
      <c r="E30" s="119"/>
      <c r="F30" s="30"/>
      <c r="G30" s="77" t="s">
        <v>721</v>
      </c>
      <c r="H30" s="1604" t="s">
        <v>922</v>
      </c>
      <c r="I30" s="121" t="s">
        <v>723</v>
      </c>
      <c r="J30" s="119"/>
      <c r="K30" s="1928"/>
      <c r="L30" s="1929" t="s">
        <v>721</v>
      </c>
      <c r="M30" s="1930" t="s">
        <v>922</v>
      </c>
      <c r="N30" s="1931" t="s">
        <v>723</v>
      </c>
    </row>
    <row r="31" spans="1:15" ht="12.75" customHeight="1">
      <c r="A31" s="1802" t="s">
        <v>28</v>
      </c>
      <c r="B31" s="182">
        <f>Income!B10*-1</f>
        <v>91461.99900000004</v>
      </c>
      <c r="C31" s="182">
        <f>Income!C10*-1</f>
        <v>88287.161999999968</v>
      </c>
      <c r="D31" s="327">
        <f>B31-C31</f>
        <v>3174.8370000000723</v>
      </c>
      <c r="E31" s="119"/>
      <c r="F31" s="1801" t="s">
        <v>28</v>
      </c>
      <c r="G31" s="182">
        <f>'Operating Costs'!B12</f>
        <v>91673.59</v>
      </c>
      <c r="H31" s="1799">
        <f>'Operating Costs'!C12</f>
        <v>93978.675000000017</v>
      </c>
      <c r="I31" s="327">
        <f>H31-G31</f>
        <v>2305.085000000021</v>
      </c>
      <c r="J31" s="119"/>
      <c r="K31" s="1932" t="s">
        <v>28</v>
      </c>
      <c r="L31" s="1933">
        <f>+Capital!C11</f>
        <v>24116</v>
      </c>
      <c r="M31" s="1933">
        <f>+Capital!D11</f>
        <v>17603</v>
      </c>
      <c r="N31" s="1934">
        <f>L31-M31</f>
        <v>6513</v>
      </c>
    </row>
    <row r="32" spans="1:15">
      <c r="A32" s="1802" t="s">
        <v>29</v>
      </c>
      <c r="B32" s="182">
        <f>Income!G10*-1</f>
        <v>549636.28699999989</v>
      </c>
      <c r="C32" s="182">
        <f>Income!H10*-1</f>
        <v>551852.978</v>
      </c>
      <c r="D32" s="327">
        <f>B32-C32</f>
        <v>-2216.691000000108</v>
      </c>
      <c r="E32" s="120"/>
      <c r="F32" s="1802" t="s">
        <v>29</v>
      </c>
      <c r="G32" s="182">
        <f>'Operating Costs'!H12</f>
        <v>531476.47600000002</v>
      </c>
      <c r="H32" s="1800">
        <f>'Operating Costs'!I12</f>
        <v>533904.93800000008</v>
      </c>
      <c r="I32" s="327">
        <f>H32-G32</f>
        <v>2428.4620000000577</v>
      </c>
      <c r="J32" s="120"/>
      <c r="K32" s="1939" t="s">
        <v>1305</v>
      </c>
      <c r="L32" s="1933">
        <f>+Capital!L11</f>
        <v>95453</v>
      </c>
      <c r="M32" s="1933">
        <f>+Capital!M11</f>
        <v>96969</v>
      </c>
      <c r="N32" s="1934">
        <f>L32-M32</f>
        <v>-1516</v>
      </c>
    </row>
    <row r="33" spans="1:14">
      <c r="A33" s="118"/>
      <c r="B33" s="30"/>
      <c r="C33" s="43"/>
      <c r="D33" s="765"/>
      <c r="E33" s="120"/>
      <c r="F33" s="73"/>
      <c r="G33" s="43"/>
      <c r="H33" s="281"/>
      <c r="I33" s="766"/>
      <c r="J33" s="120"/>
      <c r="K33" s="1928"/>
      <c r="L33" s="1929"/>
      <c r="M33" s="1933"/>
      <c r="N33" s="1931"/>
    </row>
    <row r="34" spans="1:14" ht="12.75" customHeight="1">
      <c r="A34" s="2101" t="s">
        <v>1376</v>
      </c>
      <c r="B34" s="2096"/>
      <c r="C34" s="2096"/>
      <c r="D34" s="2102"/>
      <c r="E34" s="180"/>
      <c r="F34" s="2096" t="s">
        <v>1398</v>
      </c>
      <c r="G34" s="2096"/>
      <c r="H34" s="2096"/>
      <c r="I34" s="2102"/>
      <c r="J34" s="120"/>
      <c r="K34" s="2106" t="s">
        <v>1382</v>
      </c>
      <c r="L34" s="2107"/>
      <c r="M34" s="2107"/>
      <c r="N34" s="2108"/>
    </row>
    <row r="35" spans="1:14">
      <c r="A35" s="2101"/>
      <c r="B35" s="2096"/>
      <c r="C35" s="2096"/>
      <c r="D35" s="2102"/>
      <c r="E35" s="120"/>
      <c r="F35" s="2096"/>
      <c r="G35" s="2096"/>
      <c r="H35" s="2096"/>
      <c r="I35" s="2102"/>
      <c r="J35" s="120"/>
      <c r="K35" s="2106"/>
      <c r="L35" s="2107"/>
      <c r="M35" s="2107"/>
      <c r="N35" s="2108"/>
    </row>
    <row r="36" spans="1:14">
      <c r="A36" s="2101"/>
      <c r="B36" s="2096"/>
      <c r="C36" s="2096"/>
      <c r="D36" s="2102"/>
      <c r="E36" s="120"/>
      <c r="F36" s="2096"/>
      <c r="G36" s="2096"/>
      <c r="H36" s="2096"/>
      <c r="I36" s="2102"/>
      <c r="J36" s="120"/>
      <c r="K36" s="2106"/>
      <c r="L36" s="2107"/>
      <c r="M36" s="2107"/>
      <c r="N36" s="2108"/>
    </row>
    <row r="37" spans="1:14" ht="84.75" customHeight="1" thickBot="1">
      <c r="A37" s="2103"/>
      <c r="B37" s="2104"/>
      <c r="C37" s="2104"/>
      <c r="D37" s="2105"/>
      <c r="E37" s="119"/>
      <c r="F37" s="2104"/>
      <c r="G37" s="2104"/>
      <c r="H37" s="2104"/>
      <c r="I37" s="2105"/>
      <c r="J37" s="119"/>
      <c r="K37" s="2109"/>
      <c r="L37" s="2110"/>
      <c r="M37" s="2110"/>
      <c r="N37" s="2111"/>
    </row>
    <row r="38" spans="1:14" ht="6.75" customHeight="1" thickBot="1">
      <c r="A38" s="43"/>
      <c r="B38" s="43"/>
      <c r="C38" s="43"/>
      <c r="D38" s="294"/>
      <c r="F38" s="30"/>
      <c r="G38" s="30"/>
      <c r="H38" s="30"/>
      <c r="I38" s="30"/>
      <c r="K38" s="43"/>
      <c r="L38" s="43"/>
      <c r="M38" s="43"/>
    </row>
    <row r="39" spans="1:14" ht="21.6" thickBot="1">
      <c r="A39" s="2091" t="s">
        <v>212</v>
      </c>
      <c r="B39" s="2092"/>
      <c r="C39" s="2093"/>
      <c r="D39" s="1871" t="s">
        <v>30</v>
      </c>
      <c r="E39" s="315"/>
      <c r="F39" s="1869" t="s">
        <v>1281</v>
      </c>
      <c r="G39" s="1870"/>
      <c r="H39" s="1870"/>
      <c r="I39" s="1871" t="s">
        <v>30</v>
      </c>
      <c r="J39" s="315"/>
      <c r="K39" s="1817" t="s">
        <v>714</v>
      </c>
      <c r="L39" s="252"/>
      <c r="M39" s="252"/>
      <c r="N39" s="1788"/>
    </row>
    <row r="40" spans="1:14" ht="12.75" customHeight="1">
      <c r="A40" s="118"/>
      <c r="B40" s="30"/>
      <c r="C40" s="30"/>
      <c r="D40" s="258"/>
      <c r="E40" s="315"/>
      <c r="F40" s="1805"/>
      <c r="G40" s="1806"/>
      <c r="H40" s="1806"/>
      <c r="I40" s="1807"/>
      <c r="J40" s="1787"/>
      <c r="K40" s="2112" t="s">
        <v>1387</v>
      </c>
      <c r="L40" s="2113"/>
      <c r="M40" s="2113"/>
      <c r="N40" s="2114"/>
    </row>
    <row r="41" spans="1:14" ht="26.4">
      <c r="A41" s="118"/>
      <c r="B41" s="77" t="s">
        <v>721</v>
      </c>
      <c r="C41" s="1604" t="s">
        <v>922</v>
      </c>
      <c r="D41" s="1803" t="s">
        <v>723</v>
      </c>
      <c r="E41" s="315"/>
      <c r="F41" s="1805"/>
      <c r="G41" s="1806"/>
      <c r="H41" s="1812" t="s">
        <v>4</v>
      </c>
      <c r="I41" s="1811" t="s">
        <v>237</v>
      </c>
      <c r="J41" s="1787"/>
      <c r="K41" s="2115"/>
      <c r="L41" s="2116"/>
      <c r="M41" s="2116"/>
      <c r="N41" s="2117"/>
    </row>
    <row r="42" spans="1:14" ht="12.75" customHeight="1">
      <c r="A42" s="1802" t="s">
        <v>28</v>
      </c>
      <c r="B42" s="307">
        <f>'Cost Improvement Prog'!C10</f>
        <v>1033.152909326813</v>
      </c>
      <c r="C42" s="307">
        <f>'Cost Improvement Prog'!D10</f>
        <v>1381.6666666666667</v>
      </c>
      <c r="D42" s="327">
        <f>B42-C42</f>
        <v>-348.51375733985378</v>
      </c>
      <c r="E42" s="315"/>
      <c r="F42" s="1805"/>
      <c r="G42" s="1806"/>
      <c r="H42" s="1806"/>
      <c r="I42" s="1807"/>
      <c r="J42" s="1787"/>
      <c r="K42" s="2115"/>
      <c r="L42" s="2116"/>
      <c r="M42" s="2116"/>
      <c r="N42" s="2117"/>
    </row>
    <row r="43" spans="1:14" ht="12.75" customHeight="1">
      <c r="A43" s="1802" t="s">
        <v>29</v>
      </c>
      <c r="B43" s="182">
        <f>'Cost Improvement Prog'!G10</f>
        <v>25103.67384116312</v>
      </c>
      <c r="C43" s="182">
        <f>'Cost Improvement Prog'!H10</f>
        <v>25103.766053193805</v>
      </c>
      <c r="D43" s="327">
        <f>B43-C43</f>
        <v>-9.2212030685914215E-2</v>
      </c>
      <c r="E43" s="315"/>
      <c r="F43" s="1813" t="s">
        <v>1216</v>
      </c>
      <c r="G43" s="1806"/>
      <c r="H43" s="1816" t="s">
        <v>30</v>
      </c>
      <c r="I43" s="1892" t="s">
        <v>30</v>
      </c>
      <c r="J43" s="1787"/>
      <c r="K43" s="2115"/>
      <c r="L43" s="2116"/>
      <c r="M43" s="2116"/>
      <c r="N43" s="2117"/>
    </row>
    <row r="44" spans="1:14">
      <c r="A44" s="118"/>
      <c r="B44" s="30"/>
      <c r="C44" s="281"/>
      <c r="D44" s="122"/>
      <c r="E44" s="315"/>
      <c r="F44" s="1813" t="s">
        <v>848</v>
      </c>
      <c r="G44" s="1806"/>
      <c r="H44" s="2094" t="s">
        <v>30</v>
      </c>
      <c r="I44" s="1916" t="s">
        <v>30</v>
      </c>
      <c r="J44" s="1787"/>
      <c r="K44" s="2115"/>
      <c r="L44" s="2116"/>
      <c r="M44" s="2116"/>
      <c r="N44" s="2117"/>
    </row>
    <row r="45" spans="1:14" ht="12.75" customHeight="1">
      <c r="A45" s="2101" t="s">
        <v>1355</v>
      </c>
      <c r="B45" s="2096"/>
      <c r="C45" s="2096"/>
      <c r="D45" s="2102"/>
      <c r="E45" s="315"/>
      <c r="F45" s="1813" t="s">
        <v>1218</v>
      </c>
      <c r="G45" s="1806"/>
      <c r="H45" s="1816" t="s">
        <v>30</v>
      </c>
      <c r="I45" s="1816" t="s">
        <v>30</v>
      </c>
      <c r="J45" s="1787"/>
      <c r="K45" s="2115"/>
      <c r="L45" s="2116"/>
      <c r="M45" s="2116"/>
      <c r="N45" s="2117"/>
    </row>
    <row r="46" spans="1:14">
      <c r="A46" s="2101"/>
      <c r="B46" s="2096"/>
      <c r="C46" s="2096"/>
      <c r="D46" s="2102"/>
      <c r="E46" s="315"/>
      <c r="F46" s="1813" t="s">
        <v>1217</v>
      </c>
      <c r="G46" s="1806"/>
      <c r="H46" s="2094" t="s">
        <v>30</v>
      </c>
      <c r="I46" s="2094" t="s">
        <v>30</v>
      </c>
      <c r="J46" s="1787"/>
      <c r="K46" s="2115"/>
      <c r="L46" s="2116"/>
      <c r="M46" s="2116"/>
      <c r="N46" s="2117"/>
    </row>
    <row r="47" spans="1:14">
      <c r="A47" s="2101"/>
      <c r="B47" s="2096"/>
      <c r="C47" s="2096"/>
      <c r="D47" s="2102"/>
      <c r="E47" s="315"/>
      <c r="F47" s="1805"/>
      <c r="G47" s="1806"/>
      <c r="H47" s="1814"/>
      <c r="I47" s="1815"/>
      <c r="J47" s="1787"/>
      <c r="K47" s="2115"/>
      <c r="L47" s="2116"/>
      <c r="M47" s="2116"/>
      <c r="N47" s="2117"/>
    </row>
    <row r="48" spans="1:14">
      <c r="A48" s="2101"/>
      <c r="B48" s="2096"/>
      <c r="C48" s="2096"/>
      <c r="D48" s="2102"/>
      <c r="E48" s="315"/>
      <c r="F48" s="1813" t="s">
        <v>1219</v>
      </c>
      <c r="G48" s="1806"/>
      <c r="H48" s="2121" t="s">
        <v>30</v>
      </c>
      <c r="I48" s="2121"/>
      <c r="J48" s="1787"/>
      <c r="K48" s="2115"/>
      <c r="L48" s="2116"/>
      <c r="M48" s="2116"/>
      <c r="N48" s="2117"/>
    </row>
    <row r="49" spans="1:14">
      <c r="A49" s="2101"/>
      <c r="B49" s="2096"/>
      <c r="C49" s="2096"/>
      <c r="D49" s="2102"/>
      <c r="E49" s="315"/>
      <c r="F49" s="1813"/>
      <c r="G49" s="1806"/>
      <c r="H49" s="1814"/>
      <c r="I49" s="1815"/>
      <c r="J49" s="1787"/>
      <c r="K49" s="2115"/>
      <c r="L49" s="2116"/>
      <c r="M49" s="2116"/>
      <c r="N49" s="2117"/>
    </row>
    <row r="50" spans="1:14" ht="68.25" customHeight="1">
      <c r="A50" s="2101"/>
      <c r="B50" s="2096"/>
      <c r="C50" s="2096"/>
      <c r="D50" s="2102"/>
      <c r="E50" s="315"/>
      <c r="F50" s="2122" t="s">
        <v>1282</v>
      </c>
      <c r="G50" s="2123"/>
      <c r="H50" s="2123"/>
      <c r="I50" s="2124"/>
      <c r="J50" s="1787"/>
      <c r="K50" s="2115"/>
      <c r="L50" s="2116"/>
      <c r="M50" s="2116"/>
      <c r="N50" s="2117"/>
    </row>
    <row r="51" spans="1:14" ht="25.5" customHeight="1" thickBot="1">
      <c r="A51" s="2103"/>
      <c r="B51" s="2104"/>
      <c r="C51" s="2104"/>
      <c r="D51" s="2105"/>
      <c r="E51" s="315"/>
      <c r="F51" s="1808"/>
      <c r="G51" s="1809"/>
      <c r="H51" s="1809"/>
      <c r="I51" s="1810"/>
      <c r="J51" s="1787"/>
      <c r="K51" s="2118"/>
      <c r="L51" s="2119"/>
      <c r="M51" s="2119"/>
      <c r="N51" s="2120"/>
    </row>
    <row r="52" spans="1:14" ht="4.5" customHeight="1"/>
    <row r="54" spans="1:14" ht="12.75" customHeight="1"/>
    <row r="55" spans="1:14" ht="24" customHeight="1"/>
    <row r="56" spans="1:14" ht="3.75" customHeight="1"/>
    <row r="57" spans="1:14" ht="3.75" customHeight="1"/>
    <row r="58" spans="1:14" ht="12.75" customHeight="1"/>
    <row r="75" spans="1:12">
      <c r="A75" s="36"/>
      <c r="B75" s="40"/>
      <c r="C75" s="40"/>
      <c r="D75" s="40"/>
      <c r="E75" s="40"/>
      <c r="F75" s="40"/>
      <c r="G75" s="40"/>
      <c r="H75" s="40"/>
      <c r="I75" s="40"/>
      <c r="J75" s="40"/>
      <c r="K75" s="40"/>
      <c r="L75" s="59"/>
    </row>
    <row r="76" spans="1:12">
      <c r="A76" s="37"/>
      <c r="B76" s="30"/>
      <c r="C76" s="30"/>
      <c r="D76" s="30"/>
      <c r="E76" s="30"/>
      <c r="F76" s="30"/>
      <c r="G76" s="30"/>
      <c r="H76" s="30"/>
      <c r="I76" s="30"/>
      <c r="J76" s="30"/>
      <c r="K76" s="30"/>
      <c r="L76" s="70"/>
    </row>
    <row r="77" spans="1:12">
      <c r="A77" s="37"/>
      <c r="B77" s="30"/>
      <c r="C77" s="30"/>
      <c r="D77" s="30"/>
      <c r="E77" s="30"/>
      <c r="F77" s="30"/>
      <c r="G77" s="30"/>
      <c r="H77" s="30"/>
      <c r="I77" s="30"/>
      <c r="J77" s="30"/>
      <c r="K77" s="30"/>
      <c r="L77" s="70"/>
    </row>
    <row r="78" spans="1:12">
      <c r="A78" s="37"/>
      <c r="B78" s="30"/>
      <c r="C78" s="30"/>
      <c r="D78" s="30"/>
      <c r="E78" s="30"/>
      <c r="F78" s="30"/>
      <c r="G78" s="30"/>
      <c r="H78" s="30"/>
      <c r="I78" s="30"/>
      <c r="J78" s="30"/>
      <c r="K78" s="30"/>
      <c r="L78" s="70"/>
    </row>
    <row r="79" spans="1:12">
      <c r="A79" s="37"/>
      <c r="B79" s="30"/>
      <c r="C79" s="30"/>
      <c r="D79" s="30"/>
      <c r="E79" s="30"/>
      <c r="F79" s="30"/>
      <c r="G79" s="30"/>
      <c r="H79" s="30"/>
      <c r="I79" s="30"/>
      <c r="J79" s="30"/>
      <c r="K79" s="30"/>
      <c r="L79" s="70"/>
    </row>
    <row r="80" spans="1:12">
      <c r="A80" s="38"/>
      <c r="B80" s="41"/>
      <c r="C80" s="41"/>
      <c r="D80" s="41"/>
      <c r="E80" s="41"/>
      <c r="F80" s="41"/>
      <c r="G80" s="41"/>
      <c r="H80" s="41"/>
      <c r="I80" s="41"/>
      <c r="J80" s="41"/>
      <c r="K80" s="41"/>
      <c r="L80" s="60"/>
    </row>
  </sheetData>
  <mergeCells count="12">
    <mergeCell ref="A6:N8"/>
    <mergeCell ref="A45:D51"/>
    <mergeCell ref="K34:N37"/>
    <mergeCell ref="F16:I26"/>
    <mergeCell ref="K16:N26"/>
    <mergeCell ref="A34:D37"/>
    <mergeCell ref="F34:I37"/>
    <mergeCell ref="K40:N51"/>
    <mergeCell ref="H48:I48"/>
    <mergeCell ref="F50:I50"/>
    <mergeCell ref="A26:D26"/>
    <mergeCell ref="H11:H12"/>
  </mergeCells>
  <phoneticPr fontId="8" type="noConversion"/>
  <dataValidations count="1">
    <dataValidation type="decimal" allowBlank="1" showErrorMessage="1" errorTitle="Number Only" error="Error : This cell can only accept a numeric value with a max of 12 digits." sqref="B22:D25 B20:D20">
      <formula1>-1000000000000</formula1>
      <formula2>1000000000000</formula2>
    </dataValidation>
  </dataValidations>
  <printOptions horizontalCentered="1" verticalCentered="1"/>
  <pageMargins left="0.35433070866141736" right="0.35433070866141736" top="0.19685039370078741" bottom="0.39370078740157483" header="0" footer="0.19685039370078741"/>
  <pageSetup paperSize="9" scale="58" orientation="landscape" r:id="rId1"/>
  <headerFooter alignWithMargins="0">
    <oddFooter>&amp;CPage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fitToPage="1"/>
  </sheetPr>
  <dimension ref="A1:K70"/>
  <sheetViews>
    <sheetView showGridLines="0" topLeftCell="A40" zoomScaleNormal="100" workbookViewId="0">
      <selection activeCell="A3" sqref="A3:I4"/>
    </sheetView>
  </sheetViews>
  <sheetFormatPr defaultRowHeight="13.2"/>
  <cols>
    <col min="1" max="1" width="22.44140625" customWidth="1"/>
    <col min="2" max="2" width="16.44140625" customWidth="1"/>
    <col min="3" max="3" width="15.33203125" customWidth="1"/>
    <col min="4" max="4" width="16" customWidth="1"/>
    <col min="5" max="5" width="2" customWidth="1"/>
    <col min="6" max="6" width="27.44140625" customWidth="1"/>
    <col min="7" max="7" width="18" customWidth="1"/>
    <col min="8" max="8" width="15.44140625" customWidth="1"/>
    <col min="9" max="9" width="16" customWidth="1"/>
    <col min="10" max="10" width="1.6640625" customWidth="1"/>
  </cols>
  <sheetData>
    <row r="1" spans="1:10" ht="21.6" thickBot="1">
      <c r="A1" s="1998" t="str">
        <f>'Summary Page'!A1</f>
        <v xml:space="preserve">Finance Report Month 2 2016/17 </v>
      </c>
      <c r="B1" s="1999"/>
      <c r="C1" s="1999"/>
      <c r="D1" s="1999"/>
      <c r="E1" s="2000" t="s">
        <v>5</v>
      </c>
      <c r="F1" s="1999"/>
      <c r="G1" s="1999"/>
      <c r="H1" s="1999"/>
      <c r="I1" s="1957" t="s">
        <v>32</v>
      </c>
      <c r="J1" s="30"/>
    </row>
    <row r="2" spans="1:10" ht="7.5" customHeight="1">
      <c r="A2" s="47"/>
      <c r="B2" s="30"/>
      <c r="C2" s="30"/>
      <c r="D2" s="30"/>
      <c r="E2" s="30"/>
      <c r="G2" s="30"/>
      <c r="I2" s="761"/>
    </row>
    <row r="3" spans="1:10" ht="28.5" customHeight="1">
      <c r="A3" s="2129" t="s">
        <v>1400</v>
      </c>
      <c r="B3" s="2209"/>
      <c r="C3" s="2209"/>
      <c r="D3" s="2209"/>
      <c r="E3" s="2209"/>
      <c r="F3" s="2209"/>
      <c r="G3" s="2209"/>
      <c r="H3" s="2209"/>
      <c r="I3" s="2209"/>
      <c r="J3" s="1886"/>
    </row>
    <row r="4" spans="1:10" ht="44.25" customHeight="1">
      <c r="A4" s="2210"/>
      <c r="B4" s="2211"/>
      <c r="C4" s="2211"/>
      <c r="D4" s="2211"/>
      <c r="E4" s="2211"/>
      <c r="F4" s="2211"/>
      <c r="G4" s="2211"/>
      <c r="H4" s="2211"/>
      <c r="I4" s="2211"/>
      <c r="J4" s="1887"/>
    </row>
    <row r="5" spans="1:10" ht="4.5" customHeight="1"/>
    <row r="6" spans="1:10">
      <c r="A6" s="69"/>
      <c r="B6" s="48"/>
      <c r="C6" s="48"/>
      <c r="D6" s="49"/>
      <c r="F6" s="69" t="s">
        <v>944</v>
      </c>
      <c r="G6" s="48"/>
      <c r="H6" s="48"/>
      <c r="I6" s="49"/>
      <c r="J6" s="37"/>
    </row>
    <row r="7" spans="1:10">
      <c r="A7" s="78"/>
      <c r="B7" s="50" t="s">
        <v>721</v>
      </c>
      <c r="C7" s="50" t="s">
        <v>722</v>
      </c>
      <c r="D7" s="51" t="s">
        <v>723</v>
      </c>
      <c r="F7" s="78"/>
      <c r="G7" s="50" t="s">
        <v>721</v>
      </c>
      <c r="H7" s="50" t="s">
        <v>722</v>
      </c>
      <c r="I7" s="1884" t="s">
        <v>723</v>
      </c>
      <c r="J7" s="37"/>
    </row>
    <row r="8" spans="1:10">
      <c r="A8" s="78"/>
      <c r="B8" s="50" t="s">
        <v>948</v>
      </c>
      <c r="C8" s="50" t="s">
        <v>948</v>
      </c>
      <c r="D8" s="51" t="s">
        <v>948</v>
      </c>
      <c r="F8" s="78"/>
      <c r="G8" s="50" t="s">
        <v>948</v>
      </c>
      <c r="H8" s="50" t="s">
        <v>948</v>
      </c>
      <c r="I8" s="1884" t="s">
        <v>948</v>
      </c>
      <c r="J8" s="37"/>
    </row>
    <row r="9" spans="1:10">
      <c r="A9" s="138" t="s">
        <v>49</v>
      </c>
      <c r="B9" s="203">
        <f>B36</f>
        <v>7247.4089999999997</v>
      </c>
      <c r="C9" s="203">
        <f>C36</f>
        <v>5896.4869999999937</v>
      </c>
      <c r="D9" s="1754">
        <f>D36</f>
        <v>-1350.9220000000059</v>
      </c>
      <c r="F9" s="138" t="s">
        <v>49</v>
      </c>
      <c r="G9" s="203">
        <f>G36</f>
        <v>3166.8110000000015</v>
      </c>
      <c r="H9" s="203">
        <f>H36</f>
        <v>3168.0399999999645</v>
      </c>
      <c r="I9" s="1754">
        <f>I36</f>
        <v>1.2289999999629799</v>
      </c>
      <c r="J9" s="37"/>
    </row>
    <row r="10" spans="1:10">
      <c r="A10" s="139"/>
      <c r="B10" s="140"/>
      <c r="C10" s="140"/>
      <c r="D10" s="141"/>
      <c r="F10" s="139"/>
      <c r="G10" s="140"/>
      <c r="H10" s="140"/>
      <c r="I10" s="141"/>
      <c r="J10" s="37"/>
    </row>
    <row r="11" spans="1:10" ht="4.5" customHeight="1">
      <c r="A11" s="53"/>
      <c r="B11" s="57"/>
      <c r="C11" s="57"/>
      <c r="D11" s="42"/>
      <c r="F11" s="53"/>
      <c r="G11" s="57"/>
      <c r="H11" s="57"/>
      <c r="I11" s="42"/>
    </row>
    <row r="12" spans="1:10" ht="12.75" customHeight="1">
      <c r="A12" s="2129" t="s">
        <v>1366</v>
      </c>
      <c r="B12" s="2137"/>
      <c r="C12" s="2137"/>
      <c r="D12" s="2138"/>
      <c r="F12" s="2219" t="s">
        <v>1303</v>
      </c>
      <c r="G12" s="2220"/>
      <c r="H12" s="2220"/>
      <c r="I12" s="2221"/>
    </row>
    <row r="13" spans="1:10" ht="26.25" customHeight="1">
      <c r="A13" s="2139"/>
      <c r="B13" s="2140"/>
      <c r="C13" s="2140"/>
      <c r="D13" s="2141"/>
      <c r="F13" s="2222"/>
      <c r="G13" s="2223"/>
      <c r="H13" s="2223"/>
      <c r="I13" s="2224"/>
    </row>
    <row r="14" spans="1:10" ht="4.5" customHeight="1"/>
    <row r="15" spans="1:10">
      <c r="A15" s="69" t="s">
        <v>4</v>
      </c>
      <c r="B15" s="40"/>
      <c r="C15" s="40"/>
      <c r="D15" s="59"/>
      <c r="E15" s="30"/>
      <c r="F15" s="69" t="s">
        <v>944</v>
      </c>
      <c r="G15" s="40"/>
      <c r="H15" s="40"/>
      <c r="I15" s="59"/>
    </row>
    <row r="16" spans="1:10">
      <c r="A16" s="39"/>
      <c r="B16" s="96" t="s">
        <v>721</v>
      </c>
      <c r="C16" s="56" t="s">
        <v>722</v>
      </c>
      <c r="D16" s="81" t="s">
        <v>723</v>
      </c>
      <c r="E16" s="30"/>
      <c r="F16" s="37"/>
      <c r="G16" s="56" t="s">
        <v>721</v>
      </c>
      <c r="H16" s="1938" t="s">
        <v>722</v>
      </c>
      <c r="I16" s="81" t="s">
        <v>723</v>
      </c>
    </row>
    <row r="17" spans="1:9">
      <c r="A17" s="37"/>
      <c r="B17" s="50" t="s">
        <v>948</v>
      </c>
      <c r="C17" s="50" t="s">
        <v>948</v>
      </c>
      <c r="D17" s="51" t="s">
        <v>948</v>
      </c>
      <c r="E17" s="30"/>
      <c r="F17" s="37"/>
      <c r="G17" s="50" t="s">
        <v>948</v>
      </c>
      <c r="H17" s="50" t="s">
        <v>948</v>
      </c>
      <c r="I17" s="51" t="s">
        <v>948</v>
      </c>
    </row>
    <row r="18" spans="1:9">
      <c r="A18" s="129" t="s">
        <v>865</v>
      </c>
      <c r="B18" s="199">
        <f>+'Cash Data'!D26</f>
        <v>-211.59100000000035</v>
      </c>
      <c r="C18" s="199">
        <f>+'Cash Data'!S26</f>
        <v>-5691.5130000000063</v>
      </c>
      <c r="D18" s="200">
        <f>C18-B18</f>
        <v>-5479.9220000000059</v>
      </c>
      <c r="E18" s="363"/>
      <c r="F18" s="129" t="s">
        <v>865</v>
      </c>
      <c r="G18" s="199">
        <f>'Cash Data'!O2</f>
        <v>18159.811000000002</v>
      </c>
      <c r="H18" s="199">
        <f>'Cash Data'!AD2</f>
        <v>17948.039999999964</v>
      </c>
      <c r="I18" s="200">
        <f>H18-G18</f>
        <v>-211.77100000003702</v>
      </c>
    </row>
    <row r="19" spans="1:9" ht="15.75" customHeight="1">
      <c r="A19" s="129" t="s">
        <v>165</v>
      </c>
      <c r="B19" s="199">
        <f>+'Cash Data'!D27</f>
        <v>0</v>
      </c>
      <c r="C19" s="199">
        <f>+'Cash Data'!S27</f>
        <v>0</v>
      </c>
      <c r="D19" s="200">
        <f>C19-B19</f>
        <v>0</v>
      </c>
      <c r="E19" s="363"/>
      <c r="F19" s="129" t="s">
        <v>165</v>
      </c>
      <c r="G19" s="199">
        <f>'Cash Data'!O3</f>
        <v>0</v>
      </c>
      <c r="H19" s="199">
        <f>'Cash Data'!AD3</f>
        <v>0</v>
      </c>
      <c r="I19" s="200">
        <f>H19-G19</f>
        <v>0</v>
      </c>
    </row>
    <row r="20" spans="1:9">
      <c r="A20" s="129" t="s">
        <v>166</v>
      </c>
      <c r="B20" s="199">
        <f>+'Cash Data'!D28</f>
        <v>1575</v>
      </c>
      <c r="C20" s="199">
        <f>+'Cash Data'!S28</f>
        <v>-2525</v>
      </c>
      <c r="D20" s="200">
        <f>C20-B20</f>
        <v>-4100</v>
      </c>
      <c r="E20" s="108"/>
      <c r="F20" s="129" t="s">
        <v>166</v>
      </c>
      <c r="G20" s="199">
        <f>'Cash Data'!O4</f>
        <v>3809</v>
      </c>
      <c r="H20" s="199">
        <f>'Cash Data'!AD4</f>
        <v>8684</v>
      </c>
      <c r="I20" s="200">
        <f>H20-G20</f>
        <v>4875</v>
      </c>
    </row>
    <row r="21" spans="1:9">
      <c r="A21" s="336" t="s">
        <v>167</v>
      </c>
      <c r="B21" s="199">
        <f>+'Cash Data'!D29</f>
        <v>131</v>
      </c>
      <c r="C21" s="199">
        <f>+'Cash Data'!S29</f>
        <v>-1</v>
      </c>
      <c r="D21" s="200">
        <f>C21-B21</f>
        <v>-132</v>
      </c>
      <c r="E21" s="108"/>
      <c r="F21" s="336" t="s">
        <v>167</v>
      </c>
      <c r="G21" s="199">
        <f>'Cash Data'!O5</f>
        <v>-1350</v>
      </c>
      <c r="H21" s="199">
        <f>'Cash Data'!AD5</f>
        <v>-1482</v>
      </c>
      <c r="I21" s="200">
        <f>H21-G21</f>
        <v>-132</v>
      </c>
    </row>
    <row r="22" spans="1:9">
      <c r="A22" s="364" t="s">
        <v>168</v>
      </c>
      <c r="B22" s="365">
        <f>SUM(B18:B21)</f>
        <v>1494.4089999999997</v>
      </c>
      <c r="C22" s="365">
        <f>SUM(C18:C21)</f>
        <v>-8217.5130000000063</v>
      </c>
      <c r="D22" s="366">
        <f>SUM(D18:D21)</f>
        <v>-9711.9220000000059</v>
      </c>
      <c r="E22" s="108"/>
      <c r="F22" s="364" t="s">
        <v>168</v>
      </c>
      <c r="G22" s="365">
        <f>SUM(G18:G21)</f>
        <v>20618.811000000002</v>
      </c>
      <c r="H22" s="365">
        <f>SUM(H18:H21)</f>
        <v>25150.039999999964</v>
      </c>
      <c r="I22" s="366">
        <f>SUM(I18:I21)</f>
        <v>4531.228999999963</v>
      </c>
    </row>
    <row r="23" spans="1:9">
      <c r="A23" s="129" t="s">
        <v>941</v>
      </c>
      <c r="B23" s="199">
        <f>+'Cash Data'!D31</f>
        <v>-22895</v>
      </c>
      <c r="C23" s="199">
        <f>+'Cash Data'!S31</f>
        <v>-13043</v>
      </c>
      <c r="D23" s="200">
        <f>C23-B23</f>
        <v>9852</v>
      </c>
      <c r="E23" s="108"/>
      <c r="F23" s="129" t="s">
        <v>941</v>
      </c>
      <c r="G23" s="199">
        <f>'Cash Data'!O7</f>
        <v>-90357</v>
      </c>
      <c r="H23" s="199">
        <f>'Cash Data'!AD7</f>
        <v>-97843</v>
      </c>
      <c r="I23" s="200">
        <f t="shared" ref="I23:I36" si="0">H23-G23</f>
        <v>-7486</v>
      </c>
    </row>
    <row r="24" spans="1:9">
      <c r="A24" s="129" t="s">
        <v>169</v>
      </c>
      <c r="B24" s="199">
        <f>+'Cash Data'!D32</f>
        <v>0</v>
      </c>
      <c r="C24" s="199">
        <f>+'Cash Data'!S32</f>
        <v>0</v>
      </c>
      <c r="D24" s="200">
        <f t="shared" ref="D24:D35" si="1">C24-B24</f>
        <v>0</v>
      </c>
      <c r="E24" s="108"/>
      <c r="F24" s="129" t="s">
        <v>169</v>
      </c>
      <c r="G24" s="199">
        <f>'Cash Data'!O8</f>
        <v>0</v>
      </c>
      <c r="H24" s="199">
        <f>'Cash Data'!AD8</f>
        <v>0</v>
      </c>
      <c r="I24" s="200">
        <f t="shared" si="0"/>
        <v>0</v>
      </c>
    </row>
    <row r="25" spans="1:9">
      <c r="A25" s="367" t="s">
        <v>170</v>
      </c>
      <c r="B25" s="365">
        <f>SUM(B22:B24)</f>
        <v>-21400.591</v>
      </c>
      <c r="C25" s="365">
        <f>SUM(C22:C24)</f>
        <v>-21260.513000000006</v>
      </c>
      <c r="D25" s="366">
        <f t="shared" si="1"/>
        <v>140.07799999999406</v>
      </c>
      <c r="E25" s="108"/>
      <c r="F25" s="367" t="s">
        <v>170</v>
      </c>
      <c r="G25" s="365">
        <f>SUM(G22:G24)</f>
        <v>-69738.188999999998</v>
      </c>
      <c r="H25" s="365">
        <f>SUM(H22:H24)</f>
        <v>-72692.960000000036</v>
      </c>
      <c r="I25" s="366">
        <f t="shared" si="0"/>
        <v>-2954.771000000037</v>
      </c>
    </row>
    <row r="26" spans="1:9">
      <c r="A26" s="129" t="s">
        <v>171</v>
      </c>
      <c r="B26" s="199">
        <f>+'Cash Data'!D34</f>
        <v>15528</v>
      </c>
      <c r="C26" s="199">
        <f>+'Cash Data'!S34</f>
        <v>15187</v>
      </c>
      <c r="D26" s="200">
        <f t="shared" si="1"/>
        <v>-341</v>
      </c>
      <c r="E26" s="108"/>
      <c r="F26" s="129" t="s">
        <v>171</v>
      </c>
      <c r="G26" s="199">
        <f>'Cash Data'!O10</f>
        <v>62916</v>
      </c>
      <c r="H26" s="199">
        <f>'Cash Data'!AD10</f>
        <v>64251</v>
      </c>
      <c r="I26" s="200">
        <f t="shared" si="0"/>
        <v>1335</v>
      </c>
    </row>
    <row r="27" spans="1:9">
      <c r="A27" s="129" t="s">
        <v>172</v>
      </c>
      <c r="B27" s="199">
        <f>+'Cash Data'!D35</f>
        <v>0</v>
      </c>
      <c r="C27" s="199">
        <f>+'Cash Data'!S35</f>
        <v>0</v>
      </c>
      <c r="D27" s="200">
        <f t="shared" si="1"/>
        <v>0</v>
      </c>
      <c r="E27" s="108"/>
      <c r="F27" s="129" t="s">
        <v>172</v>
      </c>
      <c r="G27" s="199">
        <f>'Cash Data'!O11</f>
        <v>0</v>
      </c>
      <c r="H27" s="199">
        <f>'Cash Data'!AD11</f>
        <v>0</v>
      </c>
      <c r="I27" s="200">
        <f t="shared" si="0"/>
        <v>0</v>
      </c>
    </row>
    <row r="28" spans="1:9">
      <c r="A28" s="129" t="s">
        <v>173</v>
      </c>
      <c r="B28" s="199">
        <f>+'Cash Data'!D36</f>
        <v>0</v>
      </c>
      <c r="C28" s="199">
        <f>+'Cash Data'!S36</f>
        <v>0</v>
      </c>
      <c r="D28" s="200">
        <f t="shared" si="1"/>
        <v>0</v>
      </c>
      <c r="E28" s="108"/>
      <c r="F28" s="129" t="s">
        <v>173</v>
      </c>
      <c r="G28" s="199">
        <f>'Cash Data'!O12</f>
        <v>-7386</v>
      </c>
      <c r="H28" s="199">
        <f>'Cash Data'!AD12</f>
        <v>-7386</v>
      </c>
      <c r="I28" s="200">
        <f t="shared" si="0"/>
        <v>0</v>
      </c>
    </row>
    <row r="29" spans="1:9">
      <c r="A29" s="129" t="s">
        <v>174</v>
      </c>
      <c r="B29" s="199">
        <f>+'Cash Data'!D37</f>
        <v>-665</v>
      </c>
      <c r="C29" s="199">
        <f>+'Cash Data'!S37</f>
        <v>-665</v>
      </c>
      <c r="D29" s="200">
        <f t="shared" si="1"/>
        <v>0</v>
      </c>
      <c r="E29" s="108"/>
      <c r="F29" s="129" t="s">
        <v>174</v>
      </c>
      <c r="G29" s="199">
        <f>'Cash Data'!O13</f>
        <v>-5344</v>
      </c>
      <c r="H29" s="199">
        <f>'Cash Data'!AD13</f>
        <v>-5289</v>
      </c>
      <c r="I29" s="200">
        <f t="shared" si="0"/>
        <v>55</v>
      </c>
    </row>
    <row r="30" spans="1:9">
      <c r="A30" s="129" t="s">
        <v>175</v>
      </c>
      <c r="B30" s="199">
        <f>+'Cash Data'!D38</f>
        <v>8</v>
      </c>
      <c r="C30" s="199">
        <f>+'Cash Data'!S38</f>
        <v>7</v>
      </c>
      <c r="D30" s="200">
        <f t="shared" si="1"/>
        <v>-1</v>
      </c>
      <c r="E30" s="108"/>
      <c r="F30" s="129" t="s">
        <v>175</v>
      </c>
      <c r="G30" s="199">
        <f>'Cash Data'!O14</f>
        <v>48</v>
      </c>
      <c r="H30" s="199">
        <f>'Cash Data'!AD14</f>
        <v>47</v>
      </c>
      <c r="I30" s="200">
        <f t="shared" si="0"/>
        <v>-1</v>
      </c>
    </row>
    <row r="31" spans="1:9">
      <c r="A31" s="129" t="s">
        <v>176</v>
      </c>
      <c r="B31" s="199">
        <f>+'Cash Data'!D39</f>
        <v>11114</v>
      </c>
      <c r="C31" s="199">
        <f>+'Cash Data'!S39</f>
        <v>9965</v>
      </c>
      <c r="D31" s="200">
        <f t="shared" si="1"/>
        <v>-1149</v>
      </c>
      <c r="E31" s="108"/>
      <c r="F31" s="129" t="s">
        <v>176</v>
      </c>
      <c r="G31" s="199">
        <f>'Cash Data'!O15</f>
        <v>26574</v>
      </c>
      <c r="H31" s="199">
        <f>'Cash Data'!AD15</f>
        <v>26905</v>
      </c>
      <c r="I31" s="200">
        <f t="shared" si="0"/>
        <v>331</v>
      </c>
    </row>
    <row r="32" spans="1:9">
      <c r="A32" s="129" t="s">
        <v>177</v>
      </c>
      <c r="B32" s="199">
        <f>+'Cash Data'!D40</f>
        <v>-680</v>
      </c>
      <c r="C32" s="199">
        <f>+'Cash Data'!S40</f>
        <v>-680</v>
      </c>
      <c r="D32" s="200">
        <f t="shared" si="1"/>
        <v>0</v>
      </c>
      <c r="E32" s="108"/>
      <c r="F32" s="129" t="s">
        <v>177</v>
      </c>
      <c r="G32" s="199">
        <f>'Cash Data'!O16</f>
        <v>-7246</v>
      </c>
      <c r="H32" s="199">
        <f>'Cash Data'!AD16</f>
        <v>-6010</v>
      </c>
      <c r="I32" s="200">
        <f t="shared" si="0"/>
        <v>1236</v>
      </c>
    </row>
    <row r="33" spans="1:9">
      <c r="A33" s="367" t="s">
        <v>178</v>
      </c>
      <c r="B33" s="365">
        <f>SUM(B26:B32)</f>
        <v>25305</v>
      </c>
      <c r="C33" s="365">
        <f>SUM(C26:C32)</f>
        <v>23814</v>
      </c>
      <c r="D33" s="366">
        <f t="shared" si="1"/>
        <v>-1491</v>
      </c>
      <c r="E33" s="108"/>
      <c r="F33" s="367" t="s">
        <v>178</v>
      </c>
      <c r="G33" s="365">
        <f>'Cash Data'!O17</f>
        <v>69562</v>
      </c>
      <c r="H33" s="365">
        <f>'Cash Data'!AD17</f>
        <v>72518</v>
      </c>
      <c r="I33" s="366">
        <f t="shared" si="0"/>
        <v>2956</v>
      </c>
    </row>
    <row r="34" spans="1:9">
      <c r="A34" s="368" t="s">
        <v>179</v>
      </c>
      <c r="B34" s="365">
        <f>B33+B25</f>
        <v>3904.4089999999997</v>
      </c>
      <c r="C34" s="365">
        <f>C33+C25</f>
        <v>2553.4869999999937</v>
      </c>
      <c r="D34" s="200">
        <f t="shared" si="1"/>
        <v>-1350.9220000000059</v>
      </c>
      <c r="E34" s="108"/>
      <c r="F34" s="368" t="s">
        <v>179</v>
      </c>
      <c r="G34" s="199">
        <f>'Cash Data'!O18</f>
        <v>-176.18899999999849</v>
      </c>
      <c r="H34" s="199">
        <f>'Cash Data'!AD18</f>
        <v>-174.96000000003551</v>
      </c>
      <c r="I34" s="200">
        <f>'Cash Data'!AE18</f>
        <v>0</v>
      </c>
    </row>
    <row r="35" spans="1:9">
      <c r="A35" s="369" t="s">
        <v>163</v>
      </c>
      <c r="B35" s="370">
        <f>+'Cash Data'!C43</f>
        <v>3343</v>
      </c>
      <c r="C35" s="370">
        <f>+'Cash Data'!R43</f>
        <v>3343</v>
      </c>
      <c r="D35" s="371">
        <f t="shared" si="1"/>
        <v>0</v>
      </c>
      <c r="E35" s="108"/>
      <c r="F35" s="369" t="s">
        <v>163</v>
      </c>
      <c r="G35" s="370">
        <f>'Cash Data'!O19</f>
        <v>3343</v>
      </c>
      <c r="H35" s="370">
        <f>'Cash Data'!AD19</f>
        <v>3343</v>
      </c>
      <c r="I35" s="371">
        <f t="shared" si="0"/>
        <v>0</v>
      </c>
    </row>
    <row r="36" spans="1:9">
      <c r="A36" s="372" t="s">
        <v>164</v>
      </c>
      <c r="B36" s="373">
        <f>B34+B35</f>
        <v>7247.4089999999997</v>
      </c>
      <c r="C36" s="373">
        <f>C34+C35</f>
        <v>5896.4869999999937</v>
      </c>
      <c r="D36" s="374">
        <f>C36-B36</f>
        <v>-1350.9220000000059</v>
      </c>
      <c r="E36" s="375"/>
      <c r="F36" s="372" t="s">
        <v>164</v>
      </c>
      <c r="G36" s="373">
        <f>G34+G35</f>
        <v>3166.8110000000015</v>
      </c>
      <c r="H36" s="373">
        <f>H34+H35</f>
        <v>3168.0399999999645</v>
      </c>
      <c r="I36" s="374">
        <f t="shared" si="0"/>
        <v>1.2289999999629799</v>
      </c>
    </row>
    <row r="37" spans="1:9" ht="4.5" customHeight="1">
      <c r="A37" s="311"/>
      <c r="B37" s="30"/>
      <c r="C37" s="30"/>
      <c r="D37" s="30"/>
      <c r="F37" s="30"/>
      <c r="G37" s="30"/>
      <c r="H37" s="30"/>
      <c r="I37" s="30"/>
    </row>
    <row r="38" spans="1:9" ht="12.75" customHeight="1">
      <c r="A38" s="2129" t="s">
        <v>1383</v>
      </c>
      <c r="B38" s="2137"/>
      <c r="C38" s="2137"/>
      <c r="D38" s="2138"/>
      <c r="F38" s="2129" t="s">
        <v>1367</v>
      </c>
      <c r="G38" s="2137"/>
      <c r="H38" s="2137"/>
      <c r="I38" s="2138"/>
    </row>
    <row r="39" spans="1:9">
      <c r="A39" s="2216"/>
      <c r="B39" s="2217"/>
      <c r="C39" s="2217"/>
      <c r="D39" s="2218"/>
      <c r="F39" s="2216"/>
      <c r="G39" s="2217"/>
      <c r="H39" s="2217"/>
      <c r="I39" s="2218"/>
    </row>
    <row r="40" spans="1:9">
      <c r="A40" s="2216"/>
      <c r="B40" s="2217"/>
      <c r="C40" s="2217"/>
      <c r="D40" s="2218"/>
      <c r="F40" s="2216"/>
      <c r="G40" s="2217"/>
      <c r="H40" s="2217"/>
      <c r="I40" s="2218"/>
    </row>
    <row r="41" spans="1:9">
      <c r="A41" s="2216"/>
      <c r="B41" s="2217"/>
      <c r="C41" s="2217"/>
      <c r="D41" s="2218"/>
      <c r="F41" s="2216"/>
      <c r="G41" s="2217"/>
      <c r="H41" s="2217"/>
      <c r="I41" s="2218"/>
    </row>
    <row r="42" spans="1:9">
      <c r="A42" s="2216"/>
      <c r="B42" s="2217"/>
      <c r="C42" s="2217"/>
      <c r="D42" s="2218"/>
      <c r="F42" s="2216"/>
      <c r="G42" s="2217"/>
      <c r="H42" s="2217"/>
      <c r="I42" s="2218"/>
    </row>
    <row r="43" spans="1:9">
      <c r="A43" s="2216"/>
      <c r="B43" s="2217"/>
      <c r="C43" s="2217"/>
      <c r="D43" s="2218"/>
      <c r="F43" s="2216"/>
      <c r="G43" s="2217"/>
      <c r="H43" s="2217"/>
      <c r="I43" s="2218"/>
    </row>
    <row r="44" spans="1:9">
      <c r="A44" s="2213"/>
      <c r="B44" s="2217"/>
      <c r="C44" s="2217"/>
      <c r="D44" s="2218"/>
      <c r="F44" s="2216"/>
      <c r="G44" s="2217"/>
      <c r="H44" s="2217"/>
      <c r="I44" s="2218"/>
    </row>
    <row r="45" spans="1:9">
      <c r="A45" s="2216"/>
      <c r="B45" s="2217"/>
      <c r="C45" s="2217"/>
      <c r="D45" s="2218"/>
      <c r="F45" s="2216"/>
      <c r="G45" s="2217"/>
      <c r="H45" s="2217"/>
      <c r="I45" s="2218"/>
    </row>
    <row r="46" spans="1:9" ht="42.75" customHeight="1">
      <c r="A46" s="2139"/>
      <c r="B46" s="2140"/>
      <c r="C46" s="2140"/>
      <c r="D46" s="2141"/>
      <c r="F46" s="2139"/>
      <c r="G46" s="2140"/>
      <c r="H46" s="2140"/>
      <c r="I46" s="2141"/>
    </row>
    <row r="47" spans="1:9" ht="4.5" customHeight="1">
      <c r="A47" t="s">
        <v>554</v>
      </c>
      <c r="F47" s="30"/>
    </row>
    <row r="48" spans="1:9">
      <c r="F48" s="30"/>
      <c r="G48" s="30"/>
      <c r="H48" s="30"/>
      <c r="I48" s="30"/>
    </row>
    <row r="49" spans="6:9">
      <c r="F49" s="153"/>
      <c r="G49" s="30"/>
      <c r="H49" s="30"/>
      <c r="I49" s="30"/>
    </row>
    <row r="50" spans="6:9">
      <c r="F50" s="30"/>
      <c r="G50" s="30"/>
      <c r="H50" s="30"/>
      <c r="I50" s="30"/>
    </row>
    <row r="51" spans="6:9">
      <c r="F51" s="30"/>
      <c r="G51" s="30"/>
      <c r="H51" s="30"/>
      <c r="I51" s="30"/>
    </row>
    <row r="52" spans="6:9">
      <c r="F52" s="30"/>
      <c r="G52" s="30"/>
      <c r="H52" s="30"/>
      <c r="I52" s="30"/>
    </row>
    <row r="53" spans="6:9">
      <c r="F53" s="30"/>
      <c r="G53" s="30"/>
      <c r="H53" s="30"/>
      <c r="I53" s="30"/>
    </row>
    <row r="54" spans="6:9">
      <c r="F54" s="30"/>
      <c r="G54" s="30"/>
      <c r="H54" s="30"/>
      <c r="I54" s="30"/>
    </row>
    <row r="55" spans="6:9">
      <c r="F55" s="30"/>
      <c r="G55" s="30"/>
      <c r="H55" s="30"/>
      <c r="I55" s="30"/>
    </row>
    <row r="56" spans="6:9">
      <c r="F56" s="30"/>
      <c r="G56" s="30"/>
      <c r="H56" s="30"/>
      <c r="I56" s="30"/>
    </row>
    <row r="57" spans="6:9">
      <c r="F57" s="30"/>
      <c r="G57" s="30"/>
      <c r="H57" s="30"/>
      <c r="I57" s="30"/>
    </row>
    <row r="58" spans="6:9">
      <c r="F58" s="30"/>
      <c r="G58" s="30"/>
      <c r="H58" s="30"/>
      <c r="I58" s="30"/>
    </row>
    <row r="59" spans="6:9">
      <c r="F59" s="30"/>
      <c r="G59" s="30"/>
      <c r="H59" s="30"/>
      <c r="I59" s="30"/>
    </row>
    <row r="60" spans="6:9">
      <c r="F60" s="30"/>
      <c r="G60" s="30"/>
      <c r="H60" s="30"/>
      <c r="I60" s="30"/>
    </row>
    <row r="61" spans="6:9">
      <c r="F61" s="30"/>
      <c r="G61" s="30"/>
      <c r="H61" s="30"/>
      <c r="I61" s="30"/>
    </row>
    <row r="62" spans="6:9">
      <c r="F62" s="30"/>
      <c r="G62" s="30"/>
      <c r="H62" s="30"/>
      <c r="I62" s="30"/>
    </row>
    <row r="63" spans="6:9">
      <c r="F63" s="30"/>
      <c r="G63" s="30"/>
      <c r="H63" s="30"/>
      <c r="I63" s="30"/>
    </row>
    <row r="64" spans="6:9" ht="4.5" customHeight="1"/>
    <row r="65" spans="1:11">
      <c r="A65" s="2212" t="s">
        <v>1358</v>
      </c>
      <c r="B65" s="2209"/>
      <c r="C65" s="2209"/>
      <c r="D65" s="2209"/>
      <c r="E65" s="2209"/>
      <c r="F65" s="2209"/>
      <c r="G65" s="2209"/>
      <c r="H65" s="2209"/>
      <c r="I65" s="2209"/>
      <c r="J65" s="1887"/>
      <c r="K65" s="1885"/>
    </row>
    <row r="66" spans="1:11">
      <c r="A66" s="2213" t="s">
        <v>1359</v>
      </c>
      <c r="B66" s="2214"/>
      <c r="C66" s="2214"/>
      <c r="D66" s="2214"/>
      <c r="E66" s="2214"/>
      <c r="F66" s="2214"/>
      <c r="G66" s="2214"/>
      <c r="H66" s="2214"/>
      <c r="I66" s="2214"/>
      <c r="J66" s="1887"/>
      <c r="K66" s="1885"/>
    </row>
    <row r="67" spans="1:11" ht="6" customHeight="1">
      <c r="A67" s="2215"/>
      <c r="B67" s="2214"/>
      <c r="C67" s="2214"/>
      <c r="D67" s="2214"/>
      <c r="E67" s="2214"/>
      <c r="F67" s="2214"/>
      <c r="G67" s="2214"/>
      <c r="H67" s="2214"/>
      <c r="I67" s="2214"/>
      <c r="J67" s="1887"/>
      <c r="K67" s="1885"/>
    </row>
    <row r="68" spans="1:11" ht="12.75" hidden="1" customHeight="1">
      <c r="A68" s="2215"/>
      <c r="B68" s="2214"/>
      <c r="C68" s="2214"/>
      <c r="D68" s="2214"/>
      <c r="E68" s="2214"/>
      <c r="F68" s="2214"/>
      <c r="G68" s="2214"/>
      <c r="H68" s="2214"/>
      <c r="I68" s="2214"/>
      <c r="J68" s="1887"/>
      <c r="K68" s="1885"/>
    </row>
    <row r="69" spans="1:11" ht="12.75" hidden="1" customHeight="1">
      <c r="A69" s="2215"/>
      <c r="B69" s="2214"/>
      <c r="C69" s="2214"/>
      <c r="D69" s="2214"/>
      <c r="E69" s="2214"/>
      <c r="F69" s="2214"/>
      <c r="G69" s="2214"/>
      <c r="H69" s="2214"/>
      <c r="I69" s="2214"/>
      <c r="J69" s="1887"/>
      <c r="K69" s="1885"/>
    </row>
    <row r="70" spans="1:11">
      <c r="A70" s="2210"/>
      <c r="B70" s="2211"/>
      <c r="C70" s="2211"/>
      <c r="D70" s="2211"/>
      <c r="E70" s="2211"/>
      <c r="F70" s="2211"/>
      <c r="G70" s="2211"/>
      <c r="H70" s="2211"/>
      <c r="I70" s="2211"/>
      <c r="J70" s="1887"/>
      <c r="K70" s="1885"/>
    </row>
  </sheetData>
  <mergeCells count="7">
    <mergeCell ref="A3:I4"/>
    <mergeCell ref="A65:I65"/>
    <mergeCell ref="A66:I70"/>
    <mergeCell ref="A38:D46"/>
    <mergeCell ref="F38:I46"/>
    <mergeCell ref="A12:D13"/>
    <mergeCell ref="F12:I13"/>
  </mergeCells>
  <phoneticPr fontId="8" type="noConversion"/>
  <printOptions horizontalCentered="1"/>
  <pageMargins left="0.23622047244094491" right="0.19685039370078741" top="0.19685039370078741" bottom="0.39370078740157483" header="0" footer="0.19685039370078741"/>
  <pageSetup paperSize="9" scale="65" orientation="landscape" r:id="rId1"/>
  <headerFooter alignWithMargins="0">
    <oddFooter>&amp;CPage &amp;P</oddFooter>
  </headerFooter>
  <ignoredErrors>
    <ignoredError sqref="D22" formula="1"/>
    <ignoredError sqref="B25"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80" zoomScaleNormal="80" workbookViewId="0">
      <selection activeCell="L18" sqref="L18"/>
    </sheetView>
  </sheetViews>
  <sheetFormatPr defaultRowHeight="13.2"/>
  <cols>
    <col min="1" max="1" width="44.6640625" customWidth="1"/>
  </cols>
  <sheetData>
    <row r="1" spans="1:10" ht="13.8" thickTop="1">
      <c r="A1" s="2041"/>
      <c r="B1" s="2041"/>
      <c r="C1" s="2041"/>
      <c r="D1" s="2042"/>
      <c r="E1" s="2043" t="s">
        <v>1390</v>
      </c>
      <c r="F1" s="2044"/>
      <c r="G1" s="2044"/>
      <c r="H1" s="2043" t="s">
        <v>1391</v>
      </c>
      <c r="I1" s="2044"/>
      <c r="J1" s="2045"/>
    </row>
    <row r="2" spans="1:10" ht="52.8">
      <c r="A2" s="2046" t="s">
        <v>233</v>
      </c>
      <c r="B2" s="2047" t="s">
        <v>1392</v>
      </c>
      <c r="C2" s="2048" t="s">
        <v>234</v>
      </c>
      <c r="D2" s="2049" t="s">
        <v>1393</v>
      </c>
      <c r="E2" s="2050" t="s">
        <v>721</v>
      </c>
      <c r="F2" s="2051" t="s">
        <v>922</v>
      </c>
      <c r="G2" s="2051" t="s">
        <v>723</v>
      </c>
      <c r="H2" s="2050" t="s">
        <v>721</v>
      </c>
      <c r="I2" s="2051" t="s">
        <v>922</v>
      </c>
      <c r="J2" s="2052" t="s">
        <v>723</v>
      </c>
    </row>
    <row r="3" spans="1:10">
      <c r="A3" s="37"/>
      <c r="B3" s="37"/>
      <c r="C3" s="2048" t="s">
        <v>239</v>
      </c>
      <c r="D3" s="2053" t="s">
        <v>240</v>
      </c>
      <c r="E3" s="2053" t="s">
        <v>241</v>
      </c>
      <c r="F3" s="2054" t="s">
        <v>242</v>
      </c>
      <c r="G3" s="2054" t="s">
        <v>243</v>
      </c>
      <c r="H3" s="2053" t="s">
        <v>244</v>
      </c>
      <c r="I3" s="2054" t="s">
        <v>245</v>
      </c>
      <c r="J3" s="2055" t="s">
        <v>246</v>
      </c>
    </row>
    <row r="4" spans="1:10" ht="13.8" thickBot="1">
      <c r="A4" s="2056"/>
      <c r="B4" s="2056"/>
      <c r="C4" s="2056"/>
      <c r="D4" s="2057" t="s">
        <v>247</v>
      </c>
      <c r="E4" s="2057" t="s">
        <v>247</v>
      </c>
      <c r="F4" s="2058" t="s">
        <v>247</v>
      </c>
      <c r="G4" s="2058" t="s">
        <v>247</v>
      </c>
      <c r="H4" s="2057" t="s">
        <v>247</v>
      </c>
      <c r="I4" s="2058" t="s">
        <v>247</v>
      </c>
      <c r="J4" s="2059" t="s">
        <v>247</v>
      </c>
    </row>
    <row r="6" spans="1:10" ht="13.8" thickBot="1">
      <c r="A6" s="2021" t="s">
        <v>293</v>
      </c>
      <c r="B6" s="2022"/>
      <c r="C6" s="2023">
        <v>374</v>
      </c>
      <c r="D6" s="2024">
        <v>1</v>
      </c>
      <c r="E6" s="2024">
        <v>1</v>
      </c>
      <c r="F6" s="2025">
        <v>1</v>
      </c>
      <c r="G6" s="2025">
        <v>0</v>
      </c>
      <c r="H6" s="2024">
        <v>1</v>
      </c>
      <c r="I6" s="2025">
        <v>1</v>
      </c>
      <c r="J6" s="2026">
        <v>0</v>
      </c>
    </row>
    <row r="7" spans="1:10" ht="13.8" thickBot="1">
      <c r="A7" s="2021" t="s">
        <v>299</v>
      </c>
      <c r="B7" s="2027"/>
      <c r="C7" s="2023">
        <v>378</v>
      </c>
      <c r="D7" s="2024">
        <v>1</v>
      </c>
      <c r="E7" s="2024">
        <v>1</v>
      </c>
      <c r="F7" s="2025">
        <v>1</v>
      </c>
      <c r="G7" s="2025">
        <v>0</v>
      </c>
      <c r="H7" s="2024">
        <v>1</v>
      </c>
      <c r="I7" s="2025">
        <v>1</v>
      </c>
      <c r="J7" s="2026">
        <v>0</v>
      </c>
    </row>
    <row r="8" spans="1:10" ht="13.8" thickBot="1">
      <c r="A8" s="2028" t="s">
        <v>1388</v>
      </c>
      <c r="B8" s="2029"/>
      <c r="C8" s="2030">
        <v>430</v>
      </c>
      <c r="D8" s="2031">
        <v>1</v>
      </c>
      <c r="E8" s="2032">
        <v>1</v>
      </c>
      <c r="F8" s="2033">
        <v>1</v>
      </c>
      <c r="G8" s="2034">
        <v>0</v>
      </c>
      <c r="H8" s="2032">
        <v>1</v>
      </c>
      <c r="I8" s="2033">
        <v>1</v>
      </c>
      <c r="J8" s="2035">
        <v>0</v>
      </c>
    </row>
    <row r="9" spans="1:10" ht="13.8" thickBot="1">
      <c r="A9" s="2021" t="s">
        <v>1389</v>
      </c>
      <c r="B9" s="2022"/>
      <c r="C9" s="2023">
        <v>440</v>
      </c>
      <c r="D9" s="2024">
        <v>1</v>
      </c>
      <c r="E9" s="2036">
        <v>1</v>
      </c>
      <c r="F9" s="2037">
        <v>1</v>
      </c>
      <c r="G9" s="2038">
        <v>0</v>
      </c>
      <c r="H9" s="2039">
        <v>1</v>
      </c>
      <c r="I9" s="2037">
        <v>4</v>
      </c>
      <c r="J9" s="2040">
        <v>3</v>
      </c>
    </row>
    <row r="10" spans="1:10" ht="13.8" thickBot="1">
      <c r="A10" s="2067" t="s">
        <v>1394</v>
      </c>
      <c r="B10" s="2060"/>
      <c r="C10" s="2061">
        <v>465</v>
      </c>
      <c r="D10" s="2062">
        <v>1</v>
      </c>
      <c r="E10" s="2063">
        <v>1</v>
      </c>
      <c r="F10" s="2064">
        <v>1</v>
      </c>
      <c r="G10" s="2065">
        <v>0</v>
      </c>
      <c r="H10" s="2063">
        <v>1</v>
      </c>
      <c r="I10" s="2064">
        <v>2</v>
      </c>
      <c r="J10" s="2066">
        <v>1</v>
      </c>
    </row>
    <row r="11" spans="1:10" ht="13.8" thickTop="1"/>
    <row r="12" spans="1:10" ht="13.8" thickBot="1"/>
    <row r="13" spans="1:10" ht="13.8" thickTop="1">
      <c r="A13" s="2041"/>
      <c r="B13" s="2043" t="s">
        <v>1390</v>
      </c>
      <c r="C13" s="2044"/>
      <c r="D13" s="2045"/>
    </row>
    <row r="14" spans="1:10" ht="26.4">
      <c r="A14" s="2046" t="s">
        <v>233</v>
      </c>
      <c r="B14" s="2050" t="s">
        <v>721</v>
      </c>
      <c r="C14" s="2051" t="s">
        <v>922</v>
      </c>
      <c r="D14" s="2052" t="s">
        <v>723</v>
      </c>
    </row>
    <row r="15" spans="1:10" ht="13.8" thickBot="1">
      <c r="A15" s="2021" t="s">
        <v>293</v>
      </c>
      <c r="B15" s="2024">
        <v>1</v>
      </c>
      <c r="C15" s="2025">
        <v>1</v>
      </c>
      <c r="D15" s="2026">
        <v>0</v>
      </c>
    </row>
    <row r="16" spans="1:10" ht="13.8" thickBot="1">
      <c r="A16" s="2021" t="s">
        <v>299</v>
      </c>
      <c r="B16" s="2024">
        <v>1</v>
      </c>
      <c r="C16" s="2025">
        <v>1</v>
      </c>
      <c r="D16" s="2026">
        <v>0</v>
      </c>
    </row>
    <row r="17" spans="1:4" ht="13.8" thickBot="1">
      <c r="A17" s="2028" t="s">
        <v>1388</v>
      </c>
      <c r="B17" s="2032">
        <v>1</v>
      </c>
      <c r="C17" s="2033">
        <v>1</v>
      </c>
      <c r="D17" s="2035">
        <v>0</v>
      </c>
    </row>
    <row r="18" spans="1:4" ht="13.8" thickBot="1">
      <c r="A18" s="2021" t="s">
        <v>1389</v>
      </c>
      <c r="B18" s="2036">
        <v>1</v>
      </c>
      <c r="C18" s="2037">
        <v>1</v>
      </c>
      <c r="D18" s="2068">
        <v>0</v>
      </c>
    </row>
    <row r="19" spans="1:4" ht="13.8" thickBot="1">
      <c r="A19" s="2067" t="s">
        <v>1394</v>
      </c>
      <c r="B19" s="2063">
        <v>1</v>
      </c>
      <c r="C19" s="2064">
        <v>1</v>
      </c>
      <c r="D19" s="2069">
        <v>0</v>
      </c>
    </row>
    <row r="20" spans="1:4" ht="14.4" thickTop="1" thickBot="1"/>
    <row r="21" spans="1:4" ht="13.8" thickTop="1">
      <c r="A21" s="2041"/>
      <c r="B21" s="2043" t="s">
        <v>1391</v>
      </c>
      <c r="C21" s="2044"/>
      <c r="D21" s="2045"/>
    </row>
    <row r="22" spans="1:4" ht="26.4">
      <c r="A22" s="2046" t="s">
        <v>233</v>
      </c>
      <c r="B22" s="2050" t="s">
        <v>721</v>
      </c>
      <c r="C22" s="2051" t="s">
        <v>922</v>
      </c>
      <c r="D22" s="2052" t="s">
        <v>723</v>
      </c>
    </row>
    <row r="23" spans="1:4" ht="13.8" thickBot="1">
      <c r="A23" s="2021" t="s">
        <v>293</v>
      </c>
      <c r="B23" s="2024">
        <v>1</v>
      </c>
      <c r="C23" s="2025">
        <v>1</v>
      </c>
      <c r="D23" s="2026">
        <v>0</v>
      </c>
    </row>
    <row r="24" spans="1:4" ht="13.8" thickBot="1">
      <c r="A24" s="2021" t="s">
        <v>299</v>
      </c>
      <c r="B24" s="2024">
        <v>1</v>
      </c>
      <c r="C24" s="2025">
        <v>1</v>
      </c>
      <c r="D24" s="2026">
        <v>0</v>
      </c>
    </row>
    <row r="25" spans="1:4" ht="13.8" thickBot="1">
      <c r="A25" s="2028" t="s">
        <v>1388</v>
      </c>
      <c r="B25" s="2032">
        <v>1</v>
      </c>
      <c r="C25" s="2033">
        <v>1</v>
      </c>
      <c r="D25" s="2035">
        <v>0</v>
      </c>
    </row>
    <row r="26" spans="1:4" ht="13.8" thickBot="1">
      <c r="A26" s="2021" t="s">
        <v>1389</v>
      </c>
      <c r="B26" s="2039">
        <v>1</v>
      </c>
      <c r="C26" s="2037">
        <v>1</v>
      </c>
      <c r="D26" s="2068">
        <v>0</v>
      </c>
    </row>
    <row r="27" spans="1:4" ht="13.8" thickBot="1">
      <c r="A27" s="2067" t="s">
        <v>1394</v>
      </c>
      <c r="B27" s="2063">
        <v>1</v>
      </c>
      <c r="C27" s="2064">
        <v>1</v>
      </c>
      <c r="D27" s="2069">
        <v>0</v>
      </c>
    </row>
    <row r="28" spans="1:4" ht="13.8" thickTop="1"/>
  </sheetData>
  <dataValidations count="1">
    <dataValidation type="decimal" allowBlank="1" showErrorMessage="1" errorTitle="Number Only" error="Error : This cell can only accept a numeric value with a max of 12 digits." sqref="D6:J6 D8:J8 F9:J9 D9 E10:J10 B15:D15 B17:D17 C18:D18 B19:D19 B25:D27 B23:D23">
      <formula1>-1000000000000</formula1>
      <formula2>1000000000000</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topLeftCell="A10" workbookViewId="0">
      <selection activeCell="M8" sqref="M8"/>
    </sheetView>
  </sheetViews>
  <sheetFormatPr defaultRowHeight="13.2"/>
  <cols>
    <col min="1" max="1" width="22.44140625" customWidth="1"/>
    <col min="2" max="13" width="8.88671875" customWidth="1"/>
  </cols>
  <sheetData>
    <row r="1" spans="1:13" ht="21.6" thickBot="1">
      <c r="A1" s="1998" t="str">
        <f>'Summary Page'!A1</f>
        <v xml:space="preserve">Finance Report Month 2 2016/17 </v>
      </c>
      <c r="B1" s="1999"/>
      <c r="C1" s="1999"/>
      <c r="D1" s="1999"/>
      <c r="E1" s="2089"/>
      <c r="F1" s="2089" t="s">
        <v>1241</v>
      </c>
      <c r="G1" s="1999"/>
      <c r="H1" s="1999"/>
      <c r="I1" s="1996"/>
      <c r="J1" s="1999"/>
      <c r="K1" s="2090"/>
      <c r="L1" s="1999"/>
      <c r="M1" s="1957" t="s">
        <v>32</v>
      </c>
    </row>
    <row r="2" spans="1:13" ht="7.5" customHeight="1">
      <c r="A2" s="47"/>
      <c r="B2" s="30"/>
      <c r="C2" s="30"/>
      <c r="D2" s="30"/>
      <c r="E2" s="30"/>
      <c r="G2" s="30"/>
      <c r="I2" s="761"/>
      <c r="M2" s="41"/>
    </row>
    <row r="3" spans="1:13" ht="28.5" customHeight="1">
      <c r="A3" s="2129" t="s">
        <v>1357</v>
      </c>
      <c r="B3" s="2225"/>
      <c r="C3" s="2225"/>
      <c r="D3" s="2225"/>
      <c r="E3" s="2225"/>
      <c r="F3" s="2225"/>
      <c r="G3" s="2225"/>
      <c r="H3" s="2225"/>
      <c r="I3" s="2225"/>
      <c r="J3" s="2225"/>
      <c r="K3" s="2225"/>
      <c r="L3" s="2225"/>
      <c r="M3" s="2226"/>
    </row>
    <row r="4" spans="1:13" ht="4.5" customHeight="1">
      <c r="A4" s="38"/>
      <c r="B4" s="41"/>
      <c r="C4" s="41"/>
      <c r="D4" s="41"/>
      <c r="E4" s="41"/>
      <c r="F4" s="41"/>
      <c r="G4" s="41"/>
      <c r="H4" s="41"/>
      <c r="I4" s="41"/>
      <c r="J4" s="41"/>
      <c r="K4" s="41"/>
      <c r="L4" s="41"/>
      <c r="M4" s="60"/>
    </row>
    <row r="5" spans="1:13">
      <c r="A5" s="69" t="s">
        <v>930</v>
      </c>
      <c r="B5" s="48"/>
      <c r="C5" s="48"/>
      <c r="D5" s="49"/>
      <c r="E5" s="2227" t="s">
        <v>944</v>
      </c>
      <c r="F5" s="2228"/>
      <c r="G5" s="48"/>
      <c r="H5" s="48"/>
      <c r="I5" s="49"/>
      <c r="J5" s="48" t="s">
        <v>1283</v>
      </c>
      <c r="K5" s="1864"/>
      <c r="L5" s="40"/>
      <c r="M5" s="59"/>
    </row>
    <row r="6" spans="1:13">
      <c r="A6" s="78"/>
      <c r="B6" s="1865" t="s">
        <v>721</v>
      </c>
      <c r="C6" s="1865" t="s">
        <v>722</v>
      </c>
      <c r="D6" s="1866" t="s">
        <v>723</v>
      </c>
      <c r="E6" s="2229"/>
      <c r="F6" s="2230"/>
      <c r="G6" s="1865" t="s">
        <v>721</v>
      </c>
      <c r="H6" s="1865" t="s">
        <v>722</v>
      </c>
      <c r="I6" s="1866" t="s">
        <v>723</v>
      </c>
      <c r="J6" s="30"/>
      <c r="K6" s="1865"/>
      <c r="L6" s="30"/>
      <c r="M6" s="1866" t="s">
        <v>721</v>
      </c>
    </row>
    <row r="7" spans="1:13">
      <c r="A7" s="78"/>
      <c r="B7" s="1865" t="s">
        <v>948</v>
      </c>
      <c r="C7" s="1865" t="s">
        <v>948</v>
      </c>
      <c r="D7" s="1866" t="s">
        <v>948</v>
      </c>
      <c r="E7" s="2229"/>
      <c r="F7" s="2230"/>
      <c r="G7" s="1865" t="s">
        <v>948</v>
      </c>
      <c r="H7" s="1865" t="s">
        <v>948</v>
      </c>
      <c r="I7" s="1866" t="s">
        <v>948</v>
      </c>
      <c r="J7" s="30"/>
      <c r="K7" s="1865"/>
      <c r="L7" s="30"/>
      <c r="M7" s="1866" t="s">
        <v>948</v>
      </c>
    </row>
    <row r="8" spans="1:13">
      <c r="A8" s="138"/>
      <c r="B8" s="203">
        <f>+Cash!B9</f>
        <v>7247.4089999999997</v>
      </c>
      <c r="C8" s="203">
        <f>+B34</f>
        <v>5896.4869999999937</v>
      </c>
      <c r="D8" s="1754">
        <f>C8-B8</f>
        <v>-1350.9220000000059</v>
      </c>
      <c r="E8" s="2229"/>
      <c r="F8" s="2230"/>
      <c r="G8" s="203">
        <f>+Cash!G9</f>
        <v>3166.8110000000015</v>
      </c>
      <c r="H8" s="203">
        <f>+Cash!H9</f>
        <v>3168.0399999999645</v>
      </c>
      <c r="I8" s="1863">
        <f>H8-G8</f>
        <v>1.2289999999629799</v>
      </c>
      <c r="J8" s="30"/>
      <c r="K8" s="1860"/>
      <c r="L8" s="30"/>
      <c r="M8" s="1867">
        <v>3168</v>
      </c>
    </row>
    <row r="9" spans="1:13">
      <c r="A9" s="139"/>
      <c r="B9" s="140"/>
      <c r="C9" s="140"/>
      <c r="D9" s="141"/>
      <c r="E9" s="2231"/>
      <c r="F9" s="2232"/>
      <c r="G9" s="140"/>
      <c r="H9" s="140"/>
      <c r="I9" s="141"/>
      <c r="J9" s="41"/>
      <c r="K9" s="41"/>
      <c r="L9" s="41"/>
      <c r="M9" s="60"/>
    </row>
    <row r="10" spans="1:13" ht="4.5" customHeight="1">
      <c r="A10" s="1861"/>
      <c r="B10" s="57"/>
      <c r="C10" s="57"/>
      <c r="D10" s="42"/>
      <c r="E10" s="30"/>
      <c r="F10" s="1861"/>
      <c r="G10" s="57"/>
      <c r="H10" s="57"/>
      <c r="I10" s="42"/>
      <c r="J10" s="30"/>
      <c r="K10" s="30"/>
      <c r="L10" s="30"/>
      <c r="M10" s="70"/>
    </row>
    <row r="11" spans="1:13" ht="4.5" customHeight="1">
      <c r="A11" s="41"/>
      <c r="B11" s="41"/>
      <c r="C11" s="41"/>
      <c r="D11" s="41"/>
      <c r="E11" s="41"/>
      <c r="F11" s="41"/>
      <c r="G11" s="41"/>
      <c r="H11" s="41"/>
      <c r="I11" s="41"/>
      <c r="J11" s="41"/>
      <c r="K11" s="41"/>
      <c r="L11" s="41"/>
      <c r="M11" s="60"/>
    </row>
    <row r="12" spans="1:13">
      <c r="A12" s="78"/>
      <c r="B12" s="30"/>
      <c r="C12" s="30"/>
      <c r="D12" s="30"/>
      <c r="E12" s="30"/>
      <c r="F12" s="72"/>
      <c r="G12" s="30"/>
      <c r="H12" s="30"/>
      <c r="I12" s="30"/>
      <c r="J12" s="30"/>
      <c r="K12" s="1865"/>
      <c r="L12" s="30"/>
      <c r="M12" s="59"/>
    </row>
    <row r="13" spans="1:13">
      <c r="A13" s="39"/>
      <c r="B13" s="280">
        <v>42491</v>
      </c>
      <c r="C13" s="280">
        <v>42522</v>
      </c>
      <c r="D13" s="280">
        <v>42552</v>
      </c>
      <c r="E13" s="280">
        <v>42583</v>
      </c>
      <c r="F13" s="280">
        <v>42614</v>
      </c>
      <c r="G13" s="280">
        <v>42644</v>
      </c>
      <c r="H13" s="280">
        <v>42675</v>
      </c>
      <c r="I13" s="280">
        <v>42705</v>
      </c>
      <c r="J13" s="280">
        <v>42736</v>
      </c>
      <c r="K13" s="280">
        <v>42767</v>
      </c>
      <c r="L13" s="280">
        <v>42795</v>
      </c>
      <c r="M13" s="1882">
        <v>42826</v>
      </c>
    </row>
    <row r="14" spans="1:13" ht="14.25" customHeight="1">
      <c r="A14" s="37"/>
      <c r="B14" s="1865" t="s">
        <v>948</v>
      </c>
      <c r="C14" s="1865" t="s">
        <v>948</v>
      </c>
      <c r="D14" s="1865" t="s">
        <v>948</v>
      </c>
      <c r="E14" s="1865" t="s">
        <v>948</v>
      </c>
      <c r="F14" s="1865" t="s">
        <v>948</v>
      </c>
      <c r="G14" s="1865" t="s">
        <v>948</v>
      </c>
      <c r="H14" s="1865" t="s">
        <v>948</v>
      </c>
      <c r="I14" s="1865" t="s">
        <v>948</v>
      </c>
      <c r="J14" s="1865" t="s">
        <v>948</v>
      </c>
      <c r="K14" s="1865" t="s">
        <v>948</v>
      </c>
      <c r="L14" s="1865" t="s">
        <v>948</v>
      </c>
      <c r="M14" s="1866" t="s">
        <v>948</v>
      </c>
    </row>
    <row r="15" spans="1:13" ht="14.25" customHeight="1">
      <c r="A15" s="37"/>
      <c r="B15" s="124" t="s">
        <v>1243</v>
      </c>
      <c r="C15" s="124" t="s">
        <v>1242</v>
      </c>
      <c r="D15" s="124" t="s">
        <v>1242</v>
      </c>
      <c r="E15" s="124" t="s">
        <v>1242</v>
      </c>
      <c r="F15" s="124" t="s">
        <v>1242</v>
      </c>
      <c r="G15" s="124" t="s">
        <v>1242</v>
      </c>
      <c r="H15" s="124" t="s">
        <v>1242</v>
      </c>
      <c r="I15" s="124" t="s">
        <v>1242</v>
      </c>
      <c r="J15" s="124" t="s">
        <v>1242</v>
      </c>
      <c r="K15" s="124" t="s">
        <v>1242</v>
      </c>
      <c r="L15" s="124" t="s">
        <v>1242</v>
      </c>
      <c r="M15" s="130" t="s">
        <v>1242</v>
      </c>
    </row>
    <row r="16" spans="1:13" ht="16.5" customHeight="1">
      <c r="A16" s="129" t="s">
        <v>865</v>
      </c>
      <c r="B16" s="199">
        <f>+'Cash Data'!S2</f>
        <v>-3564.4700000000084</v>
      </c>
      <c r="C16" s="199">
        <f>+'Cash Data'!T2</f>
        <v>-2021.2059999999983</v>
      </c>
      <c r="D16" s="199">
        <f>+'Cash Data'!U2</f>
        <v>2947.471000000005</v>
      </c>
      <c r="E16" s="199">
        <f>+'Cash Data'!V2</f>
        <v>484.37799999999697</v>
      </c>
      <c r="F16" s="199">
        <f>+'Cash Data'!W2</f>
        <v>556.9429999999993</v>
      </c>
      <c r="G16" s="199">
        <f>+'Cash Data'!X2</f>
        <v>5090.5649999999878</v>
      </c>
      <c r="H16" s="199">
        <f>+'Cash Data'!Y2</f>
        <v>1580.0929999999862</v>
      </c>
      <c r="I16" s="199">
        <f>+'Cash Data'!Z2</f>
        <v>1873.599000000002</v>
      </c>
      <c r="J16" s="199">
        <f>+'Cash Data'!AA2</f>
        <v>5557.7349999999933</v>
      </c>
      <c r="K16" s="199">
        <f>+'Cash Data'!AB2</f>
        <v>2001.0250000000015</v>
      </c>
      <c r="L16" s="199">
        <f>+'Cash Data'!AC2</f>
        <v>5568.9499999999971</v>
      </c>
      <c r="M16" s="200">
        <f>+'Cash Data'!AV2</f>
        <v>-104</v>
      </c>
    </row>
    <row r="17" spans="1:14" ht="17.100000000000001" customHeight="1">
      <c r="A17" s="129" t="s">
        <v>165</v>
      </c>
      <c r="B17" s="199">
        <f>+'Cash Data'!S3</f>
        <v>0</v>
      </c>
      <c r="C17" s="199">
        <f>+'Cash Data'!T3</f>
        <v>0</v>
      </c>
      <c r="D17" s="199">
        <f>+'Cash Data'!U3</f>
        <v>0</v>
      </c>
      <c r="E17" s="199">
        <f>+'Cash Data'!V3</f>
        <v>0</v>
      </c>
      <c r="F17" s="199">
        <f>+'Cash Data'!W3</f>
        <v>0</v>
      </c>
      <c r="G17" s="199">
        <f>+'Cash Data'!X3</f>
        <v>0</v>
      </c>
      <c r="H17" s="199">
        <f>+'Cash Data'!Y3</f>
        <v>0</v>
      </c>
      <c r="I17" s="199">
        <f>+'Cash Data'!Z3</f>
        <v>0</v>
      </c>
      <c r="J17" s="199">
        <f>+'Cash Data'!AA3</f>
        <v>0</v>
      </c>
      <c r="K17" s="199">
        <f>+'Cash Data'!AB3</f>
        <v>0</v>
      </c>
      <c r="L17" s="199">
        <f>+'Cash Data'!AC3</f>
        <v>0</v>
      </c>
      <c r="M17" s="200">
        <f>+'Cash Data'!AV3</f>
        <v>0</v>
      </c>
    </row>
    <row r="18" spans="1:14" ht="17.100000000000001" customHeight="1">
      <c r="A18" s="129" t="s">
        <v>166</v>
      </c>
      <c r="B18" s="199">
        <f>+'Cash Data'!S4</f>
        <v>-8303</v>
      </c>
      <c r="C18" s="199">
        <f>+'Cash Data'!T4</f>
        <v>1170</v>
      </c>
      <c r="D18" s="199">
        <f>+'Cash Data'!U4</f>
        <v>-7378</v>
      </c>
      <c r="E18" s="199">
        <f>+'Cash Data'!V4</f>
        <v>7737</v>
      </c>
      <c r="F18" s="199">
        <f>+'Cash Data'!W4</f>
        <v>1914</v>
      </c>
      <c r="G18" s="199">
        <f>+'Cash Data'!X4</f>
        <v>-605</v>
      </c>
      <c r="H18" s="199">
        <f>+'Cash Data'!Y4</f>
        <v>1271</v>
      </c>
      <c r="I18" s="199">
        <f>+'Cash Data'!Z4</f>
        <v>4871</v>
      </c>
      <c r="J18" s="199">
        <f>+'Cash Data'!AA4</f>
        <v>5903</v>
      </c>
      <c r="K18" s="199">
        <f>+'Cash Data'!AB4</f>
        <v>-822</v>
      </c>
      <c r="L18" s="199">
        <f>+'Cash Data'!AC4</f>
        <v>-2852</v>
      </c>
      <c r="M18" s="200">
        <f>+'Cash Data'!AV4</f>
        <v>4155</v>
      </c>
    </row>
    <row r="19" spans="1:14" ht="17.100000000000001" customHeight="1">
      <c r="A19" s="336" t="s">
        <v>167</v>
      </c>
      <c r="B19" s="199">
        <f>+'Cash Data'!S5</f>
        <v>12</v>
      </c>
      <c r="C19" s="199">
        <f>+'Cash Data'!T5</f>
        <v>-20</v>
      </c>
      <c r="D19" s="199">
        <f>+'Cash Data'!U5</f>
        <v>-18</v>
      </c>
      <c r="E19" s="199">
        <f>+'Cash Data'!V5</f>
        <v>12</v>
      </c>
      <c r="F19" s="199">
        <f>+'Cash Data'!W5</f>
        <v>36</v>
      </c>
      <c r="G19" s="199">
        <f>+'Cash Data'!X5</f>
        <v>-1538</v>
      </c>
      <c r="H19" s="199">
        <f>+'Cash Data'!Y5</f>
        <v>57</v>
      </c>
      <c r="I19" s="199">
        <f>+'Cash Data'!Z5</f>
        <v>35</v>
      </c>
      <c r="J19" s="199">
        <f>+'Cash Data'!AA5</f>
        <v>0</v>
      </c>
      <c r="K19" s="199">
        <f>+'Cash Data'!AB5</f>
        <v>0</v>
      </c>
      <c r="L19" s="199">
        <f>+'Cash Data'!AC5</f>
        <v>-45</v>
      </c>
      <c r="M19" s="200">
        <f>+'Cash Data'!AV5</f>
        <v>127</v>
      </c>
    </row>
    <row r="20" spans="1:14" ht="17.100000000000001" customHeight="1">
      <c r="A20" s="364" t="s">
        <v>168</v>
      </c>
      <c r="B20" s="365">
        <f t="shared" ref="B20:M20" si="0">SUM(B16:B19)</f>
        <v>-11855.470000000008</v>
      </c>
      <c r="C20" s="365">
        <f t="shared" si="0"/>
        <v>-871.20599999999831</v>
      </c>
      <c r="D20" s="365">
        <f t="shared" si="0"/>
        <v>-4448.528999999995</v>
      </c>
      <c r="E20" s="365">
        <f t="shared" si="0"/>
        <v>8233.377999999997</v>
      </c>
      <c r="F20" s="365">
        <f t="shared" ref="F20:G20" si="1">SUM(F16:F19)</f>
        <v>2506.9429999999993</v>
      </c>
      <c r="G20" s="365">
        <f t="shared" si="1"/>
        <v>2947.5649999999878</v>
      </c>
      <c r="H20" s="365">
        <f t="shared" ref="H20" si="2">SUM(H16:H19)</f>
        <v>2908.0929999999862</v>
      </c>
      <c r="I20" s="365">
        <f t="shared" si="0"/>
        <v>6779.599000000002</v>
      </c>
      <c r="J20" s="365">
        <f t="shared" si="0"/>
        <v>11460.734999999993</v>
      </c>
      <c r="K20" s="365">
        <f t="shared" si="0"/>
        <v>1179.0250000000015</v>
      </c>
      <c r="L20" s="365">
        <f t="shared" si="0"/>
        <v>2671.9499999999971</v>
      </c>
      <c r="M20" s="366">
        <f t="shared" si="0"/>
        <v>4178</v>
      </c>
    </row>
    <row r="21" spans="1:14" ht="17.100000000000001" customHeight="1">
      <c r="A21" s="129" t="s">
        <v>941</v>
      </c>
      <c r="B21" s="199">
        <f>+'Cash Data'!S7</f>
        <v>-8809</v>
      </c>
      <c r="C21" s="199">
        <f>+'Cash Data'!T7</f>
        <v>-11164</v>
      </c>
      <c r="D21" s="199">
        <f>+'Cash Data'!U7</f>
        <v>-2144</v>
      </c>
      <c r="E21" s="199">
        <f>+'Cash Data'!V7</f>
        <v>-13039</v>
      </c>
      <c r="F21" s="199">
        <f>+'Cash Data'!W7</f>
        <v>-5277</v>
      </c>
      <c r="G21" s="199">
        <f>+'Cash Data'!X7</f>
        <v>-7363</v>
      </c>
      <c r="H21" s="199">
        <f>+'Cash Data'!Y7</f>
        <v>-7461</v>
      </c>
      <c r="I21" s="199">
        <f>+'Cash Data'!Z7</f>
        <v>-9996</v>
      </c>
      <c r="J21" s="199">
        <f>+'Cash Data'!AA7</f>
        <v>-15480</v>
      </c>
      <c r="K21" s="199">
        <f>+'Cash Data'!AB7</f>
        <v>-4965</v>
      </c>
      <c r="L21" s="199">
        <f>+'Cash Data'!AC7</f>
        <v>-7911</v>
      </c>
      <c r="M21" s="200">
        <f>+'Cash Data'!AV7</f>
        <v>-8648</v>
      </c>
    </row>
    <row r="22" spans="1:14" ht="17.100000000000001" customHeight="1">
      <c r="A22" s="129" t="s">
        <v>169</v>
      </c>
      <c r="B22" s="199">
        <f>+'Cash Data'!S8</f>
        <v>0</v>
      </c>
      <c r="C22" s="199">
        <f>+'Cash Data'!T8</f>
        <v>0</v>
      </c>
      <c r="D22" s="199">
        <f>+'Cash Data'!U8</f>
        <v>0</v>
      </c>
      <c r="E22" s="199">
        <f>+'Cash Data'!V8</f>
        <v>0</v>
      </c>
      <c r="F22" s="199">
        <f>+'Cash Data'!W8</f>
        <v>0</v>
      </c>
      <c r="G22" s="199">
        <f>+'Cash Data'!X8</f>
        <v>0</v>
      </c>
      <c r="H22" s="199">
        <f>+'Cash Data'!Y8</f>
        <v>0</v>
      </c>
      <c r="I22" s="199">
        <f>+'Cash Data'!Z8</f>
        <v>0</v>
      </c>
      <c r="J22" s="199">
        <f>+'Cash Data'!AA8</f>
        <v>0</v>
      </c>
      <c r="K22" s="199">
        <f>+'Cash Data'!AB8</f>
        <v>0</v>
      </c>
      <c r="L22" s="199">
        <f>+'Cash Data'!AC8</f>
        <v>0</v>
      </c>
      <c r="M22" s="200">
        <f>+'Cash Data'!AC8</f>
        <v>0</v>
      </c>
    </row>
    <row r="23" spans="1:14" ht="17.100000000000001" customHeight="1">
      <c r="A23" s="367" t="s">
        <v>170</v>
      </c>
      <c r="B23" s="365">
        <f t="shared" ref="B23:M23" si="3">SUM(B20:B22)</f>
        <v>-20664.470000000008</v>
      </c>
      <c r="C23" s="365">
        <f t="shared" si="3"/>
        <v>-12035.205999999998</v>
      </c>
      <c r="D23" s="365">
        <f t="shared" si="3"/>
        <v>-6592.528999999995</v>
      </c>
      <c r="E23" s="365">
        <f t="shared" si="3"/>
        <v>-4805.622000000003</v>
      </c>
      <c r="F23" s="365">
        <f t="shared" ref="F23:G23" si="4">SUM(F20:F22)</f>
        <v>-2770.0570000000007</v>
      </c>
      <c r="G23" s="365">
        <f t="shared" si="4"/>
        <v>-4415.4350000000122</v>
      </c>
      <c r="H23" s="365">
        <f t="shared" ref="H23" si="5">SUM(H20:H22)</f>
        <v>-4552.9070000000138</v>
      </c>
      <c r="I23" s="365">
        <f t="shared" si="3"/>
        <v>-3216.400999999998</v>
      </c>
      <c r="J23" s="365">
        <f t="shared" si="3"/>
        <v>-4019.2650000000067</v>
      </c>
      <c r="K23" s="365">
        <f t="shared" si="3"/>
        <v>-3785.9749999999985</v>
      </c>
      <c r="L23" s="365">
        <f t="shared" si="3"/>
        <v>-5239.0500000000029</v>
      </c>
      <c r="M23" s="366">
        <f t="shared" si="3"/>
        <v>-4470</v>
      </c>
    </row>
    <row r="24" spans="1:14" ht="17.100000000000001" customHeight="1">
      <c r="A24" s="129" t="s">
        <v>171</v>
      </c>
      <c r="B24" s="199">
        <f>+'Cash Data'!S10</f>
        <v>15187</v>
      </c>
      <c r="C24" s="199">
        <f>+'Cash Data'!T10</f>
        <v>7932</v>
      </c>
      <c r="D24" s="199">
        <f>+'Cash Data'!U10</f>
        <v>4399</v>
      </c>
      <c r="E24" s="199">
        <f>+'Cash Data'!V10</f>
        <v>4017</v>
      </c>
      <c r="F24" s="199">
        <f>+'Cash Data'!W10</f>
        <v>4802</v>
      </c>
      <c r="G24" s="199">
        <f>+'Cash Data'!X10</f>
        <v>3956</v>
      </c>
      <c r="H24" s="199">
        <f>+'Cash Data'!Y10</f>
        <v>4243</v>
      </c>
      <c r="I24" s="199">
        <f>+'Cash Data'!Z10</f>
        <v>4532</v>
      </c>
      <c r="J24" s="199">
        <f>+'Cash Data'!AA10</f>
        <v>4912</v>
      </c>
      <c r="K24" s="199">
        <f>+'Cash Data'!AB10</f>
        <v>4659</v>
      </c>
      <c r="L24" s="199">
        <f>+'Cash Data'!AC10</f>
        <v>5612</v>
      </c>
      <c r="M24" s="200">
        <f>+'Cash Data'!AV10</f>
        <v>7024</v>
      </c>
    </row>
    <row r="25" spans="1:14" ht="17.100000000000001" customHeight="1">
      <c r="A25" s="129" t="s">
        <v>172</v>
      </c>
      <c r="B25" s="199">
        <f>+'Cash Data'!S11</f>
        <v>0</v>
      </c>
      <c r="C25" s="199">
        <f>+'Cash Data'!T11</f>
        <v>0</v>
      </c>
      <c r="D25" s="199">
        <f>+'Cash Data'!U11</f>
        <v>0</v>
      </c>
      <c r="E25" s="199">
        <f>+'Cash Data'!V11</f>
        <v>0</v>
      </c>
      <c r="F25" s="199">
        <f>+'Cash Data'!W11</f>
        <v>0</v>
      </c>
      <c r="G25" s="199">
        <f>+'Cash Data'!X11</f>
        <v>0</v>
      </c>
      <c r="H25" s="199">
        <f>+'Cash Data'!Y11</f>
        <v>0</v>
      </c>
      <c r="I25" s="199">
        <f>+'Cash Data'!Z11</f>
        <v>0</v>
      </c>
      <c r="J25" s="199">
        <f>+'Cash Data'!AA11</f>
        <v>0</v>
      </c>
      <c r="K25" s="199">
        <f>+'Cash Data'!AB11</f>
        <v>0</v>
      </c>
      <c r="L25" s="199">
        <f>+'Cash Data'!AC11</f>
        <v>0</v>
      </c>
      <c r="M25" s="200">
        <f>+'Cash Data'!AV11</f>
        <v>0</v>
      </c>
    </row>
    <row r="26" spans="1:14" ht="17.100000000000001" customHeight="1">
      <c r="A26" s="129" t="s">
        <v>173</v>
      </c>
      <c r="B26" s="199">
        <f>+'Cash Data'!S12</f>
        <v>0</v>
      </c>
      <c r="C26" s="199">
        <f>+'Cash Data'!T12</f>
        <v>0</v>
      </c>
      <c r="D26" s="199">
        <f>+'Cash Data'!U12</f>
        <v>0</v>
      </c>
      <c r="E26" s="199">
        <f>+'Cash Data'!V12</f>
        <v>0</v>
      </c>
      <c r="F26" s="199">
        <f>+'Cash Data'!W12</f>
        <v>-3693</v>
      </c>
      <c r="G26" s="199">
        <f>+'Cash Data'!X12</f>
        <v>0</v>
      </c>
      <c r="H26" s="199">
        <f>+'Cash Data'!Y12</f>
        <v>0</v>
      </c>
      <c r="I26" s="199">
        <f>+'Cash Data'!Z12</f>
        <v>0</v>
      </c>
      <c r="J26" s="199">
        <f>+'Cash Data'!AA12</f>
        <v>0</v>
      </c>
      <c r="K26" s="199">
        <f>+'Cash Data'!AB12</f>
        <v>0</v>
      </c>
      <c r="L26" s="199">
        <f>+'Cash Data'!AC12</f>
        <v>-3693</v>
      </c>
      <c r="M26" s="200">
        <f>+'Cash Data'!AV12</f>
        <v>0</v>
      </c>
    </row>
    <row r="27" spans="1:14" ht="17.100000000000001" customHeight="1">
      <c r="A27" s="129" t="s">
        <v>174</v>
      </c>
      <c r="B27" s="199">
        <f>+'Cash Data'!S13</f>
        <v>-445</v>
      </c>
      <c r="C27" s="199">
        <f>+'Cash Data'!T13</f>
        <v>-221</v>
      </c>
      <c r="D27" s="199">
        <f>+'Cash Data'!U13</f>
        <v>-223</v>
      </c>
      <c r="E27" s="199">
        <f>+'Cash Data'!V13</f>
        <v>-222</v>
      </c>
      <c r="F27" s="199">
        <f>+'Cash Data'!W13</f>
        <v>-1170</v>
      </c>
      <c r="G27" s="199">
        <f>+'Cash Data'!X13</f>
        <v>-222</v>
      </c>
      <c r="H27" s="199">
        <f>+'Cash Data'!Y13</f>
        <v>-444</v>
      </c>
      <c r="I27" s="199">
        <f>+'Cash Data'!Z13</f>
        <v>-222</v>
      </c>
      <c r="J27" s="199">
        <f>+'Cash Data'!AA13</f>
        <v>-223</v>
      </c>
      <c r="K27" s="199">
        <f>+'Cash Data'!AB13</f>
        <v>-406</v>
      </c>
      <c r="L27" s="199">
        <f>+'Cash Data'!AC13</f>
        <v>-1271</v>
      </c>
      <c r="M27" s="200">
        <f>+'Cash Data'!AV13</f>
        <v>-220</v>
      </c>
    </row>
    <row r="28" spans="1:14" ht="17.100000000000001" customHeight="1">
      <c r="A28" s="129" t="s">
        <v>175</v>
      </c>
      <c r="B28" s="199">
        <f>+'Cash Data'!S14</f>
        <v>3</v>
      </c>
      <c r="C28" s="199">
        <f>+'Cash Data'!T14</f>
        <v>4</v>
      </c>
      <c r="D28" s="199">
        <f>+'Cash Data'!U14</f>
        <v>4</v>
      </c>
      <c r="E28" s="199">
        <f>+'Cash Data'!V14</f>
        <v>4</v>
      </c>
      <c r="F28" s="199">
        <f>+'Cash Data'!W14</f>
        <v>4</v>
      </c>
      <c r="G28" s="199">
        <f>+'Cash Data'!X14</f>
        <v>4</v>
      </c>
      <c r="H28" s="199">
        <f>+'Cash Data'!Y14</f>
        <v>4</v>
      </c>
      <c r="I28" s="199">
        <f>+'Cash Data'!Z14</f>
        <v>4</v>
      </c>
      <c r="J28" s="199">
        <f>+'Cash Data'!AA14</f>
        <v>4</v>
      </c>
      <c r="K28" s="199">
        <f>+'Cash Data'!AB14</f>
        <v>4</v>
      </c>
      <c r="L28" s="199">
        <f>+'Cash Data'!AC14</f>
        <v>4</v>
      </c>
      <c r="M28" s="200">
        <f>+'Cash Data'!AV14</f>
        <v>4</v>
      </c>
      <c r="N28" s="1862"/>
    </row>
    <row r="29" spans="1:14" ht="17.100000000000001" customHeight="1">
      <c r="A29" s="129" t="s">
        <v>176</v>
      </c>
      <c r="B29" s="199">
        <f>+'Cash Data'!S15</f>
        <v>8027</v>
      </c>
      <c r="C29" s="199">
        <f>+'Cash Data'!T15</f>
        <v>4288</v>
      </c>
      <c r="D29" s="199">
        <f>+'Cash Data'!U15</f>
        <v>4035</v>
      </c>
      <c r="E29" s="199">
        <f>+'Cash Data'!V15</f>
        <v>2963</v>
      </c>
      <c r="F29" s="199">
        <f>+'Cash Data'!W15</f>
        <v>5240</v>
      </c>
      <c r="G29" s="199">
        <f>+'Cash Data'!X15</f>
        <v>414</v>
      </c>
      <c r="H29" s="199">
        <f>+'Cash Data'!Y15</f>
        <v>0</v>
      </c>
      <c r="I29" s="199">
        <f>+'Cash Data'!Z15</f>
        <v>0</v>
      </c>
      <c r="J29" s="199">
        <f>+'Cash Data'!AA15</f>
        <v>0</v>
      </c>
      <c r="K29" s="199">
        <f>+'Cash Data'!AB15</f>
        <v>0</v>
      </c>
      <c r="L29" s="199">
        <f>+'Cash Data'!AC15</f>
        <v>0</v>
      </c>
      <c r="M29" s="200">
        <f>+'Cash Data'!AV15</f>
        <v>1938</v>
      </c>
    </row>
    <row r="30" spans="1:14" ht="17.100000000000001" customHeight="1">
      <c r="A30" s="129" t="s">
        <v>177</v>
      </c>
      <c r="B30" s="199">
        <f>+'Cash Data'!S16</f>
        <v>-552</v>
      </c>
      <c r="C30" s="199">
        <f>+'Cash Data'!T16</f>
        <v>-128</v>
      </c>
      <c r="D30" s="199">
        <f>+'Cash Data'!U16</f>
        <v>-128</v>
      </c>
      <c r="E30" s="199">
        <f>+'Cash Data'!V16</f>
        <v>-440</v>
      </c>
      <c r="F30" s="199">
        <f>+'Cash Data'!W16</f>
        <v>-2376</v>
      </c>
      <c r="G30" s="199">
        <f>+'Cash Data'!X16</f>
        <v>-128</v>
      </c>
      <c r="H30" s="199">
        <f>+'Cash Data'!Y16</f>
        <v>-552</v>
      </c>
      <c r="I30" s="199">
        <f>+'Cash Data'!Z16</f>
        <v>-128</v>
      </c>
      <c r="J30" s="199">
        <f>+'Cash Data'!AA16</f>
        <v>-128</v>
      </c>
      <c r="K30" s="199">
        <f>+'Cash Data'!AB16</f>
        <v>-440</v>
      </c>
      <c r="L30" s="199">
        <f>+'Cash Data'!AC16</f>
        <v>-882</v>
      </c>
      <c r="M30" s="200">
        <f>+'Cash Data'!AV16</f>
        <v>-128</v>
      </c>
    </row>
    <row r="31" spans="1:14" ht="17.100000000000001" customHeight="1">
      <c r="A31" s="367" t="s">
        <v>178</v>
      </c>
      <c r="B31" s="365">
        <f t="shared" ref="B31:M31" si="6">SUM(B24:B30)</f>
        <v>22220</v>
      </c>
      <c r="C31" s="365">
        <f t="shared" si="6"/>
        <v>11875</v>
      </c>
      <c r="D31" s="365">
        <f t="shared" si="6"/>
        <v>8087</v>
      </c>
      <c r="E31" s="365">
        <f t="shared" si="6"/>
        <v>6322</v>
      </c>
      <c r="F31" s="365">
        <f t="shared" ref="F31:G31" si="7">SUM(F24:F30)</f>
        <v>2807</v>
      </c>
      <c r="G31" s="365">
        <f t="shared" si="7"/>
        <v>4024</v>
      </c>
      <c r="H31" s="365">
        <f t="shared" ref="H31" si="8">SUM(H24:H30)</f>
        <v>3251</v>
      </c>
      <c r="I31" s="365">
        <f t="shared" si="6"/>
        <v>4186</v>
      </c>
      <c r="J31" s="365">
        <f t="shared" si="6"/>
        <v>4565</v>
      </c>
      <c r="K31" s="365">
        <f t="shared" si="6"/>
        <v>3817</v>
      </c>
      <c r="L31" s="365">
        <f t="shared" si="6"/>
        <v>-230</v>
      </c>
      <c r="M31" s="366">
        <f t="shared" si="6"/>
        <v>8618</v>
      </c>
    </row>
    <row r="32" spans="1:14" ht="17.100000000000001" customHeight="1">
      <c r="A32" s="368" t="s">
        <v>179</v>
      </c>
      <c r="B32" s="365">
        <f t="shared" ref="B32:I32" si="9">B31+B23</f>
        <v>1555.5299999999916</v>
      </c>
      <c r="C32" s="365">
        <f t="shared" si="9"/>
        <v>-160.20599999999831</v>
      </c>
      <c r="D32" s="365">
        <f t="shared" si="9"/>
        <v>1494.471000000005</v>
      </c>
      <c r="E32" s="365">
        <f t="shared" si="9"/>
        <v>1516.377999999997</v>
      </c>
      <c r="F32" s="365">
        <f t="shared" si="9"/>
        <v>36.942999999999302</v>
      </c>
      <c r="G32" s="365">
        <f t="shared" si="9"/>
        <v>-391.43500000001222</v>
      </c>
      <c r="H32" s="365">
        <f t="shared" si="9"/>
        <v>-1301.9070000000138</v>
      </c>
      <c r="I32" s="365">
        <f t="shared" si="9"/>
        <v>969.59900000000198</v>
      </c>
      <c r="J32" s="201">
        <f>+J31+J23</f>
        <v>545.73499999999331</v>
      </c>
      <c r="K32" s="201">
        <f>+K31+K23</f>
        <v>31.025000000001455</v>
      </c>
      <c r="L32" s="201">
        <f>+L31+L23</f>
        <v>-5469.0500000000029</v>
      </c>
      <c r="M32" s="202">
        <f>+M31+M23</f>
        <v>4148</v>
      </c>
    </row>
    <row r="33" spans="1:14" ht="17.100000000000001" customHeight="1">
      <c r="A33" s="369" t="s">
        <v>163</v>
      </c>
      <c r="B33" s="370">
        <f>+'Cash Data'!S19</f>
        <v>4340.9570000000022</v>
      </c>
      <c r="C33" s="370">
        <f t="shared" ref="C33:I33" si="10">+B34</f>
        <v>5896.4869999999937</v>
      </c>
      <c r="D33" s="370">
        <f t="shared" si="10"/>
        <v>5736.2809999999954</v>
      </c>
      <c r="E33" s="370">
        <f t="shared" si="10"/>
        <v>7230.7520000000004</v>
      </c>
      <c r="F33" s="370">
        <f t="shared" si="10"/>
        <v>8747.1299999999974</v>
      </c>
      <c r="G33" s="370">
        <f t="shared" si="10"/>
        <v>8784.0729999999967</v>
      </c>
      <c r="H33" s="370">
        <f t="shared" si="10"/>
        <v>8392.6379999999845</v>
      </c>
      <c r="I33" s="370">
        <f t="shared" si="10"/>
        <v>7090.7309999999707</v>
      </c>
      <c r="J33" s="370">
        <f t="shared" ref="J33" si="11">+I34</f>
        <v>8060.3299999999726</v>
      </c>
      <c r="K33" s="370">
        <f t="shared" ref="K33" si="12">+J34</f>
        <v>8606.0649999999659</v>
      </c>
      <c r="L33" s="370">
        <f t="shared" ref="L33" si="13">+K34</f>
        <v>8637.0899999999674</v>
      </c>
      <c r="M33" s="370">
        <f t="shared" ref="M33" si="14">+L34</f>
        <v>3168.0399999999645</v>
      </c>
      <c r="N33" s="37"/>
    </row>
    <row r="34" spans="1:14" ht="17.100000000000001" customHeight="1">
      <c r="A34" s="372" t="s">
        <v>164</v>
      </c>
      <c r="B34" s="373">
        <f t="shared" ref="B34:M34" si="15">B32+B33</f>
        <v>5896.4869999999937</v>
      </c>
      <c r="C34" s="373">
        <f t="shared" si="15"/>
        <v>5736.2809999999954</v>
      </c>
      <c r="D34" s="373">
        <f t="shared" si="15"/>
        <v>7230.7520000000004</v>
      </c>
      <c r="E34" s="373">
        <f t="shared" si="15"/>
        <v>8747.1299999999974</v>
      </c>
      <c r="F34" s="373">
        <f t="shared" ref="F34" si="16">F32+F33</f>
        <v>8784.0729999999967</v>
      </c>
      <c r="G34" s="373">
        <f t="shared" si="15"/>
        <v>8392.6379999999845</v>
      </c>
      <c r="H34" s="373">
        <f t="shared" si="15"/>
        <v>7090.7309999999707</v>
      </c>
      <c r="I34" s="373">
        <f t="shared" si="15"/>
        <v>8060.3299999999726</v>
      </c>
      <c r="J34" s="209">
        <f t="shared" si="15"/>
        <v>8606.0649999999659</v>
      </c>
      <c r="K34" s="209">
        <f t="shared" si="15"/>
        <v>8637.0899999999674</v>
      </c>
      <c r="L34" s="209">
        <f t="shared" si="15"/>
        <v>3168.0399999999645</v>
      </c>
      <c r="M34" s="210">
        <f t="shared" si="15"/>
        <v>7316.0399999999645</v>
      </c>
    </row>
  </sheetData>
  <mergeCells count="2">
    <mergeCell ref="A3:M3"/>
    <mergeCell ref="E5:F9"/>
  </mergeCells>
  <pageMargins left="0.70866141732283472" right="0.70866141732283472" top="0.74803149606299213" bottom="0.74803149606299213" header="0.31496062992125984" footer="0.31496062992125984"/>
  <pageSetup paperSize="9" scale="9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S72"/>
  <sheetViews>
    <sheetView showGridLines="0" topLeftCell="A39" zoomScaleNormal="100" workbookViewId="0">
      <selection activeCell="A13" sqref="A13:D14"/>
    </sheetView>
  </sheetViews>
  <sheetFormatPr defaultRowHeight="13.2"/>
  <cols>
    <col min="1" max="1" width="35.6640625" customWidth="1"/>
    <col min="2" max="2" width="14.109375" customWidth="1"/>
    <col min="3" max="4" width="14.33203125" customWidth="1"/>
    <col min="5" max="5" width="2.109375" customWidth="1"/>
    <col min="6" max="6" width="35.6640625" customWidth="1"/>
    <col min="7" max="8" width="14.6640625" customWidth="1"/>
    <col min="9" max="9" width="17.33203125" customWidth="1"/>
    <col min="14" max="14" width="43.5546875" bestFit="1" customWidth="1"/>
  </cols>
  <sheetData>
    <row r="1" spans="1:9" ht="18" thickBot="1">
      <c r="A1" s="1252" t="str">
        <f>'Summary Page'!A1</f>
        <v xml:space="preserve">Finance Report Month 2 2016/17 </v>
      </c>
      <c r="B1" s="1253"/>
      <c r="C1" s="1253"/>
      <c r="D1" s="1253"/>
      <c r="E1" s="1438" t="s">
        <v>862</v>
      </c>
      <c r="F1" s="1253"/>
      <c r="G1" s="1254"/>
      <c r="H1" s="1253"/>
      <c r="I1" s="1439" t="s">
        <v>32</v>
      </c>
    </row>
    <row r="2" spans="1:9" ht="7.5" customHeight="1">
      <c r="A2" s="295"/>
      <c r="B2" s="41"/>
      <c r="E2" s="41"/>
      <c r="F2" s="41"/>
      <c r="G2" s="41"/>
      <c r="I2" s="296"/>
    </row>
    <row r="3" spans="1:9" ht="12.75" customHeight="1">
      <c r="A3" s="2129" t="s">
        <v>1401</v>
      </c>
      <c r="B3" s="2196"/>
      <c r="C3" s="2196"/>
      <c r="D3" s="2196"/>
      <c r="E3" s="2196"/>
      <c r="F3" s="2196"/>
      <c r="G3" s="2196"/>
      <c r="H3" s="2196"/>
      <c r="I3" s="2197"/>
    </row>
    <row r="4" spans="1:9">
      <c r="A4" s="2236"/>
      <c r="B4" s="2237"/>
      <c r="C4" s="2237"/>
      <c r="D4" s="2237"/>
      <c r="E4" s="2237"/>
      <c r="F4" s="2237"/>
      <c r="G4" s="2237"/>
      <c r="H4" s="2237"/>
      <c r="I4" s="2238"/>
    </row>
    <row r="5" spans="1:9" ht="42" customHeight="1">
      <c r="A5" s="2198"/>
      <c r="B5" s="2199"/>
      <c r="C5" s="2199"/>
      <c r="D5" s="2199"/>
      <c r="E5" s="2199"/>
      <c r="F5" s="2199"/>
      <c r="G5" s="2199"/>
      <c r="H5" s="2199"/>
      <c r="I5" s="2200"/>
    </row>
    <row r="6" spans="1:9" ht="4.5" customHeight="1"/>
    <row r="7" spans="1:9">
      <c r="A7" s="69" t="s">
        <v>930</v>
      </c>
      <c r="B7" s="48"/>
      <c r="C7" s="64"/>
      <c r="D7" s="49"/>
      <c r="F7" s="69" t="s">
        <v>944</v>
      </c>
      <c r="G7" s="83"/>
      <c r="H7" s="112"/>
      <c r="I7" s="88"/>
    </row>
    <row r="8" spans="1:9">
      <c r="A8" s="78"/>
      <c r="B8" s="50" t="s">
        <v>721</v>
      </c>
      <c r="C8" s="50" t="s">
        <v>722</v>
      </c>
      <c r="D8" s="51" t="s">
        <v>723</v>
      </c>
      <c r="F8" s="114"/>
      <c r="G8" s="33" t="s">
        <v>721</v>
      </c>
      <c r="H8" s="33" t="s">
        <v>834</v>
      </c>
      <c r="I8" s="89" t="s">
        <v>723</v>
      </c>
    </row>
    <row r="9" spans="1:9">
      <c r="A9" s="78"/>
      <c r="B9" s="50" t="s">
        <v>948</v>
      </c>
      <c r="C9" s="50" t="s">
        <v>948</v>
      </c>
      <c r="D9" s="51" t="s">
        <v>948</v>
      </c>
      <c r="F9" s="114"/>
      <c r="G9" s="50" t="s">
        <v>948</v>
      </c>
      <c r="H9" s="50" t="s">
        <v>948</v>
      </c>
      <c r="I9" s="51" t="s">
        <v>948</v>
      </c>
    </row>
    <row r="10" spans="1:9">
      <c r="A10" s="80" t="s">
        <v>50</v>
      </c>
      <c r="B10" s="934">
        <f>B39</f>
        <v>-91461.99900000004</v>
      </c>
      <c r="C10" s="934">
        <f>C39</f>
        <v>-88287.161999999968</v>
      </c>
      <c r="D10" s="144">
        <f>D39</f>
        <v>3174.8370000000723</v>
      </c>
      <c r="F10" s="1796" t="s">
        <v>50</v>
      </c>
      <c r="G10" s="1797">
        <f>G39</f>
        <v>-549636.28699999989</v>
      </c>
      <c r="H10" s="1797">
        <f>H39</f>
        <v>-551852.978</v>
      </c>
      <c r="I10" s="144">
        <f>I39</f>
        <v>-2216.691000000108</v>
      </c>
    </row>
    <row r="11" spans="1:9">
      <c r="A11" s="142"/>
      <c r="B11" s="143"/>
      <c r="C11" s="143"/>
      <c r="D11" s="91"/>
      <c r="F11" s="145"/>
      <c r="G11" s="146"/>
      <c r="H11" s="143"/>
      <c r="I11" s="91"/>
    </row>
    <row r="12" spans="1:9" ht="4.5" customHeight="1">
      <c r="A12" s="53"/>
      <c r="B12" s="57"/>
      <c r="C12" s="29"/>
      <c r="D12" s="57"/>
      <c r="F12" s="53"/>
      <c r="H12" s="57"/>
      <c r="I12" s="29"/>
    </row>
    <row r="13" spans="1:9" ht="12.75" customHeight="1">
      <c r="A13" s="2129" t="s">
        <v>1378</v>
      </c>
      <c r="B13" s="2185"/>
      <c r="C13" s="2185"/>
      <c r="D13" s="2186"/>
      <c r="F13" s="2129" t="s">
        <v>1377</v>
      </c>
      <c r="G13" s="2220"/>
      <c r="H13" s="2220"/>
      <c r="I13" s="2221"/>
    </row>
    <row r="14" spans="1:9" ht="83.25" customHeight="1">
      <c r="A14" s="2187"/>
      <c r="B14" s="2188"/>
      <c r="C14" s="2188"/>
      <c r="D14" s="2189"/>
      <c r="F14" s="2222"/>
      <c r="G14" s="2223"/>
      <c r="H14" s="2223"/>
      <c r="I14" s="2224"/>
    </row>
    <row r="15" spans="1:9" ht="4.5" customHeight="1">
      <c r="A15" s="87"/>
      <c r="B15" s="57"/>
      <c r="C15" s="43"/>
      <c r="D15" s="57"/>
      <c r="E15" s="29"/>
      <c r="F15" s="87"/>
      <c r="G15" s="43"/>
      <c r="H15" s="57"/>
      <c r="I15" s="43"/>
    </row>
    <row r="16" spans="1:9">
      <c r="A16" s="69" t="s">
        <v>930</v>
      </c>
      <c r="B16" s="40"/>
      <c r="C16" s="67"/>
      <c r="D16" s="68"/>
      <c r="E16" s="29"/>
      <c r="F16" s="69" t="s">
        <v>944</v>
      </c>
      <c r="G16" s="93"/>
      <c r="H16" s="84"/>
      <c r="I16" s="101"/>
    </row>
    <row r="17" spans="1:10">
      <c r="A17" s="810"/>
      <c r="B17" s="96" t="s">
        <v>721</v>
      </c>
      <c r="C17" s="56" t="s">
        <v>722</v>
      </c>
      <c r="D17" s="81" t="s">
        <v>723</v>
      </c>
      <c r="E17" s="31"/>
      <c r="F17" s="94"/>
      <c r="G17" s="96" t="s">
        <v>721</v>
      </c>
      <c r="H17" s="96" t="s">
        <v>834</v>
      </c>
      <c r="I17" s="85" t="s">
        <v>723</v>
      </c>
    </row>
    <row r="18" spans="1:10">
      <c r="A18" s="55"/>
      <c r="B18" s="56" t="s">
        <v>948</v>
      </c>
      <c r="C18" s="56" t="s">
        <v>948</v>
      </c>
      <c r="D18" s="81" t="s">
        <v>948</v>
      </c>
      <c r="E18" s="31"/>
      <c r="F18" s="94"/>
      <c r="G18" s="56" t="s">
        <v>948</v>
      </c>
      <c r="H18" s="56" t="s">
        <v>948</v>
      </c>
      <c r="I18" s="81" t="s">
        <v>948</v>
      </c>
    </row>
    <row r="19" spans="1:10">
      <c r="A19" s="102" t="s">
        <v>862</v>
      </c>
      <c r="B19" s="98"/>
      <c r="C19" s="98"/>
      <c r="D19" s="103"/>
      <c r="E19" s="98"/>
      <c r="F19" s="102" t="s">
        <v>862</v>
      </c>
      <c r="G19" s="98"/>
      <c r="H19" s="98"/>
      <c r="I19" s="103"/>
    </row>
    <row r="20" spans="1:10" hidden="1">
      <c r="A20" s="104" t="s">
        <v>400</v>
      </c>
      <c r="B20" s="99">
        <f>'IncomeandExpenditure Data'!B5</f>
        <v>0</v>
      </c>
      <c r="C20" s="99">
        <f>'IncomeandExpenditure Data'!C5</f>
        <v>0</v>
      </c>
      <c r="D20" s="105">
        <f>C20-B20</f>
        <v>0</v>
      </c>
      <c r="E20" s="100"/>
      <c r="F20" s="104" t="s">
        <v>400</v>
      </c>
      <c r="G20" s="99">
        <f>'IncomeandExpenditure Data'!F5</f>
        <v>0</v>
      </c>
      <c r="H20" s="99">
        <f>'IncomeandExpenditure Data'!G5</f>
        <v>0</v>
      </c>
      <c r="I20" s="105">
        <f>H20-G20</f>
        <v>0</v>
      </c>
    </row>
    <row r="21" spans="1:10">
      <c r="A21" s="104" t="s">
        <v>15</v>
      </c>
      <c r="B21" s="99">
        <f>'IncomeandExpenditure Data'!B6</f>
        <v>-1317.2550000000001</v>
      </c>
      <c r="C21" s="99">
        <f>'IncomeandExpenditure Data'!C6</f>
        <v>-1229.5230000000001</v>
      </c>
      <c r="D21" s="105">
        <f t="shared" ref="D21:D39" si="0">C21-B21</f>
        <v>87.731999999999971</v>
      </c>
      <c r="E21" s="100"/>
      <c r="F21" s="104" t="s">
        <v>15</v>
      </c>
      <c r="G21" s="99">
        <f>'IncomeandExpenditure Data'!F6</f>
        <v>-8391.4720000000016</v>
      </c>
      <c r="H21" s="99">
        <f>'IncomeandExpenditure Data'!G6</f>
        <v>-8218.0679999999993</v>
      </c>
      <c r="I21" s="105">
        <f>H21-G21</f>
        <v>173.40400000000227</v>
      </c>
    </row>
    <row r="22" spans="1:10" hidden="1">
      <c r="A22" s="790" t="s">
        <v>519</v>
      </c>
      <c r="B22" s="99">
        <f>'IncomeandExpenditure Data'!B7</f>
        <v>-78527.426999999996</v>
      </c>
      <c r="C22" s="99">
        <f>'IncomeandExpenditure Data'!C7</f>
        <v>-76555.48</v>
      </c>
      <c r="D22" s="105">
        <f t="shared" si="0"/>
        <v>1971.9470000000001</v>
      </c>
      <c r="E22" s="100"/>
      <c r="F22" s="790" t="s">
        <v>517</v>
      </c>
      <c r="G22" s="99">
        <f>'IncomeandExpenditure Data'!F7</f>
        <v>-470460.46199999994</v>
      </c>
      <c r="H22" s="99">
        <f>'IncomeandExpenditure Data'!G7</f>
        <v>-474767.51699999999</v>
      </c>
      <c r="I22" s="105">
        <f>H22-G22</f>
        <v>-4307.0550000000512</v>
      </c>
    </row>
    <row r="23" spans="1:10" hidden="1">
      <c r="A23" s="104" t="s">
        <v>553</v>
      </c>
      <c r="B23" s="99">
        <f>'IncomeandExpenditure Data'!B8</f>
        <v>-1E-3</v>
      </c>
      <c r="C23" s="99">
        <f>'IncomeandExpenditure Data'!C8</f>
        <v>0</v>
      </c>
      <c r="D23" s="105">
        <f t="shared" si="0"/>
        <v>1E-3</v>
      </c>
      <c r="E23" s="100"/>
      <c r="F23" s="790" t="s">
        <v>553</v>
      </c>
      <c r="G23" s="99">
        <f>'IncomeandExpenditure Data'!F8</f>
        <v>-1E-3</v>
      </c>
      <c r="H23" s="99">
        <f>'IncomeandExpenditure Data'!G8</f>
        <v>-8.0000000000000002E-3</v>
      </c>
      <c r="I23" s="105">
        <f t="shared" ref="I23:I39" si="1">H23-G23</f>
        <v>-7.0000000000000001E-3</v>
      </c>
    </row>
    <row r="24" spans="1:10" hidden="1">
      <c r="A24" s="790" t="s">
        <v>518</v>
      </c>
      <c r="B24" s="99">
        <f>'IncomeandExpenditure Data'!B9</f>
        <v>-1736.9279999999999</v>
      </c>
      <c r="C24" s="99">
        <f>'IncomeandExpenditure Data'!C9</f>
        <v>-1693.2570000000001</v>
      </c>
      <c r="D24" s="105">
        <f t="shared" si="0"/>
        <v>43.670999999999822</v>
      </c>
      <c r="E24" s="100"/>
      <c r="F24" s="790" t="s">
        <v>518</v>
      </c>
      <c r="G24" s="99">
        <f>'IncomeandExpenditure Data'!F9</f>
        <v>-11141.376999999999</v>
      </c>
      <c r="H24" s="99">
        <f>'IncomeandExpenditure Data'!G9</f>
        <v>-10241.509000000002</v>
      </c>
      <c r="I24" s="105">
        <f t="shared" si="1"/>
        <v>899.86799999999675</v>
      </c>
    </row>
    <row r="25" spans="1:10">
      <c r="A25" s="931" t="s">
        <v>401</v>
      </c>
      <c r="B25" s="99">
        <f>SUM(B22:B24)</f>
        <v>-80264.356</v>
      </c>
      <c r="C25" s="99">
        <f>SUM(C22:C24)</f>
        <v>-78248.736999999994</v>
      </c>
      <c r="D25" s="105">
        <f>SUM(D22:D24)</f>
        <v>2015.6189999999999</v>
      </c>
      <c r="E25" s="100"/>
      <c r="F25" s="931" t="s">
        <v>401</v>
      </c>
      <c r="G25" s="99">
        <f>SUM(G22:G24)</f>
        <v>-481601.83999999991</v>
      </c>
      <c r="H25" s="99">
        <f>SUM(H22:H24)</f>
        <v>-485009.03399999999</v>
      </c>
      <c r="I25" s="105">
        <f>SUM(I22:I24)</f>
        <v>-3407.1940000000541</v>
      </c>
      <c r="J25" s="1230"/>
    </row>
    <row r="26" spans="1:10">
      <c r="A26" s="104" t="s">
        <v>16</v>
      </c>
      <c r="B26" s="99">
        <f>'IncomeandExpenditure Data'!B10</f>
        <v>-12.602</v>
      </c>
      <c r="C26" s="99">
        <f>'IncomeandExpenditure Data'!C10</f>
        <v>0</v>
      </c>
      <c r="D26" s="105">
        <f t="shared" si="0"/>
        <v>12.602</v>
      </c>
      <c r="E26" s="100"/>
      <c r="F26" s="104" t="s">
        <v>16</v>
      </c>
      <c r="G26" s="99">
        <f>'IncomeandExpenditure Data'!F10</f>
        <v>-75.612000000000009</v>
      </c>
      <c r="H26" s="99">
        <f>'IncomeandExpenditure Data'!G10</f>
        <v>-19.540000000000003</v>
      </c>
      <c r="I26" s="105">
        <f t="shared" si="1"/>
        <v>56.072000000000003</v>
      </c>
    </row>
    <row r="27" spans="1:10">
      <c r="A27" s="790" t="s">
        <v>1201</v>
      </c>
      <c r="B27" s="99">
        <f>'IncomeandExpenditure Data'!B11</f>
        <v>-722.45</v>
      </c>
      <c r="C27" s="99">
        <f>'IncomeandExpenditure Data'!C11</f>
        <v>-546.09300000000007</v>
      </c>
      <c r="D27" s="105">
        <f t="shared" si="0"/>
        <v>176.35699999999997</v>
      </c>
      <c r="E27" s="100"/>
      <c r="F27" s="104" t="s">
        <v>17</v>
      </c>
      <c r="G27" s="99">
        <f>'IncomeandExpenditure Data'!F11</f>
        <v>-4592.2510000000002</v>
      </c>
      <c r="H27" s="99">
        <f>'IncomeandExpenditure Data'!G11</f>
        <v>-4368.0439999999999</v>
      </c>
      <c r="I27" s="105">
        <f t="shared" si="1"/>
        <v>224.20700000000033</v>
      </c>
    </row>
    <row r="28" spans="1:10">
      <c r="A28" s="104" t="s">
        <v>18</v>
      </c>
      <c r="B28" s="99">
        <f>'IncomeandExpenditure Data'!B12</f>
        <v>-285.07799999999997</v>
      </c>
      <c r="C28" s="99">
        <f>'IncomeandExpenditure Data'!C12</f>
        <v>-310.26099999999997</v>
      </c>
      <c r="D28" s="105">
        <f t="shared" si="0"/>
        <v>-25.182999999999993</v>
      </c>
      <c r="E28" s="100"/>
      <c r="F28" s="104" t="s">
        <v>18</v>
      </c>
      <c r="G28" s="99">
        <f>'IncomeandExpenditure Data'!F12</f>
        <v>-1710.4679999999998</v>
      </c>
      <c r="H28" s="99">
        <f>'IncomeandExpenditure Data'!G12</f>
        <v>-1735.6509999999998</v>
      </c>
      <c r="I28" s="105">
        <f t="shared" si="1"/>
        <v>-25.182999999999993</v>
      </c>
    </row>
    <row r="29" spans="1:10">
      <c r="A29" s="1922" t="s">
        <v>1249</v>
      </c>
      <c r="B29" s="99">
        <f>'IncomeandExpenditure Data'!B13</f>
        <v>-367.56400000000002</v>
      </c>
      <c r="C29" s="99">
        <f>'IncomeandExpenditure Data'!C13</f>
        <v>-144.01900000000001</v>
      </c>
      <c r="D29" s="105">
        <f t="shared" si="0"/>
        <v>223.54500000000002</v>
      </c>
      <c r="E29" s="100"/>
      <c r="F29" s="1923" t="s">
        <v>1249</v>
      </c>
      <c r="G29" s="99">
        <f>'IncomeandExpenditure Data'!F13</f>
        <v>-2205.3879999999995</v>
      </c>
      <c r="H29" s="99">
        <f>'IncomeandExpenditure Data'!G13</f>
        <v>-1376.1869999999999</v>
      </c>
      <c r="I29" s="105">
        <f t="shared" si="1"/>
        <v>829.20099999999957</v>
      </c>
    </row>
    <row r="30" spans="1:10">
      <c r="A30" s="1922" t="s">
        <v>1295</v>
      </c>
      <c r="B30" s="99">
        <f>'IncomeandExpenditure Data'!B14</f>
        <v>-717.66</v>
      </c>
      <c r="C30" s="99">
        <f>'IncomeandExpenditure Data'!C14</f>
        <v>-751.73500000000001</v>
      </c>
      <c r="D30" s="105">
        <f t="shared" si="0"/>
        <v>-34.075000000000045</v>
      </c>
      <c r="E30" s="100"/>
      <c r="F30" s="1923" t="s">
        <v>1295</v>
      </c>
      <c r="G30" s="99">
        <f>'IncomeandExpenditure Data'!F14</f>
        <v>-4305.96</v>
      </c>
      <c r="H30" s="99">
        <f>'IncomeandExpenditure Data'!G14</f>
        <v>-4281.1650000000009</v>
      </c>
      <c r="I30" s="105">
        <f t="shared" si="1"/>
        <v>24.794999999999163</v>
      </c>
    </row>
    <row r="31" spans="1:10">
      <c r="A31" s="1922" t="s">
        <v>1296</v>
      </c>
      <c r="B31" s="99">
        <f>'IncomeandExpenditure Data'!B15</f>
        <v>-32.853999999999999</v>
      </c>
      <c r="C31" s="99">
        <f>'IncomeandExpenditure Data'!C15</f>
        <v>-77.88</v>
      </c>
      <c r="D31" s="105">
        <f t="shared" si="0"/>
        <v>-45.025999999999996</v>
      </c>
      <c r="E31" s="100"/>
      <c r="F31" s="1923" t="s">
        <v>1296</v>
      </c>
      <c r="G31" s="99">
        <f>'IncomeandExpenditure Data'!F15</f>
        <v>-247.12800000000001</v>
      </c>
      <c r="H31" s="99">
        <f>'IncomeandExpenditure Data'!G15</f>
        <v>-242.14999999999992</v>
      </c>
      <c r="I31" s="105">
        <f t="shared" si="1"/>
        <v>4.9780000000000939</v>
      </c>
    </row>
    <row r="32" spans="1:10">
      <c r="A32" s="102" t="s">
        <v>19</v>
      </c>
      <c r="B32" s="111">
        <f>SUM(B20:B31)-B25</f>
        <v>-83719.819000000047</v>
      </c>
      <c r="C32" s="111">
        <f>SUM(C20:C31)-C25</f>
        <v>-81308.247999999963</v>
      </c>
      <c r="D32" s="167">
        <f>C32-B32</f>
        <v>2411.5710000000836</v>
      </c>
      <c r="E32" s="100"/>
      <c r="F32" s="102" t="s">
        <v>19</v>
      </c>
      <c r="G32" s="111">
        <f>SUM(G20:G31)-G25</f>
        <v>-503130.11899999989</v>
      </c>
      <c r="H32" s="111">
        <f>SUM(H20:H31)-H25</f>
        <v>-505249.83900000004</v>
      </c>
      <c r="I32" s="167">
        <f>SUM(I20:I31)-I25</f>
        <v>-2119.7200000000521</v>
      </c>
    </row>
    <row r="33" spans="1:19">
      <c r="A33" s="1922" t="s">
        <v>1297</v>
      </c>
      <c r="B33" s="99">
        <f>'IncomeandExpenditure Data'!B17</f>
        <v>-5408.1949999999997</v>
      </c>
      <c r="C33" s="99">
        <f>'IncomeandExpenditure Data'!C17</f>
        <v>-4861.7520000000004</v>
      </c>
      <c r="D33" s="105">
        <f>C33-B33</f>
        <v>546.4429999999993</v>
      </c>
      <c r="E33" s="100"/>
      <c r="F33" s="1923" t="s">
        <v>1297</v>
      </c>
      <c r="G33" s="99">
        <f>'IncomeandExpenditure Data'!F17</f>
        <v>-32458.895000000008</v>
      </c>
      <c r="H33" s="99">
        <f>'IncomeandExpenditure Data'!G17</f>
        <v>-31991.623</v>
      </c>
      <c r="I33" s="105">
        <f t="shared" si="1"/>
        <v>467.27200000000812</v>
      </c>
      <c r="R33" s="1872"/>
    </row>
    <row r="34" spans="1:19">
      <c r="A34" s="1922" t="s">
        <v>1298</v>
      </c>
      <c r="B34" s="99">
        <f>'IncomeandExpenditure Data'!B18</f>
        <v>-1096.4639999999999</v>
      </c>
      <c r="C34" s="99">
        <f>'IncomeandExpenditure Data'!C18</f>
        <v>-863.5</v>
      </c>
      <c r="D34" s="105">
        <f>C34-B34</f>
        <v>232.96399999999994</v>
      </c>
      <c r="E34" s="100"/>
      <c r="F34" s="1923" t="s">
        <v>1298</v>
      </c>
      <c r="G34" s="99">
        <f>'IncomeandExpenditure Data'!F18</f>
        <v>-6578.7839999999997</v>
      </c>
      <c r="H34" s="99">
        <f>'IncomeandExpenditure Data'!G18</f>
        <v>-6581.4710000000005</v>
      </c>
      <c r="I34" s="105">
        <f t="shared" si="1"/>
        <v>-2.6870000000008076</v>
      </c>
      <c r="R34" s="1872"/>
    </row>
    <row r="35" spans="1:19">
      <c r="A35" s="104" t="s">
        <v>23</v>
      </c>
      <c r="B35" s="99">
        <f>'IncomeandExpenditure Data'!B19</f>
        <v>0</v>
      </c>
      <c r="C35" s="99">
        <f>'IncomeandExpenditure Data'!C19</f>
        <v>0</v>
      </c>
      <c r="D35" s="105">
        <f t="shared" si="0"/>
        <v>0</v>
      </c>
      <c r="E35" s="100"/>
      <c r="F35" s="104" t="s">
        <v>23</v>
      </c>
      <c r="G35" s="99">
        <f>'IncomeandExpenditure Data'!F19</f>
        <v>0</v>
      </c>
      <c r="H35" s="99">
        <f>'IncomeandExpenditure Data'!G19</f>
        <v>0</v>
      </c>
      <c r="I35" s="105">
        <f t="shared" si="1"/>
        <v>0</v>
      </c>
    </row>
    <row r="36" spans="1:19">
      <c r="A36" s="104" t="s">
        <v>24</v>
      </c>
      <c r="B36" s="99">
        <f>'IncomeandExpenditure Data'!B20</f>
        <v>-360.48099999999999</v>
      </c>
      <c r="C36" s="99">
        <f>'IncomeandExpenditure Data'!C20</f>
        <v>-392.83799999999997</v>
      </c>
      <c r="D36" s="105">
        <f t="shared" si="0"/>
        <v>-32.356999999999971</v>
      </c>
      <c r="E36" s="100"/>
      <c r="F36" s="104" t="s">
        <v>24</v>
      </c>
      <c r="G36" s="99">
        <f>'IncomeandExpenditure Data'!F20</f>
        <v>-2183.8820000000001</v>
      </c>
      <c r="H36" s="99">
        <f>'IncomeandExpenditure Data'!G20</f>
        <v>-2527.2190000000001</v>
      </c>
      <c r="I36" s="105">
        <f t="shared" si="1"/>
        <v>-343.33699999999999</v>
      </c>
    </row>
    <row r="37" spans="1:19">
      <c r="A37" s="104" t="s">
        <v>25</v>
      </c>
      <c r="B37" s="99">
        <f>'IncomeandExpenditure Data'!B21</f>
        <v>-877.04</v>
      </c>
      <c r="C37" s="99">
        <f>'IncomeandExpenditure Data'!C21</f>
        <v>-860.82400000000007</v>
      </c>
      <c r="D37" s="105">
        <f t="shared" si="0"/>
        <v>16.215999999999894</v>
      </c>
      <c r="E37" s="100"/>
      <c r="F37" s="104" t="s">
        <v>25</v>
      </c>
      <c r="G37" s="99">
        <f>'IncomeandExpenditure Data'!F21</f>
        <v>-5284.607</v>
      </c>
      <c r="H37" s="99">
        <f>'IncomeandExpenditure Data'!G21</f>
        <v>-5502.8260000000009</v>
      </c>
      <c r="I37" s="105">
        <f t="shared" si="1"/>
        <v>-218.21900000000096</v>
      </c>
      <c r="J37" s="1230"/>
    </row>
    <row r="38" spans="1:19">
      <c r="A38" s="102" t="s">
        <v>26</v>
      </c>
      <c r="B38" s="111">
        <f>SUM(B33:B37)</f>
        <v>-7742.1799999999994</v>
      </c>
      <c r="C38" s="111">
        <f>SUM(C33:C37)</f>
        <v>-6978.9140000000007</v>
      </c>
      <c r="D38" s="167">
        <f t="shared" si="0"/>
        <v>763.26599999999871</v>
      </c>
      <c r="E38" s="100"/>
      <c r="F38" s="102" t="s">
        <v>26</v>
      </c>
      <c r="G38" s="111">
        <f>SUM(G33:G37)</f>
        <v>-46506.168000000005</v>
      </c>
      <c r="H38" s="111">
        <f>SUM(H33:H37)</f>
        <v>-46603.138999999996</v>
      </c>
      <c r="I38" s="167">
        <f t="shared" si="1"/>
        <v>-96.970999999990454</v>
      </c>
      <c r="S38" s="1872"/>
    </row>
    <row r="39" spans="1:19">
      <c r="A39" s="106" t="s">
        <v>27</v>
      </c>
      <c r="B39" s="107">
        <f>B38+B32</f>
        <v>-91461.99900000004</v>
      </c>
      <c r="C39" s="107">
        <f>C38+C32</f>
        <v>-88287.161999999968</v>
      </c>
      <c r="D39" s="811">
        <f t="shared" si="0"/>
        <v>3174.8370000000723</v>
      </c>
      <c r="E39" s="100"/>
      <c r="F39" s="106" t="s">
        <v>27</v>
      </c>
      <c r="G39" s="107">
        <f>G38+G32</f>
        <v>-549636.28699999989</v>
      </c>
      <c r="H39" s="107">
        <f>H38+H32</f>
        <v>-551852.978</v>
      </c>
      <c r="I39" s="811">
        <f t="shared" si="1"/>
        <v>-2216.691000000108</v>
      </c>
    </row>
    <row r="40" spans="1:19" ht="4.5" customHeight="1">
      <c r="A40" s="97"/>
      <c r="B40" s="111"/>
      <c r="C40" s="111"/>
      <c r="D40" s="921"/>
      <c r="E40" s="100"/>
      <c r="F40" s="97"/>
      <c r="G40" s="111"/>
      <c r="H40" s="111"/>
      <c r="I40" s="921"/>
    </row>
    <row r="41" spans="1:19" ht="5.25" customHeight="1">
      <c r="A41" s="2239"/>
      <c r="B41" s="2116"/>
      <c r="C41" s="2116"/>
      <c r="D41" s="2116"/>
      <c r="E41" s="100"/>
      <c r="F41" s="2239"/>
      <c r="G41" s="2116"/>
      <c r="H41" s="2116"/>
      <c r="I41" s="2116"/>
    </row>
    <row r="42" spans="1:19" ht="4.5" customHeight="1">
      <c r="A42" s="2116"/>
      <c r="B42" s="2116"/>
      <c r="C42" s="2116"/>
      <c r="D42" s="2116"/>
      <c r="E42" s="100"/>
      <c r="F42" s="2116"/>
      <c r="G42" s="2116"/>
      <c r="H42" s="2116"/>
      <c r="I42" s="2116"/>
    </row>
    <row r="43" spans="1:19" ht="5.25" customHeight="1">
      <c r="A43" s="241"/>
    </row>
    <row r="44" spans="1:19">
      <c r="A44" s="72"/>
      <c r="B44" s="30"/>
      <c r="C44" s="30"/>
      <c r="D44" s="30"/>
      <c r="F44" s="72"/>
      <c r="G44" s="30"/>
      <c r="H44" s="30"/>
      <c r="I44" s="30"/>
    </row>
    <row r="45" spans="1:19">
      <c r="A45" s="72"/>
      <c r="B45" s="30"/>
      <c r="C45" s="30"/>
      <c r="D45" s="30"/>
      <c r="F45" s="72"/>
      <c r="G45" s="30"/>
      <c r="H45" s="30"/>
      <c r="I45" s="30"/>
    </row>
    <row r="46" spans="1:19">
      <c r="A46" s="30"/>
      <c r="B46" s="30"/>
      <c r="C46" s="30"/>
      <c r="D46" s="30"/>
      <c r="F46" s="30"/>
      <c r="G46" s="30"/>
      <c r="H46" s="30"/>
      <c r="I46" s="30"/>
    </row>
    <row r="47" spans="1:19">
      <c r="A47" s="30"/>
      <c r="B47" s="30"/>
      <c r="C47" s="30"/>
      <c r="D47" s="30"/>
      <c r="F47" s="30"/>
      <c r="G47" s="30"/>
      <c r="H47" s="30"/>
      <c r="I47" s="30"/>
    </row>
    <row r="48" spans="1:19" ht="21" customHeight="1">
      <c r="A48" s="315"/>
      <c r="B48" s="30"/>
      <c r="C48" s="30"/>
      <c r="D48" s="30"/>
      <c r="F48" s="30"/>
      <c r="G48" s="30"/>
      <c r="H48" s="30"/>
      <c r="I48" s="30"/>
    </row>
    <row r="49" spans="1:9">
      <c r="A49" s="30"/>
      <c r="B49" s="30"/>
      <c r="C49" s="30"/>
      <c r="D49" s="30"/>
      <c r="F49" s="30"/>
      <c r="G49" s="30"/>
      <c r="H49" s="30"/>
      <c r="I49" s="30"/>
    </row>
    <row r="50" spans="1:9">
      <c r="A50" s="30"/>
      <c r="B50" s="30"/>
      <c r="C50" s="30"/>
      <c r="D50" s="30"/>
      <c r="F50" s="30"/>
      <c r="G50" s="30"/>
      <c r="H50" s="30"/>
      <c r="I50" s="30"/>
    </row>
    <row r="51" spans="1:9">
      <c r="A51" s="30"/>
      <c r="B51" s="30"/>
      <c r="C51" s="30"/>
      <c r="D51" s="30"/>
      <c r="F51" s="30"/>
      <c r="G51" s="30"/>
      <c r="H51" s="30"/>
      <c r="I51" s="30"/>
    </row>
    <row r="52" spans="1:9">
      <c r="A52" s="30"/>
      <c r="B52" s="30"/>
      <c r="C52" s="30"/>
      <c r="D52" s="30"/>
      <c r="F52" s="30"/>
      <c r="G52" s="30"/>
      <c r="H52" s="30"/>
      <c r="I52" s="30"/>
    </row>
    <row r="53" spans="1:9">
      <c r="A53" s="30"/>
      <c r="B53" s="30"/>
      <c r="C53" s="30"/>
      <c r="D53" s="30"/>
      <c r="F53" s="30"/>
      <c r="G53" s="30"/>
      <c r="H53" s="30"/>
      <c r="I53" s="30"/>
    </row>
    <row r="54" spans="1:9">
      <c r="A54" s="30"/>
      <c r="B54" s="30"/>
      <c r="C54" s="30"/>
      <c r="D54" s="30"/>
      <c r="F54" s="30"/>
      <c r="G54" s="30"/>
      <c r="H54" s="30"/>
      <c r="I54" s="30"/>
    </row>
    <row r="55" spans="1:9">
      <c r="A55" s="30"/>
      <c r="B55" s="30"/>
      <c r="C55" s="30"/>
      <c r="D55" s="30"/>
      <c r="F55" s="30"/>
      <c r="G55" s="30"/>
      <c r="H55" s="30"/>
      <c r="I55" s="30"/>
    </row>
    <row r="56" spans="1:9">
      <c r="A56" s="30"/>
      <c r="B56" s="30"/>
      <c r="C56" s="30"/>
      <c r="D56" s="30"/>
      <c r="F56" s="30"/>
      <c r="G56" s="30"/>
      <c r="H56" s="30"/>
      <c r="I56" s="30"/>
    </row>
    <row r="57" spans="1:9" ht="4.5" customHeight="1"/>
    <row r="62" spans="1:9" hidden="1">
      <c r="A62" s="69" t="s">
        <v>2</v>
      </c>
      <c r="B62" s="40"/>
      <c r="C62" s="40"/>
      <c r="D62" s="40"/>
      <c r="F62" s="40"/>
      <c r="G62" s="40"/>
      <c r="H62" s="40"/>
      <c r="I62" s="59"/>
    </row>
    <row r="63" spans="1:9" s="317" customFormat="1" hidden="1">
      <c r="A63" s="318" t="s">
        <v>819</v>
      </c>
      <c r="B63" s="315"/>
      <c r="C63" s="315"/>
      <c r="D63" s="315"/>
      <c r="E63"/>
      <c r="F63" s="315"/>
      <c r="G63" s="315"/>
      <c r="H63" s="315"/>
      <c r="I63" s="316"/>
    </row>
    <row r="64" spans="1:9" s="317" customFormat="1" hidden="1">
      <c r="A64" s="318" t="s">
        <v>625</v>
      </c>
      <c r="B64" s="315"/>
      <c r="C64" s="315"/>
      <c r="D64" s="315"/>
      <c r="E64"/>
      <c r="F64" s="315"/>
      <c r="G64" s="315"/>
      <c r="H64" s="315"/>
      <c r="I64" s="316"/>
    </row>
    <row r="65" spans="1:9" s="317" customFormat="1" hidden="1">
      <c r="A65" s="318"/>
      <c r="B65" s="315"/>
      <c r="C65" s="315"/>
      <c r="D65" s="315"/>
      <c r="E65"/>
      <c r="F65" s="315"/>
      <c r="G65" s="315"/>
      <c r="H65" s="315"/>
      <c r="I65" s="316"/>
    </row>
    <row r="66" spans="1:9" s="317" customFormat="1">
      <c r="A66" s="315"/>
      <c r="B66" s="315"/>
      <c r="C66" s="315"/>
      <c r="D66" s="315"/>
      <c r="E66" s="30"/>
      <c r="F66" s="315"/>
      <c r="G66" s="315"/>
      <c r="H66" s="315"/>
      <c r="I66" s="315"/>
    </row>
    <row r="67" spans="1:9">
      <c r="A67" s="69" t="s">
        <v>2</v>
      </c>
      <c r="B67" s="40"/>
      <c r="C67" s="40"/>
      <c r="D67" s="40"/>
      <c r="E67" s="40"/>
      <c r="F67" s="40"/>
      <c r="G67" s="40"/>
      <c r="H67" s="40"/>
      <c r="I67" s="59"/>
    </row>
    <row r="68" spans="1:9" ht="30.6" customHeight="1">
      <c r="A68" s="2233" t="s">
        <v>1308</v>
      </c>
      <c r="B68" s="2234"/>
      <c r="C68" s="2234"/>
      <c r="D68" s="2234"/>
      <c r="E68" s="2234"/>
      <c r="F68" s="2234"/>
      <c r="G68" s="2234"/>
      <c r="H68" s="2234"/>
      <c r="I68" s="2235"/>
    </row>
    <row r="69" spans="1:9">
      <c r="A69" s="1224" t="s">
        <v>1309</v>
      </c>
      <c r="B69" s="30"/>
      <c r="C69" s="30"/>
      <c r="D69" s="30"/>
      <c r="E69" s="30"/>
      <c r="F69" s="30"/>
      <c r="G69" s="30"/>
      <c r="H69" s="30"/>
      <c r="I69" s="70"/>
    </row>
    <row r="70" spans="1:9" ht="12.75" customHeight="1">
      <c r="A70" s="1224" t="s">
        <v>1379</v>
      </c>
      <c r="B70" s="30"/>
      <c r="C70" s="30"/>
      <c r="D70" s="30"/>
      <c r="E70" s="30"/>
      <c r="F70" s="30"/>
      <c r="G70" s="30"/>
      <c r="H70" s="30"/>
      <c r="I70" s="70"/>
    </row>
    <row r="71" spans="1:9">
      <c r="A71" s="1224" t="s">
        <v>1310</v>
      </c>
      <c r="B71" s="30"/>
      <c r="C71" s="30"/>
      <c r="D71" s="30"/>
      <c r="E71" s="30"/>
      <c r="F71" s="30"/>
      <c r="G71" s="30"/>
      <c r="H71" s="30"/>
      <c r="I71" s="70"/>
    </row>
    <row r="72" spans="1:9">
      <c r="A72" s="38" t="s">
        <v>1380</v>
      </c>
      <c r="B72" s="41"/>
      <c r="C72" s="41"/>
      <c r="D72" s="41"/>
      <c r="E72" s="41"/>
      <c r="F72" s="41"/>
      <c r="G72" s="41"/>
      <c r="H72" s="41"/>
      <c r="I72" s="60"/>
    </row>
  </sheetData>
  <mergeCells count="6">
    <mergeCell ref="A68:I68"/>
    <mergeCell ref="A3:I5"/>
    <mergeCell ref="A13:D14"/>
    <mergeCell ref="F13:I14"/>
    <mergeCell ref="A41:D42"/>
    <mergeCell ref="F41:I42"/>
  </mergeCells>
  <phoneticPr fontId="8" type="noConversion"/>
  <printOptions horizontalCentered="1" verticalCentered="1"/>
  <pageMargins left="0.35433070866141736" right="0.35433070866141736" top="0.19685039370078741" bottom="0.39370078740157483" header="0" footer="0.19685039370078741"/>
  <pageSetup paperSize="9" scale="65" orientation="landscape" r:id="rId1"/>
  <headerFooter alignWithMargins="0">
    <oddFooter>&amp;CPage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B77"/>
  <sheetViews>
    <sheetView showGridLines="0" zoomScale="90" zoomScaleNormal="90" workbookViewId="0">
      <selection activeCell="A25" sqref="A25:T25"/>
    </sheetView>
  </sheetViews>
  <sheetFormatPr defaultColWidth="9.109375" defaultRowHeight="13.2"/>
  <cols>
    <col min="1" max="1" width="40.44140625" style="816" customWidth="1"/>
    <col min="2" max="2" width="7.109375" style="816" customWidth="1"/>
    <col min="3" max="3" width="13.109375" style="816" customWidth="1"/>
    <col min="4" max="6" width="13.88671875" style="816" customWidth="1"/>
    <col min="7" max="7" width="14.5546875" style="816" customWidth="1"/>
    <col min="8" max="8" width="9.88671875" style="816" customWidth="1"/>
    <col min="9" max="9" width="5.44140625" style="816" customWidth="1"/>
    <col min="10" max="10" width="52.88671875" style="816" customWidth="1"/>
    <col min="11" max="14" width="13" style="816" customWidth="1"/>
    <col min="15" max="15" width="4" style="816" customWidth="1"/>
    <col min="16" max="19" width="11.109375" style="816" customWidth="1"/>
    <col min="20" max="20" width="4.109375" style="816" customWidth="1"/>
    <col min="21" max="21" width="10.6640625" style="816" customWidth="1"/>
    <col min="22" max="23" width="9.109375" style="816"/>
    <col min="24" max="24" width="9.6640625" style="816" customWidth="1"/>
    <col min="25" max="26" width="9.109375" style="816"/>
    <col min="27" max="27" width="10.6640625" style="816" customWidth="1"/>
    <col min="28" max="28" width="11.109375" style="816" bestFit="1" customWidth="1"/>
    <col min="29" max="16384" width="9.109375" style="816"/>
  </cols>
  <sheetData>
    <row r="1" spans="1:21" ht="21.6" thickBot="1">
      <c r="A1" s="812" t="str">
        <f>'Summary Page'!A1</f>
        <v xml:space="preserve">Finance Report Month 2 2016/17 </v>
      </c>
      <c r="B1" s="860"/>
      <c r="C1" s="860"/>
      <c r="D1" s="860"/>
      <c r="E1" s="860"/>
      <c r="F1" s="860"/>
      <c r="G1" s="860"/>
      <c r="H1" s="813"/>
      <c r="I1" s="813" t="s">
        <v>39</v>
      </c>
      <c r="J1" s="860"/>
      <c r="K1" s="860"/>
      <c r="L1" s="860"/>
      <c r="M1" s="860"/>
      <c r="N1" s="860"/>
      <c r="O1" s="860"/>
      <c r="P1" s="860"/>
      <c r="Q1" s="860"/>
      <c r="R1" s="860"/>
      <c r="S1" s="860"/>
      <c r="T1" s="814" t="s">
        <v>32</v>
      </c>
      <c r="U1" s="815"/>
    </row>
    <row r="2" spans="1:21" ht="7.5" customHeight="1">
      <c r="A2" s="861"/>
      <c r="B2" s="861"/>
      <c r="C2" s="861"/>
      <c r="D2" s="862"/>
      <c r="E2" s="862"/>
      <c r="F2" s="862"/>
      <c r="G2" s="861"/>
      <c r="H2" s="861"/>
      <c r="I2" s="862"/>
      <c r="J2" s="861"/>
      <c r="K2" s="862"/>
      <c r="L2" s="862"/>
      <c r="M2" s="861"/>
      <c r="N2" s="861"/>
      <c r="O2" s="861"/>
      <c r="P2" s="861"/>
      <c r="Q2" s="862"/>
      <c r="R2" s="861"/>
      <c r="S2" s="861"/>
      <c r="T2" s="861"/>
    </row>
    <row r="3" spans="1:21" ht="12.75" customHeight="1">
      <c r="A3" s="2260" t="s">
        <v>0</v>
      </c>
      <c r="B3" s="2261"/>
      <c r="C3" s="2261"/>
      <c r="D3" s="2261"/>
      <c r="E3" s="2261"/>
      <c r="F3" s="2261"/>
      <c r="G3" s="2261"/>
      <c r="H3" s="2261"/>
      <c r="I3" s="2261"/>
      <c r="J3" s="2261"/>
      <c r="K3" s="2261"/>
      <c r="L3" s="2261"/>
      <c r="M3" s="2261"/>
      <c r="N3" s="2261"/>
      <c r="O3" s="2261"/>
      <c r="P3" s="2261"/>
      <c r="Q3" s="2261"/>
      <c r="R3" s="2261"/>
      <c r="S3" s="2261"/>
      <c r="T3" s="2262"/>
    </row>
    <row r="4" spans="1:21">
      <c r="A4" s="2263"/>
      <c r="B4" s="2264"/>
      <c r="C4" s="2264"/>
      <c r="D4" s="2264"/>
      <c r="E4" s="2264"/>
      <c r="F4" s="2264"/>
      <c r="G4" s="2264"/>
      <c r="H4" s="2264"/>
      <c r="I4" s="2264"/>
      <c r="J4" s="2264"/>
      <c r="K4" s="2264"/>
      <c r="L4" s="2264"/>
      <c r="M4" s="2264"/>
      <c r="N4" s="2264"/>
      <c r="O4" s="2264"/>
      <c r="P4" s="2264"/>
      <c r="Q4" s="2264"/>
      <c r="R4" s="2264"/>
      <c r="S4" s="2264"/>
      <c r="T4" s="2265"/>
    </row>
    <row r="5" spans="1:21" ht="12" customHeight="1">
      <c r="A5" s="863"/>
      <c r="B5" s="864"/>
      <c r="C5" s="864"/>
      <c r="D5" s="864"/>
      <c r="E5" s="864"/>
      <c r="F5" s="864"/>
      <c r="G5" s="864"/>
      <c r="H5" s="864"/>
      <c r="I5" s="864"/>
      <c r="J5" s="864"/>
      <c r="K5" s="864"/>
      <c r="L5" s="864"/>
      <c r="M5" s="864"/>
      <c r="N5" s="864"/>
      <c r="O5" s="864"/>
      <c r="P5" s="864"/>
      <c r="Q5" s="864"/>
      <c r="R5" s="864"/>
      <c r="S5" s="864"/>
      <c r="T5" s="865"/>
    </row>
    <row r="6" spans="1:21" ht="12.75" customHeight="1">
      <c r="A6" s="2257" t="s">
        <v>1072</v>
      </c>
      <c r="B6" s="2266"/>
      <c r="C6" s="2266"/>
      <c r="D6" s="2266"/>
      <c r="E6" s="2266"/>
      <c r="F6" s="2266"/>
      <c r="G6" s="2266"/>
      <c r="H6" s="2266"/>
      <c r="I6" s="2266"/>
      <c r="J6" s="2266"/>
      <c r="K6" s="2266"/>
      <c r="L6" s="2266"/>
      <c r="M6" s="2266"/>
      <c r="N6" s="2266"/>
      <c r="O6" s="2266"/>
      <c r="P6" s="2266"/>
      <c r="Q6" s="2266"/>
      <c r="R6" s="2266"/>
      <c r="S6" s="2266"/>
      <c r="T6" s="2267"/>
    </row>
    <row r="7" spans="1:21">
      <c r="A7" s="2257"/>
      <c r="B7" s="2266"/>
      <c r="C7" s="2266"/>
      <c r="D7" s="2266"/>
      <c r="E7" s="2266"/>
      <c r="F7" s="2266"/>
      <c r="G7" s="2266"/>
      <c r="H7" s="2266"/>
      <c r="I7" s="2266"/>
      <c r="J7" s="2266"/>
      <c r="K7" s="2266"/>
      <c r="L7" s="2266"/>
      <c r="M7" s="2266"/>
      <c r="N7" s="2266"/>
      <c r="O7" s="2266"/>
      <c r="P7" s="2266"/>
      <c r="Q7" s="2266"/>
      <c r="R7" s="2266"/>
      <c r="S7" s="2266"/>
      <c r="T7" s="2267"/>
    </row>
    <row r="8" spans="1:21">
      <c r="A8" s="2257"/>
      <c r="B8" s="2266"/>
      <c r="C8" s="2266"/>
      <c r="D8" s="2266"/>
      <c r="E8" s="2266"/>
      <c r="F8" s="2266"/>
      <c r="G8" s="2266"/>
      <c r="H8" s="2266"/>
      <c r="I8" s="2266"/>
      <c r="J8" s="2266"/>
      <c r="K8" s="2266"/>
      <c r="L8" s="2266"/>
      <c r="M8" s="2266"/>
      <c r="N8" s="2266"/>
      <c r="O8" s="2266"/>
      <c r="P8" s="2266"/>
      <c r="Q8" s="2266"/>
      <c r="R8" s="2266"/>
      <c r="S8" s="2266"/>
      <c r="T8" s="2267"/>
    </row>
    <row r="9" spans="1:21">
      <c r="A9" s="2257"/>
      <c r="B9" s="2266"/>
      <c r="C9" s="2266"/>
      <c r="D9" s="2266"/>
      <c r="E9" s="2266"/>
      <c r="F9" s="2266"/>
      <c r="G9" s="2266"/>
      <c r="H9" s="2266"/>
      <c r="I9" s="2266"/>
      <c r="J9" s="2266"/>
      <c r="K9" s="2266"/>
      <c r="L9" s="2266"/>
      <c r="M9" s="2266"/>
      <c r="N9" s="2266"/>
      <c r="O9" s="2266"/>
      <c r="P9" s="2266"/>
      <c r="Q9" s="2266"/>
      <c r="R9" s="2266"/>
      <c r="S9" s="2266"/>
      <c r="T9" s="2267"/>
    </row>
    <row r="10" spans="1:21">
      <c r="A10" s="2257"/>
      <c r="B10" s="2266"/>
      <c r="C10" s="2266"/>
      <c r="D10" s="2266"/>
      <c r="E10" s="2266"/>
      <c r="F10" s="2266"/>
      <c r="G10" s="2266"/>
      <c r="H10" s="2266"/>
      <c r="I10" s="2266"/>
      <c r="J10" s="2266"/>
      <c r="K10" s="2266"/>
      <c r="L10" s="2266"/>
      <c r="M10" s="2266"/>
      <c r="N10" s="2266"/>
      <c r="O10" s="2266"/>
      <c r="P10" s="2266"/>
      <c r="Q10" s="2266"/>
      <c r="R10" s="2266"/>
      <c r="S10" s="2266"/>
      <c r="T10" s="2267"/>
    </row>
    <row r="11" spans="1:21">
      <c r="A11" s="2257"/>
      <c r="B11" s="2266"/>
      <c r="C11" s="2266"/>
      <c r="D11" s="2266"/>
      <c r="E11" s="2266"/>
      <c r="F11" s="2266"/>
      <c r="G11" s="2266"/>
      <c r="H11" s="2266"/>
      <c r="I11" s="2266"/>
      <c r="J11" s="2266"/>
      <c r="K11" s="2266"/>
      <c r="L11" s="2266"/>
      <c r="M11" s="2266"/>
      <c r="N11" s="2266"/>
      <c r="O11" s="2266"/>
      <c r="P11" s="2266"/>
      <c r="Q11" s="2266"/>
      <c r="R11" s="2266"/>
      <c r="S11" s="2266"/>
      <c r="T11" s="2267"/>
    </row>
    <row r="12" spans="1:21">
      <c r="A12" s="2257"/>
      <c r="B12" s="2266"/>
      <c r="C12" s="2266"/>
      <c r="D12" s="2266"/>
      <c r="E12" s="2266"/>
      <c r="F12" s="2266"/>
      <c r="G12" s="2266"/>
      <c r="H12" s="2266"/>
      <c r="I12" s="2266"/>
      <c r="J12" s="2266"/>
      <c r="K12" s="2266"/>
      <c r="L12" s="2266"/>
      <c r="M12" s="2266"/>
      <c r="N12" s="2266"/>
      <c r="O12" s="2266"/>
      <c r="P12" s="2266"/>
      <c r="Q12" s="2266"/>
      <c r="R12" s="2266"/>
      <c r="S12" s="2266"/>
      <c r="T12" s="2267"/>
    </row>
    <row r="13" spans="1:21">
      <c r="A13" s="2257"/>
      <c r="B13" s="2266"/>
      <c r="C13" s="2266"/>
      <c r="D13" s="2266"/>
      <c r="E13" s="2266"/>
      <c r="F13" s="2266"/>
      <c r="G13" s="2266"/>
      <c r="H13" s="2266"/>
      <c r="I13" s="2266"/>
      <c r="J13" s="2266"/>
      <c r="K13" s="2266"/>
      <c r="L13" s="2266"/>
      <c r="M13" s="2266"/>
      <c r="N13" s="2266"/>
      <c r="O13" s="2266"/>
      <c r="P13" s="2266"/>
      <c r="Q13" s="2266"/>
      <c r="R13" s="2266"/>
      <c r="S13" s="2266"/>
      <c r="T13" s="2267"/>
    </row>
    <row r="14" spans="1:21" ht="1.5" customHeight="1">
      <c r="A14" s="2257"/>
      <c r="B14" s="2266"/>
      <c r="C14" s="2266"/>
      <c r="D14" s="2266"/>
      <c r="E14" s="2266"/>
      <c r="F14" s="2266"/>
      <c r="G14" s="2266"/>
      <c r="H14" s="2266"/>
      <c r="I14" s="2266"/>
      <c r="J14" s="2266"/>
      <c r="K14" s="2266"/>
      <c r="L14" s="2266"/>
      <c r="M14" s="2266"/>
      <c r="N14" s="2266"/>
      <c r="O14" s="2266"/>
      <c r="P14" s="2266"/>
      <c r="Q14" s="2266"/>
      <c r="R14" s="2266"/>
      <c r="S14" s="2266"/>
      <c r="T14" s="2267"/>
    </row>
    <row r="15" spans="1:21" ht="45.75" hidden="1" customHeight="1">
      <c r="A15" s="2257"/>
      <c r="B15" s="2266"/>
      <c r="C15" s="2266"/>
      <c r="D15" s="2266"/>
      <c r="E15" s="2266"/>
      <c r="F15" s="2266"/>
      <c r="G15" s="2266"/>
      <c r="H15" s="2266"/>
      <c r="I15" s="2266"/>
      <c r="J15" s="2266"/>
      <c r="K15" s="2266"/>
      <c r="L15" s="2266"/>
      <c r="M15" s="2266"/>
      <c r="N15" s="2266"/>
      <c r="O15" s="2266"/>
      <c r="P15" s="2266"/>
      <c r="Q15" s="2266"/>
      <c r="R15" s="2266"/>
      <c r="S15" s="2266"/>
      <c r="T15" s="2267"/>
    </row>
    <row r="16" spans="1:21" ht="3.75" hidden="1" customHeight="1">
      <c r="A16" s="2257"/>
      <c r="B16" s="2266"/>
      <c r="C16" s="2266"/>
      <c r="D16" s="2266"/>
      <c r="E16" s="2266"/>
      <c r="F16" s="2266"/>
      <c r="G16" s="2266"/>
      <c r="H16" s="2266"/>
      <c r="I16" s="2266"/>
      <c r="J16" s="2266"/>
      <c r="K16" s="2266"/>
      <c r="L16" s="2266"/>
      <c r="M16" s="2266"/>
      <c r="N16" s="2266"/>
      <c r="O16" s="2266"/>
      <c r="P16" s="2266"/>
      <c r="Q16" s="2266"/>
      <c r="R16" s="2266"/>
      <c r="S16" s="2266"/>
      <c r="T16" s="2267"/>
    </row>
    <row r="17" spans="1:20" ht="12.75" hidden="1" customHeight="1">
      <c r="A17" s="2257"/>
      <c r="B17" s="2266"/>
      <c r="C17" s="2266"/>
      <c r="D17" s="2266"/>
      <c r="E17" s="2266"/>
      <c r="F17" s="2266"/>
      <c r="G17" s="2266"/>
      <c r="H17" s="2266"/>
      <c r="I17" s="2266"/>
      <c r="J17" s="2266"/>
      <c r="K17" s="2266"/>
      <c r="L17" s="2266"/>
      <c r="M17" s="2266"/>
      <c r="N17" s="2266"/>
      <c r="O17" s="2266"/>
      <c r="P17" s="2266"/>
      <c r="Q17" s="2266"/>
      <c r="R17" s="2266"/>
      <c r="S17" s="2266"/>
      <c r="T17" s="2267"/>
    </row>
    <row r="18" spans="1:20" ht="12.75" hidden="1" customHeight="1">
      <c r="A18" s="2257"/>
      <c r="B18" s="2266"/>
      <c r="C18" s="2266"/>
      <c r="D18" s="2266"/>
      <c r="E18" s="2266"/>
      <c r="F18" s="2266"/>
      <c r="G18" s="2266"/>
      <c r="H18" s="2266"/>
      <c r="I18" s="2266"/>
      <c r="J18" s="2266"/>
      <c r="K18" s="2266"/>
      <c r="L18" s="2266"/>
      <c r="M18" s="2266"/>
      <c r="N18" s="2266"/>
      <c r="O18" s="2266"/>
      <c r="P18" s="2266"/>
      <c r="Q18" s="2266"/>
      <c r="R18" s="2266"/>
      <c r="S18" s="2266"/>
      <c r="T18" s="2267"/>
    </row>
    <row r="19" spans="1:20" ht="12.75" hidden="1" customHeight="1">
      <c r="A19" s="2257"/>
      <c r="B19" s="2266"/>
      <c r="C19" s="2266"/>
      <c r="D19" s="2266"/>
      <c r="E19" s="2266"/>
      <c r="F19" s="2266"/>
      <c r="G19" s="2266"/>
      <c r="H19" s="2266"/>
      <c r="I19" s="2266"/>
      <c r="J19" s="2266"/>
      <c r="K19" s="2266"/>
      <c r="L19" s="2266"/>
      <c r="M19" s="2266"/>
      <c r="N19" s="2266"/>
      <c r="O19" s="2266"/>
      <c r="P19" s="2266"/>
      <c r="Q19" s="2266"/>
      <c r="R19" s="2266"/>
      <c r="S19" s="2266"/>
      <c r="T19" s="2267"/>
    </row>
    <row r="20" spans="1:20" ht="12.75" hidden="1" customHeight="1">
      <c r="A20" s="2257"/>
      <c r="B20" s="2266"/>
      <c r="C20" s="2266"/>
      <c r="D20" s="2266"/>
      <c r="E20" s="2266"/>
      <c r="F20" s="2266"/>
      <c r="G20" s="2266"/>
      <c r="H20" s="2266"/>
      <c r="I20" s="2266"/>
      <c r="J20" s="2266"/>
      <c r="K20" s="2266"/>
      <c r="L20" s="2266"/>
      <c r="M20" s="2266"/>
      <c r="N20" s="2266"/>
      <c r="O20" s="2266"/>
      <c r="P20" s="2266"/>
      <c r="Q20" s="2266"/>
      <c r="R20" s="2266"/>
      <c r="S20" s="2266"/>
      <c r="T20" s="2267"/>
    </row>
    <row r="21" spans="1:20" ht="19.5" hidden="1" customHeight="1">
      <c r="A21" s="2257"/>
      <c r="B21" s="2266"/>
      <c r="C21" s="2266"/>
      <c r="D21" s="2266"/>
      <c r="E21" s="2266"/>
      <c r="F21" s="2266"/>
      <c r="G21" s="2266"/>
      <c r="H21" s="2266"/>
      <c r="I21" s="2266"/>
      <c r="J21" s="2266"/>
      <c r="K21" s="2266"/>
      <c r="L21" s="2266"/>
      <c r="M21" s="2266"/>
      <c r="N21" s="2266"/>
      <c r="O21" s="2266"/>
      <c r="P21" s="2266"/>
      <c r="Q21" s="2266"/>
      <c r="R21" s="2266"/>
      <c r="S21" s="2266"/>
      <c r="T21" s="2267"/>
    </row>
    <row r="22" spans="1:20" ht="4.5" hidden="1" customHeight="1">
      <c r="A22" s="856"/>
      <c r="B22" s="866"/>
      <c r="C22" s="866"/>
      <c r="D22" s="866"/>
      <c r="E22" s="866"/>
      <c r="F22" s="866"/>
      <c r="G22" s="866"/>
      <c r="H22" s="866"/>
      <c r="I22" s="866"/>
      <c r="J22" s="866" t="s">
        <v>342</v>
      </c>
      <c r="K22" s="866"/>
      <c r="L22" s="866"/>
      <c r="M22" s="866"/>
      <c r="N22" s="866"/>
      <c r="O22" s="866"/>
      <c r="P22" s="866"/>
      <c r="Q22" s="866"/>
      <c r="R22" s="866"/>
      <c r="S22" s="866"/>
      <c r="T22" s="867"/>
    </row>
    <row r="23" spans="1:20" ht="12.75" customHeight="1">
      <c r="A23" s="2268" t="s">
        <v>1159</v>
      </c>
      <c r="B23" s="2269"/>
      <c r="C23" s="2269"/>
      <c r="D23" s="2269"/>
      <c r="E23" s="2269"/>
      <c r="F23" s="2269"/>
      <c r="G23" s="2269"/>
      <c r="H23" s="2269"/>
      <c r="I23" s="2269"/>
      <c r="J23" s="2269"/>
      <c r="K23" s="2269"/>
      <c r="L23" s="2269"/>
      <c r="M23" s="2269"/>
      <c r="N23" s="2269"/>
      <c r="O23" s="2269"/>
      <c r="P23" s="2269"/>
      <c r="Q23" s="2269"/>
      <c r="R23" s="2269"/>
      <c r="S23" s="2269"/>
      <c r="T23" s="2270"/>
    </row>
    <row r="24" spans="1:20">
      <c r="A24" s="1276"/>
      <c r="B24" s="1274"/>
      <c r="C24" s="1274"/>
      <c r="D24" s="1274"/>
      <c r="E24" s="1274"/>
      <c r="F24" s="1274"/>
      <c r="G24" s="1274"/>
      <c r="H24" s="1274"/>
      <c r="I24" s="1274"/>
      <c r="J24" s="1274"/>
      <c r="K24" s="1274"/>
      <c r="L24" s="1274"/>
      <c r="M24" s="1274"/>
      <c r="N24" s="1274"/>
      <c r="O24" s="1274"/>
      <c r="P24" s="1274"/>
      <c r="Q24" s="1274"/>
      <c r="R24" s="1274"/>
      <c r="S24" s="1274"/>
      <c r="T24" s="1277"/>
    </row>
    <row r="25" spans="1:20" ht="33.6" customHeight="1">
      <c r="A25" s="2257" t="s">
        <v>1103</v>
      </c>
      <c r="B25" s="2258"/>
      <c r="C25" s="2258"/>
      <c r="D25" s="2258"/>
      <c r="E25" s="2258"/>
      <c r="F25" s="2258"/>
      <c r="G25" s="2258"/>
      <c r="H25" s="2258"/>
      <c r="I25" s="2258"/>
      <c r="J25" s="2258"/>
      <c r="K25" s="2258"/>
      <c r="L25" s="2258"/>
      <c r="M25" s="2258"/>
      <c r="N25" s="2258"/>
      <c r="O25" s="2258"/>
      <c r="P25" s="2258"/>
      <c r="Q25" s="2258"/>
      <c r="R25" s="2258"/>
      <c r="S25" s="2258"/>
      <c r="T25" s="2259"/>
    </row>
    <row r="26" spans="1:20">
      <c r="A26" s="1641"/>
      <c r="B26" s="1642"/>
      <c r="C26" s="1642"/>
      <c r="D26" s="1642"/>
      <c r="E26" s="1642"/>
      <c r="F26" s="1642"/>
      <c r="G26" s="1642"/>
      <c r="H26" s="1642"/>
      <c r="I26" s="1642"/>
      <c r="J26" s="1642"/>
      <c r="K26" s="1642"/>
      <c r="L26" s="1642"/>
      <c r="M26" s="1642"/>
      <c r="N26" s="1642"/>
      <c r="O26" s="1642"/>
      <c r="P26" s="1642"/>
      <c r="Q26" s="1642"/>
      <c r="R26" s="1642"/>
      <c r="S26" s="1642"/>
      <c r="T26" s="1643"/>
    </row>
    <row r="27" spans="1:20" ht="25.5" customHeight="1">
      <c r="A27" s="2257" t="s">
        <v>44</v>
      </c>
      <c r="B27" s="2258"/>
      <c r="C27" s="2258"/>
      <c r="D27" s="2258"/>
      <c r="E27" s="2258"/>
      <c r="F27" s="2258"/>
      <c r="G27" s="2258"/>
      <c r="H27" s="2258"/>
      <c r="I27" s="2258"/>
      <c r="J27" s="2258"/>
      <c r="K27" s="2258"/>
      <c r="L27" s="2258"/>
      <c r="M27" s="2258"/>
      <c r="N27" s="2258"/>
      <c r="O27" s="2258"/>
      <c r="P27" s="2258"/>
      <c r="Q27" s="2258"/>
      <c r="R27" s="2258"/>
      <c r="S27" s="2258"/>
      <c r="T27" s="2259"/>
    </row>
    <row r="28" spans="1:20">
      <c r="A28" s="1641"/>
      <c r="B28" s="1642"/>
      <c r="C28" s="1642"/>
      <c r="D28" s="1642"/>
      <c r="E28" s="1642"/>
      <c r="F28" s="1642"/>
      <c r="G28" s="1642"/>
      <c r="H28" s="1642"/>
      <c r="I28" s="1642"/>
      <c r="J28" s="1642"/>
      <c r="K28" s="1642"/>
      <c r="L28" s="1642"/>
      <c r="M28" s="1642"/>
      <c r="N28" s="1642"/>
      <c r="O28" s="1642"/>
      <c r="P28" s="1642"/>
      <c r="Q28" s="1642"/>
      <c r="R28" s="1642"/>
      <c r="S28" s="1642"/>
      <c r="T28" s="1643"/>
    </row>
    <row r="29" spans="1:20" ht="39" customHeight="1">
      <c r="A29" s="2257" t="s">
        <v>1104</v>
      </c>
      <c r="B29" s="2258"/>
      <c r="C29" s="2258"/>
      <c r="D29" s="2258"/>
      <c r="E29" s="2258"/>
      <c r="F29" s="2258"/>
      <c r="G29" s="2258"/>
      <c r="H29" s="2258"/>
      <c r="I29" s="2258"/>
      <c r="J29" s="2258"/>
      <c r="K29" s="2258"/>
      <c r="L29" s="2258"/>
      <c r="M29" s="2258"/>
      <c r="N29" s="2258"/>
      <c r="O29" s="2258"/>
      <c r="P29" s="2258"/>
      <c r="Q29" s="2258"/>
      <c r="R29" s="2258"/>
      <c r="S29" s="2258"/>
      <c r="T29" s="2259"/>
    </row>
    <row r="30" spans="1:20">
      <c r="A30" s="1641"/>
      <c r="B30" s="1642"/>
      <c r="C30" s="1642"/>
      <c r="D30" s="1642"/>
      <c r="E30" s="1642"/>
      <c r="F30" s="1642"/>
      <c r="G30" s="1642"/>
      <c r="H30" s="1642"/>
      <c r="I30" s="1642"/>
      <c r="J30" s="1642"/>
      <c r="K30" s="1642"/>
      <c r="L30" s="1642"/>
      <c r="M30" s="1642"/>
      <c r="N30" s="1642"/>
      <c r="O30" s="1642"/>
      <c r="P30" s="1642"/>
      <c r="Q30" s="1642"/>
      <c r="R30" s="1642"/>
      <c r="S30" s="1642"/>
      <c r="T30" s="1643"/>
    </row>
    <row r="31" spans="1:20" ht="28.5" customHeight="1">
      <c r="A31" s="2243" t="s">
        <v>1153</v>
      </c>
      <c r="B31" s="2244"/>
      <c r="C31" s="2244"/>
      <c r="D31" s="2244"/>
      <c r="E31" s="2244"/>
      <c r="F31" s="2244"/>
      <c r="G31" s="2244"/>
      <c r="H31" s="2244"/>
      <c r="I31" s="2244"/>
      <c r="J31" s="2244"/>
      <c r="K31" s="2244"/>
      <c r="L31" s="2244"/>
      <c r="M31" s="2244"/>
      <c r="N31" s="2244"/>
      <c r="O31" s="2244"/>
      <c r="P31" s="2244"/>
      <c r="Q31" s="2244"/>
      <c r="R31" s="2244"/>
      <c r="S31" s="2244"/>
      <c r="T31" s="2245"/>
    </row>
    <row r="32" spans="1:20">
      <c r="A32" s="1278"/>
      <c r="B32" s="1279"/>
      <c r="C32" s="1279"/>
      <c r="D32" s="1279"/>
      <c r="E32" s="1279"/>
      <c r="F32" s="1279"/>
      <c r="G32" s="1279"/>
      <c r="H32" s="1279"/>
      <c r="I32" s="1279"/>
      <c r="J32" s="1279"/>
      <c r="K32" s="1279"/>
      <c r="L32" s="1279"/>
      <c r="M32" s="1279"/>
      <c r="N32" s="1279"/>
      <c r="O32" s="1279"/>
      <c r="P32" s="1279"/>
      <c r="Q32" s="1279"/>
      <c r="R32" s="1279"/>
      <c r="S32" s="1279"/>
      <c r="T32" s="1280"/>
    </row>
    <row r="33" spans="1:20" ht="9.75" customHeight="1">
      <c r="A33" s="856"/>
      <c r="B33" s="866"/>
      <c r="C33" s="866"/>
      <c r="D33" s="866"/>
      <c r="E33" s="866"/>
      <c r="F33" s="866"/>
      <c r="G33" s="866"/>
      <c r="H33" s="866"/>
      <c r="I33" s="866"/>
      <c r="J33" s="866" t="s">
        <v>342</v>
      </c>
      <c r="K33" s="866"/>
      <c r="L33" s="866"/>
      <c r="M33" s="866"/>
      <c r="N33" s="866"/>
      <c r="O33" s="866"/>
      <c r="P33" s="866"/>
      <c r="Q33" s="866"/>
      <c r="R33" s="866"/>
      <c r="S33" s="866"/>
      <c r="T33" s="867"/>
    </row>
    <row r="34" spans="1:20" ht="18.75" customHeight="1">
      <c r="A34" s="820"/>
      <c r="B34" s="2246"/>
      <c r="C34" s="2247"/>
      <c r="D34" s="2246"/>
      <c r="E34" s="2246"/>
      <c r="F34" s="2246"/>
      <c r="G34" s="2246"/>
      <c r="H34" s="822"/>
      <c r="I34" s="868"/>
      <c r="J34" s="1417" t="s">
        <v>1154</v>
      </c>
      <c r="K34" s="821"/>
      <c r="L34" s="1418"/>
      <c r="M34" s="1419"/>
      <c r="N34" s="1418"/>
      <c r="O34" s="1418"/>
      <c r="P34" s="1418"/>
      <c r="Q34" s="1418"/>
      <c r="R34" s="1418"/>
      <c r="S34" s="1418"/>
      <c r="T34" s="1404"/>
    </row>
    <row r="35" spans="1:20">
      <c r="A35" s="989" t="s">
        <v>339</v>
      </c>
      <c r="B35" s="823"/>
      <c r="C35" s="823"/>
      <c r="D35" s="823"/>
      <c r="E35" s="823"/>
      <c r="F35" s="823"/>
      <c r="G35" s="823"/>
      <c r="H35" s="297"/>
      <c r="I35" s="823"/>
      <c r="J35" s="984"/>
      <c r="K35" s="823"/>
      <c r="L35" s="823"/>
      <c r="M35" s="823"/>
      <c r="N35" s="823"/>
      <c r="O35" s="823"/>
      <c r="P35" s="823"/>
      <c r="Q35" s="823"/>
      <c r="R35" s="823"/>
      <c r="S35" s="866"/>
      <c r="T35" s="867"/>
    </row>
    <row r="36" spans="1:20" ht="27" customHeight="1">
      <c r="A36" s="1275"/>
      <c r="B36" s="982"/>
      <c r="C36" s="982"/>
      <c r="D36" s="982"/>
      <c r="E36" s="982"/>
      <c r="F36" s="982"/>
      <c r="G36" s="982"/>
      <c r="H36" s="869"/>
      <c r="I36" s="870"/>
      <c r="J36" s="990"/>
      <c r="K36" s="2251" t="s">
        <v>161</v>
      </c>
      <c r="L36" s="2252"/>
      <c r="M36" s="2252"/>
      <c r="N36" s="2253"/>
      <c r="O36" s="963"/>
      <c r="P36" s="2248" t="s">
        <v>160</v>
      </c>
      <c r="Q36" s="2249"/>
      <c r="R36" s="2249"/>
      <c r="S36" s="2250"/>
      <c r="T36" s="829"/>
    </row>
    <row r="37" spans="1:20" ht="15.75" customHeight="1">
      <c r="A37" s="984"/>
      <c r="B37" s="815"/>
      <c r="C37" s="2254" t="s">
        <v>1098</v>
      </c>
      <c r="D37" s="2255"/>
      <c r="E37" s="2255"/>
      <c r="F37" s="2256"/>
      <c r="G37" s="825"/>
      <c r="H37" s="869"/>
      <c r="I37" s="870"/>
      <c r="J37" s="980" t="s">
        <v>692</v>
      </c>
      <c r="K37" s="979" t="s">
        <v>159</v>
      </c>
      <c r="L37" s="979" t="s">
        <v>520</v>
      </c>
      <c r="M37" s="979" t="s">
        <v>521</v>
      </c>
      <c r="N37" s="979" t="s">
        <v>522</v>
      </c>
      <c r="O37" s="963"/>
      <c r="P37" s="1420" t="s">
        <v>159</v>
      </c>
      <c r="Q37" s="1421" t="s">
        <v>520</v>
      </c>
      <c r="R37" s="1421" t="s">
        <v>521</v>
      </c>
      <c r="S37" s="1422" t="s">
        <v>522</v>
      </c>
      <c r="T37" s="967"/>
    </row>
    <row r="38" spans="1:20" ht="15.75" customHeight="1">
      <c r="A38" s="984"/>
      <c r="B38" s="815"/>
      <c r="C38" s="2240" t="s">
        <v>160</v>
      </c>
      <c r="D38" s="2241"/>
      <c r="E38" s="2241"/>
      <c r="F38" s="2242"/>
      <c r="G38" s="825"/>
      <c r="H38" s="826"/>
      <c r="I38" s="870"/>
      <c r="J38" s="966" t="s">
        <v>523</v>
      </c>
      <c r="K38" s="974">
        <f>'contract Monitoring'!C5</f>
        <v>47201.298041181355</v>
      </c>
      <c r="L38" s="974">
        <f>'contract Monitoring'!E5</f>
        <v>42458.169743676044</v>
      </c>
      <c r="M38" s="974">
        <f>'contract Monitoring'!H5</f>
        <v>37513</v>
      </c>
      <c r="N38" s="974">
        <f>M38-L38</f>
        <v>-4945.1697436760442</v>
      </c>
      <c r="O38" s="952"/>
      <c r="P38" s="1423">
        <f>'contract Monitoring'!D5/1000</f>
        <v>39813.817757662036</v>
      </c>
      <c r="Q38" s="1424">
        <f>'contract Monitoring'!F5/1000</f>
        <v>36517.841472847584</v>
      </c>
      <c r="R38" s="1424">
        <f>'contract Monitoring'!I5/1000</f>
        <v>35921.432992123468</v>
      </c>
      <c r="S38" s="1425">
        <f>R38-Q38</f>
        <v>-596.40848072411609</v>
      </c>
      <c r="T38" s="967"/>
    </row>
    <row r="39" spans="1:20" ht="15.75" customHeight="1">
      <c r="A39" s="1247"/>
      <c r="B39" s="815"/>
      <c r="C39" s="1426" t="s">
        <v>159</v>
      </c>
      <c r="D39" s="1426" t="s">
        <v>520</v>
      </c>
      <c r="E39" s="1426" t="s">
        <v>521</v>
      </c>
      <c r="F39" s="1426" t="s">
        <v>522</v>
      </c>
      <c r="G39" s="825"/>
      <c r="H39" s="826"/>
      <c r="I39" s="870"/>
      <c r="J39" s="966" t="s">
        <v>524</v>
      </c>
      <c r="K39" s="964">
        <f>'contract Monitoring'!C6</f>
        <v>11590.386792078525</v>
      </c>
      <c r="L39" s="964">
        <f>'contract Monitoring'!E6</f>
        <v>10433.415972354613</v>
      </c>
      <c r="M39" s="964">
        <f>'contract Monitoring'!H6</f>
        <v>13988</v>
      </c>
      <c r="N39" s="964">
        <f t="shared" ref="N39:N52" si="0">M39-L39</f>
        <v>3554.5840276453873</v>
      </c>
      <c r="O39" s="963"/>
      <c r="P39" s="1427">
        <f>'contract Monitoring'!D6/1000</f>
        <v>36344.182401372258</v>
      </c>
      <c r="Q39" s="1428">
        <f>'contract Monitoring'!F6/1000</f>
        <v>33332.911685554303</v>
      </c>
      <c r="R39" s="1428">
        <f>'contract Monitoring'!I6/1000</f>
        <v>38416.987386816683</v>
      </c>
      <c r="S39" s="1429">
        <f t="shared" ref="S39:S52" si="1">R39-Q39</f>
        <v>5084.0757012623799</v>
      </c>
      <c r="T39" s="967"/>
    </row>
    <row r="40" spans="1:20" ht="15.75" customHeight="1">
      <c r="A40" s="975" t="s">
        <v>158</v>
      </c>
      <c r="B40" s="1005"/>
      <c r="C40" s="1255">
        <f>Finance!E20</f>
        <v>36373.022085227174</v>
      </c>
      <c r="D40" s="1255">
        <f>Finance!F20</f>
        <v>36373.022085227174</v>
      </c>
      <c r="E40" s="1255">
        <f>Finance!G20</f>
        <v>35274.074153185182</v>
      </c>
      <c r="F40" s="1255">
        <f>Finance!H20</f>
        <v>-1098.9479320419923</v>
      </c>
      <c r="G40" s="825"/>
      <c r="H40" s="827"/>
      <c r="I40" s="828"/>
      <c r="J40" s="970" t="s">
        <v>525</v>
      </c>
      <c r="K40" s="969">
        <f>'contract Monitoring'!C7</f>
        <v>3369.0335251535053</v>
      </c>
      <c r="L40" s="969">
        <f>'contract Monitoring'!E7</f>
        <v>3064.961247466254</v>
      </c>
      <c r="M40" s="969">
        <f>'contract Monitoring'!H7</f>
        <v>3128</v>
      </c>
      <c r="N40" s="969">
        <f t="shared" si="0"/>
        <v>63.038752533745992</v>
      </c>
      <c r="O40" s="968"/>
      <c r="P40" s="1427">
        <f>'contract Monitoring'!D7/1000</f>
        <v>833.53882921137097</v>
      </c>
      <c r="Q40" s="1428">
        <f>'contract Monitoring'!F7/1000</f>
        <v>764.57214587287967</v>
      </c>
      <c r="R40" s="1428">
        <f>'contract Monitoring'!I7/1000</f>
        <v>756.88744616600002</v>
      </c>
      <c r="S40" s="1429">
        <f t="shared" si="1"/>
        <v>-7.6846997068796554</v>
      </c>
      <c r="T40" s="967"/>
    </row>
    <row r="41" spans="1:20" ht="15.75" customHeight="1">
      <c r="A41" s="961" t="s">
        <v>157</v>
      </c>
      <c r="B41" s="1003"/>
      <c r="C41" s="1256">
        <f>Finance!E21</f>
        <v>15989.916139419553</v>
      </c>
      <c r="D41" s="1256">
        <f>Finance!F21</f>
        <v>15989.916139419553</v>
      </c>
      <c r="E41" s="1256">
        <f>Finance!G21</f>
        <v>14800.707023667692</v>
      </c>
      <c r="F41" s="1256">
        <f>Finance!H21</f>
        <v>-1189.2091157518607</v>
      </c>
      <c r="G41" s="825"/>
      <c r="H41" s="827"/>
      <c r="I41" s="828"/>
      <c r="J41" s="970" t="s">
        <v>526</v>
      </c>
      <c r="K41" s="969">
        <f>'contract Monitoring'!C8</f>
        <v>6925.1014362759915</v>
      </c>
      <c r="L41" s="969">
        <f>'contract Monitoring'!E8</f>
        <v>6337</v>
      </c>
      <c r="M41" s="969">
        <f>'contract Monitoring'!H8</f>
        <v>7333</v>
      </c>
      <c r="N41" s="969">
        <f t="shared" si="0"/>
        <v>996</v>
      </c>
      <c r="O41" s="968"/>
      <c r="P41" s="1427">
        <f>'contract Monitoring'!D8/1000</f>
        <v>5342.2445240211337</v>
      </c>
      <c r="Q41" s="1428">
        <f>'contract Monitoring'!F8/1000</f>
        <v>4888.5200000000004</v>
      </c>
      <c r="R41" s="1428">
        <f>'contract Monitoring'!I8/1000</f>
        <v>5778.8050000000003</v>
      </c>
      <c r="S41" s="1429">
        <f t="shared" si="1"/>
        <v>890.28499999999985</v>
      </c>
      <c r="T41" s="967"/>
    </row>
    <row r="42" spans="1:20" ht="15.75" customHeight="1">
      <c r="A42" s="961" t="s">
        <v>60</v>
      </c>
      <c r="B42" s="1003"/>
      <c r="C42" s="1256">
        <f>Finance!E22</f>
        <v>11878.010129408754</v>
      </c>
      <c r="D42" s="1256">
        <f>Finance!F22</f>
        <v>11878.010129408754</v>
      </c>
      <c r="E42" s="1256">
        <f>Finance!G22</f>
        <v>10856.161292354673</v>
      </c>
      <c r="F42" s="1256">
        <f>Finance!H22</f>
        <v>-1021.8488370540817</v>
      </c>
      <c r="G42" s="825"/>
      <c r="H42" s="829"/>
      <c r="I42" s="828"/>
      <c r="J42" s="966" t="s">
        <v>527</v>
      </c>
      <c r="K42" s="965">
        <f>'contract Monitoring'!C9</f>
        <v>36620.238183463669</v>
      </c>
      <c r="L42" s="965">
        <f>'contract Monitoring'!E9</f>
        <v>33308.123343029809</v>
      </c>
      <c r="M42" s="964">
        <f>'contract Monitoring'!H9</f>
        <v>37527</v>
      </c>
      <c r="N42" s="964">
        <f t="shared" si="0"/>
        <v>4218.8766569701911</v>
      </c>
      <c r="O42" s="963"/>
      <c r="P42" s="1427">
        <f>'contract Monitoring'!D9/1000</f>
        <v>80508.919204960082</v>
      </c>
      <c r="Q42" s="1428">
        <f>'contract Monitoring'!F9/1000</f>
        <v>73671.200271753536</v>
      </c>
      <c r="R42" s="1428">
        <f>'contract Monitoring'!I9/1000</f>
        <v>84503.425781219004</v>
      </c>
      <c r="S42" s="1429">
        <f t="shared" si="1"/>
        <v>10832.225509465468</v>
      </c>
      <c r="T42" s="967"/>
    </row>
    <row r="43" spans="1:20" ht="15.75" customHeight="1">
      <c r="A43" s="961" t="s">
        <v>59</v>
      </c>
      <c r="B43" s="1003"/>
      <c r="C43" s="1256">
        <f>Finance!E23</f>
        <v>5718.4905389495643</v>
      </c>
      <c r="D43" s="1256">
        <f>Finance!F23</f>
        <v>5718.4905389495643</v>
      </c>
      <c r="E43" s="1256">
        <f>Finance!G23</f>
        <v>6406.3604935891572</v>
      </c>
      <c r="F43" s="1256">
        <f>Finance!H23</f>
        <v>687.86995463959283</v>
      </c>
      <c r="G43" s="825"/>
      <c r="H43" s="867"/>
      <c r="I43" s="866"/>
      <c r="J43" s="954" t="s">
        <v>528</v>
      </c>
      <c r="K43" s="953">
        <f>'contract Monitoring'!C10</f>
        <v>3453.0450470369983</v>
      </c>
      <c r="L43" s="953">
        <f>'contract Monitoring'!E10</f>
        <v>3160</v>
      </c>
      <c r="M43" s="953">
        <f>'contract Monitoring'!H10</f>
        <v>4652</v>
      </c>
      <c r="N43" s="953">
        <f t="shared" si="0"/>
        <v>1492</v>
      </c>
      <c r="O43" s="952"/>
      <c r="P43" s="1427">
        <f>'contract Monitoring'!D10/1000</f>
        <v>2163.3078597551221</v>
      </c>
      <c r="Q43" s="1428">
        <f>'contract Monitoring'!F10/1000</f>
        <v>1979.575</v>
      </c>
      <c r="R43" s="1428">
        <f>'contract Monitoring'!I10/1000</f>
        <v>3001.8020000000001</v>
      </c>
      <c r="S43" s="1429">
        <f t="shared" si="1"/>
        <v>1022.2270000000001</v>
      </c>
      <c r="T43" s="962"/>
    </row>
    <row r="44" spans="1:20" ht="15.75" customHeight="1">
      <c r="A44" s="961" t="s">
        <v>58</v>
      </c>
      <c r="B44" s="1003"/>
      <c r="C44" s="1256">
        <f>Finance!E24</f>
        <v>3295.0058296915831</v>
      </c>
      <c r="D44" s="1256">
        <f>Finance!F24</f>
        <v>3295.0058296915831</v>
      </c>
      <c r="E44" s="1256">
        <f>Finance!G24</f>
        <v>3859.9355286350565</v>
      </c>
      <c r="F44" s="1256">
        <f>Finance!H24</f>
        <v>564.92969894347334</v>
      </c>
      <c r="G44" s="825"/>
      <c r="H44" s="831"/>
      <c r="I44" s="828"/>
      <c r="J44" s="951" t="s">
        <v>529</v>
      </c>
      <c r="K44" s="950">
        <f>'contract Monitoring'!C11</f>
        <v>28755.538533214003</v>
      </c>
      <c r="L44" s="950">
        <f>'contract Monitoring'!E11</f>
        <v>26313</v>
      </c>
      <c r="M44" s="950">
        <f>'contract Monitoring'!H11</f>
        <v>24684</v>
      </c>
      <c r="N44" s="950">
        <f t="shared" si="0"/>
        <v>-1629</v>
      </c>
      <c r="O44" s="958"/>
      <c r="P44" s="1427">
        <f>'contract Monitoring'!D11/1000</f>
        <v>7047.7117592768918</v>
      </c>
      <c r="Q44" s="1428">
        <f>'contract Monitoring'!F11/1000</f>
        <v>6449.1390000000001</v>
      </c>
      <c r="R44" s="1428">
        <f>'contract Monitoring'!I11/1000</f>
        <v>6403.5770000000002</v>
      </c>
      <c r="S44" s="1429">
        <f t="shared" si="1"/>
        <v>-45.561999999999898</v>
      </c>
      <c r="T44" s="940"/>
    </row>
    <row r="45" spans="1:20" ht="15.75" customHeight="1">
      <c r="A45" s="961" t="s">
        <v>57</v>
      </c>
      <c r="B45" s="1003"/>
      <c r="C45" s="1256">
        <f>Finance!E25</f>
        <v>2183.6841526574208</v>
      </c>
      <c r="D45" s="1256">
        <f>Finance!F25</f>
        <v>2183.6841526574208</v>
      </c>
      <c r="E45" s="1256">
        <f>Finance!G25</f>
        <v>2283.263925423521</v>
      </c>
      <c r="F45" s="1256">
        <f>Finance!H25</f>
        <v>99.579772766100177</v>
      </c>
      <c r="G45" s="825"/>
      <c r="H45" s="833"/>
      <c r="I45" s="828"/>
      <c r="J45" s="954" t="s">
        <v>530</v>
      </c>
      <c r="K45" s="950">
        <f>'contract Monitoring'!C12</f>
        <v>161450.17002971354</v>
      </c>
      <c r="L45" s="950">
        <f>'contract Monitoring'!E12</f>
        <v>148062.11045946711</v>
      </c>
      <c r="M45" s="950">
        <f>'contract Monitoring'!H12</f>
        <v>144449</v>
      </c>
      <c r="N45" s="950">
        <f t="shared" si="0"/>
        <v>-3613.1104594671051</v>
      </c>
      <c r="O45" s="958"/>
      <c r="P45" s="1427">
        <f>'contract Monitoring'!D12/1000</f>
        <v>21339.434573962473</v>
      </c>
      <c r="Q45" s="1428">
        <f>'contract Monitoring'!F12/1000</f>
        <v>19574.39679574551</v>
      </c>
      <c r="R45" s="1428">
        <f>'contract Monitoring'!I12/1000</f>
        <v>20490.666018163</v>
      </c>
      <c r="S45" s="1429">
        <f t="shared" si="1"/>
        <v>916.2692224174898</v>
      </c>
      <c r="T45" s="940"/>
    </row>
    <row r="46" spans="1:20" ht="15.75" customHeight="1">
      <c r="A46" s="961" t="s">
        <v>56</v>
      </c>
      <c r="B46" s="1003"/>
      <c r="C46" s="1256">
        <f>Finance!E26</f>
        <v>1080.5905015859571</v>
      </c>
      <c r="D46" s="1256">
        <f>Finance!F26</f>
        <v>1080.5905015859571</v>
      </c>
      <c r="E46" s="1256">
        <f>Finance!G26</f>
        <v>1223.0923356296585</v>
      </c>
      <c r="F46" s="1256">
        <f>Finance!H26</f>
        <v>142.50183404370136</v>
      </c>
      <c r="G46" s="825"/>
      <c r="H46" s="833"/>
      <c r="I46" s="171"/>
      <c r="J46" s="951" t="s">
        <v>531</v>
      </c>
      <c r="K46" s="950">
        <f>'contract Monitoring'!C13</f>
        <v>332273.4039334394</v>
      </c>
      <c r="L46" s="950">
        <f>'contract Monitoring'!E13</f>
        <v>304475.19142750284</v>
      </c>
      <c r="M46" s="950">
        <f>'contract Monitoring'!H13</f>
        <v>306649</v>
      </c>
      <c r="N46" s="950">
        <f t="shared" si="0"/>
        <v>2173.8085724971606</v>
      </c>
      <c r="O46" s="958"/>
      <c r="P46" s="1427">
        <f>'contract Monitoring'!D13/1000</f>
        <v>27846.676599517512</v>
      </c>
      <c r="Q46" s="1428">
        <f>'contract Monitoring'!F13/1000</f>
        <v>25543.757982376013</v>
      </c>
      <c r="R46" s="1428">
        <f>'contract Monitoring'!I13/1000</f>
        <v>28840.131710965998</v>
      </c>
      <c r="S46" s="1429">
        <f t="shared" si="1"/>
        <v>3296.3737285899842</v>
      </c>
      <c r="T46" s="940"/>
    </row>
    <row r="47" spans="1:20" ht="15.75" customHeight="1">
      <c r="A47" s="960" t="s">
        <v>55</v>
      </c>
      <c r="B47" s="855"/>
      <c r="C47" s="1257">
        <f>Finance!E27</f>
        <v>2008.7076230599766</v>
      </c>
      <c r="D47" s="1257">
        <f>Finance!F27</f>
        <v>2008.7076230599766</v>
      </c>
      <c r="E47" s="1257">
        <f>Finance!G27</f>
        <v>1851.8852475150509</v>
      </c>
      <c r="F47" s="1257">
        <f>Finance!H27</f>
        <v>-156.82237554492576</v>
      </c>
      <c r="G47" s="825"/>
      <c r="H47" s="833"/>
      <c r="I47" s="171"/>
      <c r="J47" s="951" t="s">
        <v>532</v>
      </c>
      <c r="K47" s="950">
        <f>'contract Monitoring'!C14</f>
        <v>48747.012691073003</v>
      </c>
      <c r="L47" s="950">
        <f>'contract Monitoring'!E14</f>
        <v>44717</v>
      </c>
      <c r="M47" s="950">
        <f>'contract Monitoring'!H14</f>
        <v>59251</v>
      </c>
      <c r="N47" s="950">
        <f t="shared" si="0"/>
        <v>14534</v>
      </c>
      <c r="O47" s="958"/>
      <c r="P47" s="1427">
        <f>'contract Monitoring'!D14/1000</f>
        <v>8385.0682524012973</v>
      </c>
      <c r="Q47" s="1428">
        <f>'contract Monitoring'!F14/1000</f>
        <v>7691.8149999999996</v>
      </c>
      <c r="R47" s="1428">
        <f>'contract Monitoring'!I14/1000</f>
        <v>9434.232</v>
      </c>
      <c r="S47" s="1429">
        <f t="shared" si="1"/>
        <v>1742.4170000000004</v>
      </c>
      <c r="T47" s="940"/>
    </row>
    <row r="48" spans="1:20" ht="15.75" customHeight="1">
      <c r="A48" s="1247"/>
      <c r="B48" s="815"/>
      <c r="C48" s="994">
        <f>SUM(C40:C47)</f>
        <v>78527.426999999981</v>
      </c>
      <c r="D48" s="994">
        <f>SUM(D40:D47)</f>
        <v>78527.426999999981</v>
      </c>
      <c r="E48" s="994">
        <f>SUM(E40:E47)</f>
        <v>76555.48</v>
      </c>
      <c r="F48" s="994">
        <f>SUM(F40:F47)</f>
        <v>-1971.9469999999928</v>
      </c>
      <c r="G48" s="825"/>
      <c r="H48" s="834"/>
      <c r="I48" s="171"/>
      <c r="J48" s="951" t="s">
        <v>1034</v>
      </c>
      <c r="K48" s="950">
        <f>'contract Monitoring'!C15</f>
        <v>2108.5176116859998</v>
      </c>
      <c r="L48" s="950">
        <f>'contract Monitoring'!E15</f>
        <v>1933</v>
      </c>
      <c r="M48" s="950">
        <f>'contract Monitoring'!H15</f>
        <v>50919</v>
      </c>
      <c r="N48" s="950">
        <f t="shared" si="0"/>
        <v>48986</v>
      </c>
      <c r="O48" s="958"/>
      <c r="P48" s="1427">
        <f>'contract Monitoring'!D15/1000</f>
        <v>2756.2793673303577</v>
      </c>
      <c r="Q48" s="1428">
        <f>'contract Monitoring'!F15/1000</f>
        <v>2526.5893093363329</v>
      </c>
      <c r="R48" s="1428">
        <f>'contract Monitoring'!I15/1000</f>
        <v>5744.47</v>
      </c>
      <c r="S48" s="1429">
        <f t="shared" si="1"/>
        <v>3217.8806906636673</v>
      </c>
      <c r="T48" s="957"/>
    </row>
    <row r="49" spans="1:28" ht="15.75" customHeight="1">
      <c r="A49" s="1247"/>
      <c r="B49" s="830"/>
      <c r="C49" s="825"/>
      <c r="D49" s="830"/>
      <c r="E49" s="825"/>
      <c r="F49" s="830"/>
      <c r="G49" s="825"/>
      <c r="H49" s="833"/>
      <c r="I49" s="871"/>
      <c r="J49" s="951" t="s">
        <v>872</v>
      </c>
      <c r="K49" s="953">
        <f>'contract Monitoring'!C16</f>
        <v>304844.92162647296</v>
      </c>
      <c r="L49" s="953">
        <f>'contract Monitoring'!E16</f>
        <v>279221.15937356581</v>
      </c>
      <c r="M49" s="953">
        <f>'contract Monitoring'!H16</f>
        <v>259306</v>
      </c>
      <c r="N49" s="953">
        <f t="shared" si="0"/>
        <v>-19915.15937356581</v>
      </c>
      <c r="O49" s="952"/>
      <c r="P49" s="1427">
        <f>'contract Monitoring'!D16/1000</f>
        <v>82852.034853528181</v>
      </c>
      <c r="Q49" s="1428">
        <f>'contract Monitoring'!F16/1000</f>
        <v>75863.678870979187</v>
      </c>
      <c r="R49" s="1428">
        <f>'contract Monitoring'!I16/1000</f>
        <v>76977.021999999997</v>
      </c>
      <c r="S49" s="1429">
        <f t="shared" si="1"/>
        <v>1113.34312902081</v>
      </c>
      <c r="T49" s="957"/>
    </row>
    <row r="50" spans="1:28" ht="15.75" customHeight="1">
      <c r="A50" s="999" t="s">
        <v>185</v>
      </c>
      <c r="B50" s="956"/>
      <c r="C50" s="955"/>
      <c r="D50" s="956"/>
      <c r="E50" s="955"/>
      <c r="F50" s="956"/>
      <c r="G50" s="955"/>
      <c r="H50" s="833"/>
      <c r="I50" s="871"/>
      <c r="J50" s="954" t="s">
        <v>533</v>
      </c>
      <c r="K50" s="950">
        <f>'contract Monitoring'!C17</f>
        <v>2986454.9698524242</v>
      </c>
      <c r="L50" s="950">
        <f>'contract Monitoring'!E17</f>
        <v>2732811</v>
      </c>
      <c r="M50" s="950">
        <f>'contract Monitoring'!H17</f>
        <v>2981853</v>
      </c>
      <c r="N50" s="950">
        <f t="shared" si="0"/>
        <v>249042</v>
      </c>
      <c r="O50" s="949"/>
      <c r="P50" s="1427">
        <f>'contract Monitoring'!D17/1000</f>
        <v>10789.219246074203</v>
      </c>
      <c r="Q50" s="1428">
        <f>'contract Monitoring'!F17/1000</f>
        <v>9872.8760000000002</v>
      </c>
      <c r="R50" s="1428">
        <f>'contract Monitoring'!I17/1000</f>
        <v>11780.04023683231</v>
      </c>
      <c r="S50" s="1429">
        <f t="shared" si="1"/>
        <v>1907.1642368323101</v>
      </c>
      <c r="T50" s="940"/>
    </row>
    <row r="51" spans="1:28" ht="15.75" customHeight="1">
      <c r="A51" s="999"/>
      <c r="B51" s="956"/>
      <c r="C51" s="955"/>
      <c r="D51" s="956"/>
      <c r="E51" s="955"/>
      <c r="F51" s="956"/>
      <c r="G51" s="955"/>
      <c r="H51" s="833"/>
      <c r="I51" s="871"/>
      <c r="J51" s="951" t="s">
        <v>358</v>
      </c>
      <c r="K51" s="950">
        <f>'contract Monitoring'!C18</f>
        <v>142591.91474491303</v>
      </c>
      <c r="L51" s="950">
        <f>'contract Monitoring'!E18</f>
        <v>130481</v>
      </c>
      <c r="M51" s="950">
        <f>'contract Monitoring'!H18</f>
        <v>137802</v>
      </c>
      <c r="N51" s="950">
        <f t="shared" si="0"/>
        <v>7321</v>
      </c>
      <c r="O51" s="949"/>
      <c r="P51" s="1427">
        <f>'contract Monitoring'!D18/1000</f>
        <v>14855.976502714235</v>
      </c>
      <c r="Q51" s="1428">
        <f>'contract Monitoring'!F18/1000</f>
        <v>13594.236000000001</v>
      </c>
      <c r="R51" s="1428">
        <f>'contract Monitoring'!I18/1000</f>
        <v>14642.799731629999</v>
      </c>
      <c r="S51" s="1429">
        <f t="shared" si="1"/>
        <v>1048.5637316299981</v>
      </c>
      <c r="T51" s="940"/>
    </row>
    <row r="52" spans="1:28" ht="15.75" customHeight="1">
      <c r="A52" s="856"/>
      <c r="B52" s="866"/>
      <c r="C52" s="866"/>
      <c r="D52" s="866"/>
      <c r="E52" s="866"/>
      <c r="F52" s="866"/>
      <c r="G52" s="866"/>
      <c r="H52" s="833"/>
      <c r="I52" s="871"/>
      <c r="J52" s="946" t="s">
        <v>534</v>
      </c>
      <c r="K52" s="945">
        <f>'contract Monitoring'!C19</f>
        <v>75439.872075968553</v>
      </c>
      <c r="L52" s="945">
        <f>'contract Monitoring'!E19</f>
        <v>69033</v>
      </c>
      <c r="M52" s="945">
        <f>'contract Monitoring'!H19</f>
        <v>82508</v>
      </c>
      <c r="N52" s="945">
        <f t="shared" si="0"/>
        <v>13475</v>
      </c>
      <c r="O52" s="944"/>
      <c r="P52" s="1427">
        <f>'contract Monitoring'!D19/1000</f>
        <v>36261.896194566245</v>
      </c>
      <c r="Q52" s="1428">
        <f>'contract Monitoring'!F19/1000</f>
        <v>33182.118999999999</v>
      </c>
      <c r="R52" s="1428">
        <f>'contract Monitoring'!I19/1000</f>
        <v>38880.145450000033</v>
      </c>
      <c r="S52" s="1429">
        <f t="shared" si="1"/>
        <v>5698.0264500000339</v>
      </c>
      <c r="T52" s="948"/>
    </row>
    <row r="53" spans="1:28" ht="30.75" customHeight="1">
      <c r="A53" s="916" t="s">
        <v>715</v>
      </c>
      <c r="B53" s="917"/>
      <c r="C53" s="917"/>
      <c r="D53" s="917"/>
      <c r="E53" s="947"/>
      <c r="F53" s="914"/>
      <c r="G53" s="1645" t="s">
        <v>1105</v>
      </c>
      <c r="H53" s="835"/>
      <c r="I53" s="871"/>
      <c r="J53" s="1243" t="s">
        <v>79</v>
      </c>
      <c r="K53" s="1241"/>
      <c r="L53" s="1241"/>
      <c r="M53" s="1241"/>
      <c r="N53" s="1241"/>
      <c r="O53" s="1241"/>
      <c r="P53" s="1430">
        <f>SUM(P38:P52)</f>
        <v>377140.30792635342</v>
      </c>
      <c r="Q53" s="1431">
        <f>SUM(Q38:Q52)</f>
        <v>345453.22853446531</v>
      </c>
      <c r="R53" s="1431">
        <f>SUM(R38:R52)</f>
        <v>381572.42475391645</v>
      </c>
      <c r="S53" s="1432">
        <f>SUM(S38:S52)</f>
        <v>36119.196219451143</v>
      </c>
      <c r="T53" s="1242"/>
    </row>
    <row r="54" spans="1:28" ht="15" customHeight="1">
      <c r="A54" s="856"/>
      <c r="B54" s="866"/>
      <c r="C54" s="866"/>
      <c r="D54" s="866"/>
      <c r="E54" s="866"/>
      <c r="F54" s="866"/>
      <c r="G54" s="1248"/>
      <c r="H54" s="836"/>
      <c r="I54" s="866"/>
      <c r="J54" s="1004"/>
      <c r="K54" s="818"/>
      <c r="L54" s="818"/>
      <c r="M54" s="818"/>
      <c r="N54" s="818"/>
      <c r="O54" s="818"/>
      <c r="P54" s="818"/>
      <c r="Q54" s="818"/>
      <c r="R54" s="818"/>
      <c r="S54" s="818"/>
      <c r="T54" s="1246"/>
    </row>
    <row r="55" spans="1:28" ht="15" customHeight="1">
      <c r="A55" s="832" t="s">
        <v>1009</v>
      </c>
      <c r="B55" s="866"/>
      <c r="C55" s="866"/>
      <c r="D55" s="866"/>
      <c r="E55" s="874"/>
      <c r="F55" s="874"/>
      <c r="G55" s="1646">
        <f>(399663200+18037447)/1000</f>
        <v>417700.647</v>
      </c>
      <c r="H55" s="867"/>
      <c r="I55" s="871"/>
      <c r="J55" s="999"/>
      <c r="K55" s="938"/>
      <c r="L55" s="938"/>
      <c r="M55" s="938"/>
      <c r="N55" s="938"/>
      <c r="O55" s="938"/>
      <c r="P55" s="938"/>
      <c r="Q55" s="938"/>
      <c r="R55" s="938"/>
      <c r="S55" s="938"/>
      <c r="T55" s="869"/>
    </row>
    <row r="56" spans="1:28" ht="15" customHeight="1">
      <c r="A56" s="832"/>
      <c r="B56" s="866"/>
      <c r="C56" s="866"/>
      <c r="D56" s="866"/>
      <c r="E56" s="874"/>
      <c r="F56" s="874"/>
      <c r="G56" s="1646"/>
      <c r="H56" s="867"/>
      <c r="I56" s="871"/>
      <c r="J56" s="911"/>
      <c r="K56" s="913"/>
      <c r="L56" s="912"/>
      <c r="M56" s="912"/>
      <c r="N56" s="171"/>
      <c r="O56" s="815"/>
      <c r="P56" s="171"/>
      <c r="Q56" s="171"/>
      <c r="R56" s="171"/>
      <c r="S56" s="176"/>
      <c r="T56" s="869"/>
    </row>
    <row r="57" spans="1:28" ht="15" customHeight="1">
      <c r="A57" s="838" t="s">
        <v>695</v>
      </c>
      <c r="B57" s="866"/>
      <c r="C57" s="866"/>
      <c r="D57" s="866"/>
      <c r="E57" s="875"/>
      <c r="F57" s="875"/>
      <c r="G57" s="1647">
        <f>G55*2.5%</f>
        <v>10442.516175000001</v>
      </c>
      <c r="H57" s="867"/>
      <c r="I57" s="871"/>
      <c r="J57" s="844" t="s">
        <v>1063</v>
      </c>
      <c r="L57" s="2240" t="s">
        <v>160</v>
      </c>
      <c r="M57" s="2241"/>
      <c r="N57" s="2242"/>
      <c r="O57" s="1245"/>
      <c r="P57" s="171"/>
      <c r="Q57" s="171"/>
      <c r="R57" s="171"/>
      <c r="S57" s="176"/>
      <c r="T57" s="869"/>
    </row>
    <row r="58" spans="1:28" s="840" customFormat="1" ht="15" customHeight="1">
      <c r="A58" s="838" t="s">
        <v>340</v>
      </c>
      <c r="B58" s="876"/>
      <c r="C58" s="876"/>
      <c r="D58" s="876"/>
      <c r="E58" s="875"/>
      <c r="F58" s="875"/>
      <c r="G58" s="1648">
        <v>-3439</v>
      </c>
      <c r="H58" s="872"/>
      <c r="I58" s="839"/>
      <c r="J58" s="1247"/>
      <c r="K58" s="1441"/>
      <c r="L58" s="1433" t="s">
        <v>520</v>
      </c>
      <c r="M58" s="1433" t="s">
        <v>521</v>
      </c>
      <c r="N58" s="1433" t="s">
        <v>522</v>
      </c>
      <c r="O58" s="1001"/>
      <c r="P58" s="171"/>
      <c r="Q58" s="171"/>
      <c r="R58" s="171"/>
      <c r="S58" s="176"/>
      <c r="T58" s="869"/>
    </row>
    <row r="59" spans="1:28" ht="15" customHeight="1">
      <c r="A59" s="1258"/>
      <c r="B59" s="1259"/>
      <c r="C59" s="1259"/>
      <c r="D59" s="1259"/>
      <c r="E59" s="1260"/>
      <c r="F59" s="1260"/>
      <c r="G59" s="1649">
        <f>G55+G57+G58</f>
        <v>424704.16317499999</v>
      </c>
      <c r="H59" s="867"/>
      <c r="I59" s="866"/>
      <c r="J59" s="975" t="s">
        <v>158</v>
      </c>
      <c r="K59" s="1443"/>
      <c r="L59" s="1440">
        <f>'contract Monitoring'!G83</f>
        <v>121449</v>
      </c>
      <c r="M59" s="1440">
        <f>'contract Monitoring'!H83</f>
        <v>123180.57779408827</v>
      </c>
      <c r="N59" s="1255">
        <f>M59-L59</f>
        <v>1731.577794088269</v>
      </c>
      <c r="O59" s="815"/>
      <c r="P59" s="873"/>
      <c r="Q59" s="873"/>
      <c r="R59" s="873"/>
      <c r="S59" s="823"/>
      <c r="T59" s="841"/>
      <c r="U59" s="842"/>
      <c r="V59" s="842"/>
      <c r="W59" s="175"/>
      <c r="X59" s="842"/>
      <c r="Y59" s="842"/>
      <c r="Z59" s="175"/>
      <c r="AA59" s="171"/>
      <c r="AB59" s="843"/>
    </row>
    <row r="60" spans="1:28" ht="15" customHeight="1">
      <c r="A60" s="1417" t="s">
        <v>696</v>
      </c>
      <c r="B60" s="864"/>
      <c r="C60" s="864"/>
      <c r="D60" s="864"/>
      <c r="E60" s="1600"/>
      <c r="F60" s="1600"/>
      <c r="G60" s="1650"/>
      <c r="H60" s="867"/>
      <c r="I60" s="866"/>
      <c r="J60" s="961" t="s">
        <v>157</v>
      </c>
      <c r="K60" s="1440"/>
      <c r="L60" s="1440">
        <f>'contract Monitoring'!G84</f>
        <v>54194</v>
      </c>
      <c r="M60" s="1440">
        <f>'contract Monitoring'!H84</f>
        <v>60113.423670291406</v>
      </c>
      <c r="N60" s="1256">
        <f t="shared" ref="N60:N66" si="2">M60-L60</f>
        <v>5919.4236702914059</v>
      </c>
      <c r="O60" s="815"/>
      <c r="P60" s="171"/>
      <c r="Q60" s="171"/>
      <c r="R60" s="171"/>
      <c r="S60" s="171"/>
      <c r="T60" s="603"/>
      <c r="U60" s="187"/>
      <c r="V60" s="187"/>
      <c r="W60" s="187"/>
      <c r="X60" s="187"/>
      <c r="Y60" s="187"/>
      <c r="Z60" s="187"/>
      <c r="AA60" s="176"/>
      <c r="AB60" s="845"/>
    </row>
    <row r="61" spans="1:28" ht="15" customHeight="1">
      <c r="A61" s="832" t="s">
        <v>697</v>
      </c>
      <c r="B61" s="866"/>
      <c r="C61" s="866"/>
      <c r="D61" s="866"/>
      <c r="E61" s="874"/>
      <c r="F61" s="874"/>
      <c r="G61" s="1646">
        <v>2235</v>
      </c>
      <c r="H61" s="867"/>
      <c r="I61" s="866"/>
      <c r="J61" s="961" t="s">
        <v>60</v>
      </c>
      <c r="K61" s="1440"/>
      <c r="L61" s="1440">
        <f>'contract Monitoring'!G85</f>
        <v>38225</v>
      </c>
      <c r="M61" s="1440">
        <f>'contract Monitoring'!H85</f>
        <v>40784.697587545103</v>
      </c>
      <c r="N61" s="1256">
        <f t="shared" si="2"/>
        <v>2559.6975875451026</v>
      </c>
      <c r="O61" s="815"/>
      <c r="P61" s="171"/>
      <c r="Q61" s="171"/>
      <c r="R61" s="171"/>
      <c r="S61" s="171"/>
      <c r="T61" s="603"/>
      <c r="U61" s="845"/>
      <c r="V61" s="845"/>
      <c r="W61" s="845"/>
      <c r="X61" s="845"/>
      <c r="Y61" s="845"/>
      <c r="Z61" s="845"/>
      <c r="AA61" s="845"/>
    </row>
    <row r="62" spans="1:28" ht="15" customHeight="1">
      <c r="A62" s="832" t="s">
        <v>698</v>
      </c>
      <c r="B62" s="866"/>
      <c r="C62" s="866"/>
      <c r="D62" s="866"/>
      <c r="E62" s="874"/>
      <c r="F62" s="874"/>
      <c r="G62" s="1646">
        <f>534/4*12</f>
        <v>1602</v>
      </c>
      <c r="H62" s="867"/>
      <c r="I62" s="866"/>
      <c r="J62" s="961" t="s">
        <v>59</v>
      </c>
      <c r="K62" s="1440"/>
      <c r="L62" s="1440">
        <f>'contract Monitoring'!G86</f>
        <v>13393</v>
      </c>
      <c r="M62" s="1440">
        <f>'contract Monitoring'!H86</f>
        <v>13739.656876814926</v>
      </c>
      <c r="N62" s="1256">
        <f t="shared" si="2"/>
        <v>346.65687681492636</v>
      </c>
      <c r="O62" s="815"/>
      <c r="P62" s="171"/>
      <c r="Q62" s="171"/>
      <c r="R62" s="171"/>
      <c r="S62" s="171"/>
      <c r="T62" s="603"/>
      <c r="U62" s="187"/>
      <c r="V62" s="187"/>
      <c r="W62" s="187"/>
      <c r="X62" s="187"/>
      <c r="Y62" s="187"/>
      <c r="Z62" s="187"/>
      <c r="AA62" s="176"/>
      <c r="AB62" s="845"/>
    </row>
    <row r="63" spans="1:28" ht="15" customHeight="1">
      <c r="A63" s="832" t="s">
        <v>699</v>
      </c>
      <c r="B63" s="866"/>
      <c r="C63" s="866"/>
      <c r="D63" s="866"/>
      <c r="E63" s="874"/>
      <c r="F63" s="874"/>
      <c r="G63" s="1646">
        <v>3772</v>
      </c>
      <c r="H63" s="867"/>
      <c r="I63" s="866"/>
      <c r="J63" s="961" t="s">
        <v>58</v>
      </c>
      <c r="K63" s="1440"/>
      <c r="L63" s="1440">
        <f>'contract Monitoring'!G87</f>
        <v>5965</v>
      </c>
      <c r="M63" s="1440">
        <f>'contract Monitoring'!H87</f>
        <v>7566.9884323532106</v>
      </c>
      <c r="N63" s="1256">
        <f t="shared" si="2"/>
        <v>1601.9884323532106</v>
      </c>
      <c r="O63" s="815"/>
      <c r="P63" s="171"/>
      <c r="Q63" s="171"/>
      <c r="R63" s="171"/>
      <c r="S63" s="171"/>
      <c r="T63" s="603"/>
      <c r="U63" s="175"/>
      <c r="V63" s="175"/>
      <c r="W63" s="175"/>
      <c r="X63" s="175"/>
      <c r="Y63" s="175"/>
      <c r="Z63" s="175"/>
      <c r="AA63" s="171"/>
      <c r="AB63" s="845"/>
    </row>
    <row r="64" spans="1:28" ht="15" customHeight="1">
      <c r="A64" s="832" t="s">
        <v>700</v>
      </c>
      <c r="B64" s="866"/>
      <c r="C64" s="866"/>
      <c r="D64" s="866"/>
      <c r="E64" s="874"/>
      <c r="F64" s="874"/>
      <c r="G64" s="1646">
        <f>12387-G63-G62-G61-162</f>
        <v>4616</v>
      </c>
      <c r="H64" s="867"/>
      <c r="I64" s="866"/>
      <c r="J64" s="961" t="s">
        <v>57</v>
      </c>
      <c r="K64" s="1440"/>
      <c r="L64" s="1440">
        <f>'contract Monitoring'!G88</f>
        <v>2966</v>
      </c>
      <c r="M64" s="1440">
        <f>'contract Monitoring'!H88</f>
        <v>3351.0248812322297</v>
      </c>
      <c r="N64" s="1256">
        <f t="shared" si="2"/>
        <v>385.02488123222975</v>
      </c>
      <c r="O64" s="815"/>
      <c r="P64" s="846"/>
      <c r="Q64" s="846"/>
      <c r="R64" s="846"/>
      <c r="S64" s="846"/>
      <c r="T64" s="847"/>
    </row>
    <row r="65" spans="1:28" ht="15" customHeight="1">
      <c r="A65" s="1601" t="s">
        <v>156</v>
      </c>
      <c r="B65" s="862"/>
      <c r="C65" s="862"/>
      <c r="D65" s="862"/>
      <c r="E65" s="862"/>
      <c r="F65" s="862"/>
      <c r="G65" s="1648">
        <v>-2950</v>
      </c>
      <c r="H65" s="867"/>
      <c r="I65" s="866"/>
      <c r="J65" s="961" t="s">
        <v>56</v>
      </c>
      <c r="K65" s="1440"/>
      <c r="L65" s="1440">
        <f>'contract Monitoring'!G89</f>
        <v>3331</v>
      </c>
      <c r="M65" s="1440">
        <f>'contract Monitoring'!H89</f>
        <v>3140.182431524775</v>
      </c>
      <c r="N65" s="1256">
        <f t="shared" si="2"/>
        <v>-190.81756847522502</v>
      </c>
      <c r="O65" s="815"/>
      <c r="P65" s="846"/>
      <c r="Q65" s="846"/>
      <c r="R65" s="846"/>
      <c r="S65" s="846"/>
      <c r="T65" s="847"/>
      <c r="U65" s="175"/>
      <c r="V65" s="175"/>
      <c r="W65" s="175"/>
      <c r="X65" s="175"/>
      <c r="Y65" s="175"/>
      <c r="Z65" s="175"/>
      <c r="AA65" s="171"/>
      <c r="AB65" s="845"/>
    </row>
    <row r="66" spans="1:28" ht="20.25" customHeight="1">
      <c r="A66" s="918" t="s">
        <v>1099</v>
      </c>
      <c r="B66" s="919"/>
      <c r="C66" s="919"/>
      <c r="D66" s="919"/>
      <c r="E66" s="919"/>
      <c r="F66" s="919"/>
      <c r="G66" s="920">
        <f>SUM(G59:G65)</f>
        <v>433979.16317499999</v>
      </c>
      <c r="H66" s="1002"/>
      <c r="I66" s="862"/>
      <c r="J66" s="960" t="s">
        <v>1062</v>
      </c>
      <c r="K66" s="1444"/>
      <c r="L66" s="1440">
        <f>'contract Monitoring'!G91</f>
        <v>102822.46</v>
      </c>
      <c r="M66" s="1440">
        <f>'contract Monitoring'!H91</f>
        <v>123631.67241140823</v>
      </c>
      <c r="N66" s="1257">
        <f t="shared" si="2"/>
        <v>20809.212411408225</v>
      </c>
      <c r="O66" s="815"/>
      <c r="P66" s="854"/>
      <c r="Q66" s="853"/>
      <c r="R66" s="853"/>
      <c r="S66" s="853"/>
      <c r="T66" s="1248"/>
      <c r="U66" s="171"/>
      <c r="V66" s="171"/>
      <c r="W66" s="171"/>
      <c r="X66" s="171"/>
      <c r="Y66" s="171"/>
      <c r="Z66" s="171"/>
      <c r="AA66" s="171"/>
      <c r="AB66" s="845"/>
    </row>
    <row r="67" spans="1:28" ht="18.75" customHeight="1">
      <c r="A67" s="984"/>
      <c r="B67" s="815"/>
      <c r="C67" s="815"/>
      <c r="D67" s="815"/>
      <c r="E67" s="815"/>
      <c r="F67" s="815"/>
      <c r="G67" s="815"/>
      <c r="H67" s="815"/>
      <c r="I67" s="815"/>
      <c r="J67" s="1247"/>
      <c r="K67" s="1442"/>
      <c r="L67" s="994">
        <f>SUM(L59:L66)</f>
        <v>342345.46</v>
      </c>
      <c r="M67" s="994">
        <f>SUM(M59:M66)</f>
        <v>375508.22408525815</v>
      </c>
      <c r="N67" s="994">
        <f>SUM(N59:N66)</f>
        <v>33162.764085258139</v>
      </c>
      <c r="O67" s="815"/>
      <c r="P67" s="815"/>
      <c r="Q67" s="815"/>
      <c r="R67" s="815"/>
      <c r="S67" s="815"/>
      <c r="T67" s="1003"/>
      <c r="U67" s="171"/>
      <c r="V67" s="171"/>
      <c r="W67" s="171"/>
      <c r="X67" s="171"/>
      <c r="Y67" s="171"/>
      <c r="Z67" s="171"/>
      <c r="AA67" s="171"/>
      <c r="AB67" s="845"/>
    </row>
    <row r="68" spans="1:28">
      <c r="A68" s="857"/>
      <c r="B68" s="817"/>
      <c r="C68" s="817"/>
      <c r="D68" s="817"/>
      <c r="E68" s="817"/>
      <c r="F68" s="817"/>
      <c r="G68" s="817"/>
      <c r="H68" s="817"/>
      <c r="I68" s="817"/>
      <c r="J68" s="857"/>
      <c r="K68" s="817"/>
      <c r="L68" s="817"/>
      <c r="M68" s="817"/>
      <c r="N68" s="817"/>
      <c r="O68" s="817"/>
      <c r="P68" s="817"/>
      <c r="Q68" s="817"/>
      <c r="R68" s="817"/>
      <c r="S68" s="817"/>
      <c r="T68" s="855"/>
      <c r="U68" s="171"/>
      <c r="V68" s="171"/>
      <c r="W68" s="171"/>
      <c r="X68" s="171"/>
      <c r="Y68" s="171"/>
      <c r="Z68" s="171"/>
      <c r="AA68" s="171"/>
      <c r="AB68" s="845"/>
    </row>
    <row r="69" spans="1:28" ht="19.5" customHeight="1">
      <c r="I69" s="848"/>
      <c r="J69" s="848"/>
      <c r="K69" s="848"/>
      <c r="L69" s="848"/>
      <c r="M69" s="848"/>
      <c r="N69" s="848"/>
      <c r="O69" s="848"/>
      <c r="P69" s="848"/>
      <c r="Q69" s="848"/>
      <c r="R69" s="848"/>
      <c r="S69" s="815"/>
      <c r="T69" s="815"/>
      <c r="U69" s="171"/>
      <c r="V69" s="171"/>
      <c r="W69" s="171"/>
      <c r="X69" s="171"/>
      <c r="Y69" s="171"/>
      <c r="Z69" s="171"/>
      <c r="AA69" s="171"/>
      <c r="AB69" s="845"/>
    </row>
    <row r="70" spans="1:28" ht="18" customHeight="1">
      <c r="I70" s="848"/>
      <c r="J70" s="849"/>
      <c r="K70" s="171"/>
      <c r="L70" s="171"/>
      <c r="M70" s="171"/>
      <c r="N70" s="171"/>
      <c r="O70" s="171"/>
      <c r="P70" s="171"/>
      <c r="Q70" s="848"/>
      <c r="R70" s="848"/>
      <c r="U70" s="171"/>
      <c r="V70" s="171"/>
      <c r="W70" s="171"/>
      <c r="X70" s="171"/>
      <c r="Y70" s="171"/>
      <c r="Z70" s="171"/>
      <c r="AA70" s="171"/>
      <c r="AB70" s="845"/>
    </row>
    <row r="71" spans="1:28">
      <c r="C71" s="850"/>
      <c r="E71" s="850"/>
      <c r="G71" s="850"/>
      <c r="I71" s="848"/>
      <c r="J71" s="174"/>
      <c r="K71" s="174"/>
      <c r="L71" s="171"/>
      <c r="M71" s="174"/>
      <c r="N71" s="171"/>
      <c r="O71" s="174"/>
      <c r="P71" s="171"/>
      <c r="Q71" s="848"/>
      <c r="R71" s="848"/>
      <c r="S71" s="851"/>
      <c r="T71" s="851"/>
      <c r="U71" s="851"/>
      <c r="V71" s="851"/>
      <c r="W71" s="851"/>
      <c r="X71" s="851"/>
      <c r="Y71" s="851"/>
      <c r="Z71" s="851"/>
      <c r="AA71" s="851"/>
      <c r="AB71" s="845"/>
    </row>
    <row r="72" spans="1:28">
      <c r="C72" s="850"/>
      <c r="E72" s="850"/>
      <c r="G72" s="850"/>
      <c r="I72" s="848"/>
      <c r="J72" s="852"/>
      <c r="K72" s="788"/>
      <c r="L72" s="171"/>
      <c r="M72" s="788"/>
      <c r="N72" s="171"/>
      <c r="O72" s="788"/>
      <c r="P72" s="171"/>
      <c r="Q72" s="848"/>
      <c r="R72" s="848"/>
      <c r="S72" s="853"/>
      <c r="T72" s="853"/>
      <c r="U72" s="853"/>
      <c r="V72" s="853"/>
      <c r="W72" s="853"/>
      <c r="X72" s="853"/>
      <c r="Y72" s="853"/>
      <c r="Z72" s="853"/>
      <c r="AA72" s="853"/>
    </row>
    <row r="73" spans="1:28">
      <c r="C73" s="850"/>
      <c r="E73" s="850"/>
      <c r="G73" s="850"/>
      <c r="I73" s="848"/>
      <c r="J73" s="852"/>
      <c r="K73" s="788"/>
      <c r="L73" s="171"/>
      <c r="M73" s="788"/>
      <c r="N73" s="171"/>
      <c r="O73" s="788"/>
      <c r="P73" s="171"/>
      <c r="Q73" s="848"/>
      <c r="R73" s="848"/>
      <c r="S73" s="851"/>
      <c r="T73" s="851"/>
      <c r="U73" s="851"/>
      <c r="V73" s="851"/>
      <c r="W73" s="851"/>
      <c r="X73" s="851"/>
      <c r="Y73" s="851"/>
      <c r="Z73" s="851"/>
      <c r="AA73" s="851"/>
      <c r="AB73" s="845"/>
    </row>
    <row r="74" spans="1:28">
      <c r="C74" s="850"/>
      <c r="E74" s="850"/>
      <c r="G74" s="850"/>
      <c r="I74" s="848"/>
      <c r="J74" s="852"/>
      <c r="K74" s="789"/>
      <c r="L74" s="171"/>
      <c r="M74" s="789"/>
      <c r="N74" s="171"/>
      <c r="O74" s="789"/>
      <c r="P74" s="171"/>
      <c r="Q74" s="848"/>
      <c r="R74" s="848"/>
      <c r="S74" s="853"/>
      <c r="T74" s="853"/>
      <c r="U74" s="853"/>
      <c r="V74" s="853"/>
      <c r="W74" s="853"/>
      <c r="X74" s="853"/>
      <c r="Y74" s="853"/>
      <c r="Z74" s="853"/>
      <c r="AA74" s="853"/>
    </row>
    <row r="75" spans="1:28">
      <c r="C75" s="850"/>
      <c r="E75" s="850"/>
      <c r="G75" s="850"/>
      <c r="I75" s="848"/>
      <c r="J75" s="852"/>
      <c r="K75" s="788"/>
      <c r="L75" s="171"/>
      <c r="M75" s="788"/>
      <c r="N75" s="171"/>
      <c r="O75" s="788"/>
      <c r="P75" s="171"/>
      <c r="Q75" s="848"/>
      <c r="R75" s="848"/>
    </row>
    <row r="76" spans="1:28">
      <c r="I76" s="848"/>
      <c r="J76" s="848"/>
      <c r="K76" s="848"/>
      <c r="L76" s="848"/>
      <c r="M76" s="848"/>
      <c r="N76" s="848"/>
      <c r="O76" s="848"/>
      <c r="P76" s="848"/>
      <c r="Q76" s="848"/>
      <c r="R76" s="848"/>
    </row>
    <row r="77" spans="1:28">
      <c r="I77" s="848"/>
      <c r="J77" s="848"/>
      <c r="K77" s="848"/>
      <c r="L77" s="848"/>
      <c r="M77" s="848"/>
      <c r="N77" s="848"/>
      <c r="O77" s="848"/>
      <c r="P77" s="848"/>
      <c r="Q77" s="848"/>
      <c r="R77" s="848"/>
    </row>
  </sheetData>
  <mergeCells count="14">
    <mergeCell ref="A27:T27"/>
    <mergeCell ref="A29:T29"/>
    <mergeCell ref="A3:T4"/>
    <mergeCell ref="A6:T21"/>
    <mergeCell ref="A23:T23"/>
    <mergeCell ref="A25:T25"/>
    <mergeCell ref="L57:N57"/>
    <mergeCell ref="A31:T31"/>
    <mergeCell ref="B34:D34"/>
    <mergeCell ref="E34:G34"/>
    <mergeCell ref="P36:S36"/>
    <mergeCell ref="K36:N36"/>
    <mergeCell ref="C37:F37"/>
    <mergeCell ref="C38:F38"/>
  </mergeCells>
  <phoneticPr fontId="130" type="noConversion"/>
  <printOptions horizontalCentered="1" verticalCentered="1"/>
  <pageMargins left="0.27559055118110237" right="0.23622047244094491" top="0.19685039370078741" bottom="0.39370078740157483" header="0" footer="0.19685039370078741"/>
  <pageSetup paperSize="9" scale="50" orientation="landscape" r:id="rId1"/>
  <headerFooter alignWithMargins="0">
    <oddFooter>&amp;CPage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7"/>
  <sheetViews>
    <sheetView showGridLines="0" zoomScale="90" zoomScaleNormal="90" workbookViewId="0">
      <selection activeCell="A6" sqref="A6:T21"/>
    </sheetView>
  </sheetViews>
  <sheetFormatPr defaultColWidth="9.109375" defaultRowHeight="13.2"/>
  <cols>
    <col min="1" max="1" width="40.44140625" style="816" customWidth="1"/>
    <col min="2" max="2" width="7.109375" style="816" customWidth="1"/>
    <col min="3" max="3" width="13.109375" style="816" customWidth="1"/>
    <col min="4" max="6" width="13.88671875" style="816" customWidth="1"/>
    <col min="7" max="7" width="14.5546875" style="816" customWidth="1"/>
    <col min="8" max="8" width="9.88671875" style="816" customWidth="1"/>
    <col min="9" max="9" width="5.44140625" style="816" customWidth="1"/>
    <col min="10" max="10" width="52.88671875" style="816" customWidth="1"/>
    <col min="11" max="14" width="13" style="816" customWidth="1"/>
    <col min="15" max="15" width="4" style="816" customWidth="1"/>
    <col min="16" max="19" width="11.109375" style="816" customWidth="1"/>
    <col min="20" max="20" width="4.109375" style="816" customWidth="1"/>
    <col min="21" max="21" width="10.6640625" style="816" customWidth="1"/>
    <col min="22" max="23" width="9.109375" style="816"/>
    <col min="24" max="24" width="9.6640625" style="816" customWidth="1"/>
    <col min="25" max="26" width="9.109375" style="816"/>
    <col min="27" max="27" width="10.6640625" style="816" customWidth="1"/>
    <col min="28" max="28" width="11.109375" style="816" bestFit="1" customWidth="1"/>
    <col min="29" max="16384" width="9.109375" style="816"/>
  </cols>
  <sheetData>
    <row r="1" spans="1:21" ht="21.6" thickBot="1">
      <c r="A1" s="812" t="str">
        <f>Income!A1</f>
        <v xml:space="preserve">Finance Report Month 2 2016/17 </v>
      </c>
      <c r="B1" s="860"/>
      <c r="C1" s="860"/>
      <c r="D1" s="860"/>
      <c r="E1" s="860"/>
      <c r="F1" s="860"/>
      <c r="G1" s="860"/>
      <c r="H1" s="813"/>
      <c r="I1" s="813" t="s">
        <v>39</v>
      </c>
      <c r="J1" s="860"/>
      <c r="K1" s="860"/>
      <c r="L1" s="860"/>
      <c r="M1" s="860"/>
      <c r="N1" s="860"/>
      <c r="O1" s="860"/>
      <c r="P1" s="860"/>
      <c r="Q1" s="860"/>
      <c r="R1" s="860"/>
      <c r="S1" s="860"/>
      <c r="T1" s="814" t="s">
        <v>32</v>
      </c>
      <c r="U1" s="815"/>
    </row>
    <row r="2" spans="1:21" ht="7.5" customHeight="1">
      <c r="A2" s="861"/>
      <c r="B2" s="861"/>
      <c r="C2" s="861"/>
      <c r="D2" s="862"/>
      <c r="E2" s="862"/>
      <c r="F2" s="862"/>
      <c r="G2" s="861"/>
      <c r="H2" s="861"/>
      <c r="I2" s="862"/>
      <c r="J2" s="861"/>
      <c r="K2" s="862"/>
      <c r="L2" s="862"/>
      <c r="M2" s="861"/>
      <c r="N2" s="861"/>
      <c r="O2" s="861"/>
      <c r="P2" s="861"/>
      <c r="Q2" s="862"/>
      <c r="R2" s="861"/>
      <c r="S2" s="861"/>
      <c r="T2" s="861"/>
    </row>
    <row r="3" spans="1:21" ht="12.75" customHeight="1">
      <c r="A3" s="2271" t="s">
        <v>1208</v>
      </c>
      <c r="B3" s="2272"/>
      <c r="C3" s="2272"/>
      <c r="D3" s="2272"/>
      <c r="E3" s="2272"/>
      <c r="F3" s="2272"/>
      <c r="G3" s="2272"/>
      <c r="H3" s="2272"/>
      <c r="I3" s="2272"/>
      <c r="J3" s="2272"/>
      <c r="K3" s="2272"/>
      <c r="L3" s="2272"/>
      <c r="M3" s="2272"/>
      <c r="N3" s="2272"/>
      <c r="O3" s="2272"/>
      <c r="P3" s="2272"/>
      <c r="Q3" s="2272"/>
      <c r="R3" s="2272"/>
      <c r="S3" s="2272"/>
      <c r="T3" s="2273"/>
    </row>
    <row r="4" spans="1:21" ht="24.75" customHeight="1">
      <c r="A4" s="2274"/>
      <c r="B4" s="2275"/>
      <c r="C4" s="2275"/>
      <c r="D4" s="2275"/>
      <c r="E4" s="2275"/>
      <c r="F4" s="2275"/>
      <c r="G4" s="2275"/>
      <c r="H4" s="2275"/>
      <c r="I4" s="2275"/>
      <c r="J4" s="2275"/>
      <c r="K4" s="2275"/>
      <c r="L4" s="2275"/>
      <c r="M4" s="2275"/>
      <c r="N4" s="2275"/>
      <c r="O4" s="2275"/>
      <c r="P4" s="2275"/>
      <c r="Q4" s="2275"/>
      <c r="R4" s="2275"/>
      <c r="S4" s="2275"/>
      <c r="T4" s="2276"/>
    </row>
    <row r="5" spans="1:21" ht="12" customHeight="1">
      <c r="A5" s="1780"/>
      <c r="B5" s="1781"/>
      <c r="C5" s="1781"/>
      <c r="D5" s="1781"/>
      <c r="E5" s="1781"/>
      <c r="F5" s="1781"/>
      <c r="G5" s="1781"/>
      <c r="H5" s="1781"/>
      <c r="I5" s="1781"/>
      <c r="J5" s="1781"/>
      <c r="K5" s="1781"/>
      <c r="L5" s="1781"/>
      <c r="M5" s="1781"/>
      <c r="N5" s="1781"/>
      <c r="O5" s="1781"/>
      <c r="P5" s="1781"/>
      <c r="Q5" s="1781"/>
      <c r="R5" s="1781"/>
      <c r="S5" s="1781"/>
      <c r="T5" s="1756"/>
    </row>
    <row r="6" spans="1:21" ht="12.75" customHeight="1">
      <c r="A6" s="2277" t="s">
        <v>1198</v>
      </c>
      <c r="B6" s="2278"/>
      <c r="C6" s="2278"/>
      <c r="D6" s="2278"/>
      <c r="E6" s="2278"/>
      <c r="F6" s="2278"/>
      <c r="G6" s="2278"/>
      <c r="H6" s="2278"/>
      <c r="I6" s="2278"/>
      <c r="J6" s="2278"/>
      <c r="K6" s="2278"/>
      <c r="L6" s="2278"/>
      <c r="M6" s="2278"/>
      <c r="N6" s="2278"/>
      <c r="O6" s="2278"/>
      <c r="P6" s="2278"/>
      <c r="Q6" s="2278"/>
      <c r="R6" s="2278"/>
      <c r="S6" s="2278"/>
      <c r="T6" s="2279"/>
    </row>
    <row r="7" spans="1:21" ht="24.6" customHeight="1">
      <c r="A7" s="2277"/>
      <c r="B7" s="2278"/>
      <c r="C7" s="2278"/>
      <c r="D7" s="2278"/>
      <c r="E7" s="2278"/>
      <c r="F7" s="2278"/>
      <c r="G7" s="2278"/>
      <c r="H7" s="2278"/>
      <c r="I7" s="2278"/>
      <c r="J7" s="2278"/>
      <c r="K7" s="2278"/>
      <c r="L7" s="2278"/>
      <c r="M7" s="2278"/>
      <c r="N7" s="2278"/>
      <c r="O7" s="2278"/>
      <c r="P7" s="2278"/>
      <c r="Q7" s="2278"/>
      <c r="R7" s="2278"/>
      <c r="S7" s="2278"/>
      <c r="T7" s="2279"/>
    </row>
    <row r="8" spans="1:21" ht="24.6" customHeight="1">
      <c r="A8" s="2277"/>
      <c r="B8" s="2278"/>
      <c r="C8" s="2278"/>
      <c r="D8" s="2278"/>
      <c r="E8" s="2278"/>
      <c r="F8" s="2278"/>
      <c r="G8" s="2278"/>
      <c r="H8" s="2278"/>
      <c r="I8" s="2278"/>
      <c r="J8" s="2278"/>
      <c r="K8" s="2278"/>
      <c r="L8" s="2278"/>
      <c r="M8" s="2278"/>
      <c r="N8" s="2278"/>
      <c r="O8" s="2278"/>
      <c r="P8" s="2278"/>
      <c r="Q8" s="2278"/>
      <c r="R8" s="2278"/>
      <c r="S8" s="2278"/>
      <c r="T8" s="2279"/>
    </row>
    <row r="9" spans="1:21" ht="24.6" customHeight="1">
      <c r="A9" s="2277"/>
      <c r="B9" s="2278"/>
      <c r="C9" s="2278"/>
      <c r="D9" s="2278"/>
      <c r="E9" s="2278"/>
      <c r="F9" s="2278"/>
      <c r="G9" s="2278"/>
      <c r="H9" s="2278"/>
      <c r="I9" s="2278"/>
      <c r="J9" s="2278"/>
      <c r="K9" s="2278"/>
      <c r="L9" s="2278"/>
      <c r="M9" s="2278"/>
      <c r="N9" s="2278"/>
      <c r="O9" s="2278"/>
      <c r="P9" s="2278"/>
      <c r="Q9" s="2278"/>
      <c r="R9" s="2278"/>
      <c r="S9" s="2278"/>
      <c r="T9" s="2279"/>
    </row>
    <row r="10" spans="1:21" ht="19.2" customHeight="1">
      <c r="A10" s="2277"/>
      <c r="B10" s="2278"/>
      <c r="C10" s="2278"/>
      <c r="D10" s="2278"/>
      <c r="E10" s="2278"/>
      <c r="F10" s="2278"/>
      <c r="G10" s="2278"/>
      <c r="H10" s="2278"/>
      <c r="I10" s="2278"/>
      <c r="J10" s="2278"/>
      <c r="K10" s="2278"/>
      <c r="L10" s="2278"/>
      <c r="M10" s="2278"/>
      <c r="N10" s="2278"/>
      <c r="O10" s="2278"/>
      <c r="P10" s="2278"/>
      <c r="Q10" s="2278"/>
      <c r="R10" s="2278"/>
      <c r="S10" s="2278"/>
      <c r="T10" s="2279"/>
    </row>
    <row r="11" spans="1:21">
      <c r="A11" s="2277"/>
      <c r="B11" s="2278"/>
      <c r="C11" s="2278"/>
      <c r="D11" s="2278"/>
      <c r="E11" s="2278"/>
      <c r="F11" s="2278"/>
      <c r="G11" s="2278"/>
      <c r="H11" s="2278"/>
      <c r="I11" s="2278"/>
      <c r="J11" s="2278"/>
      <c r="K11" s="2278"/>
      <c r="L11" s="2278"/>
      <c r="M11" s="2278"/>
      <c r="N11" s="2278"/>
      <c r="O11" s="2278"/>
      <c r="P11" s="2278"/>
      <c r="Q11" s="2278"/>
      <c r="R11" s="2278"/>
      <c r="S11" s="2278"/>
      <c r="T11" s="2279"/>
    </row>
    <row r="12" spans="1:21">
      <c r="A12" s="2277"/>
      <c r="B12" s="2278"/>
      <c r="C12" s="2278"/>
      <c r="D12" s="2278"/>
      <c r="E12" s="2278"/>
      <c r="F12" s="2278"/>
      <c r="G12" s="2278"/>
      <c r="H12" s="2278"/>
      <c r="I12" s="2278"/>
      <c r="J12" s="2278"/>
      <c r="K12" s="2278"/>
      <c r="L12" s="2278"/>
      <c r="M12" s="2278"/>
      <c r="N12" s="2278"/>
      <c r="O12" s="2278"/>
      <c r="P12" s="2278"/>
      <c r="Q12" s="2278"/>
      <c r="R12" s="2278"/>
      <c r="S12" s="2278"/>
      <c r="T12" s="2279"/>
    </row>
    <row r="13" spans="1:21">
      <c r="A13" s="2277"/>
      <c r="B13" s="2278"/>
      <c r="C13" s="2278"/>
      <c r="D13" s="2278"/>
      <c r="E13" s="2278"/>
      <c r="F13" s="2278"/>
      <c r="G13" s="2278"/>
      <c r="H13" s="2278"/>
      <c r="I13" s="2278"/>
      <c r="J13" s="2278"/>
      <c r="K13" s="2278"/>
      <c r="L13" s="2278"/>
      <c r="M13" s="2278"/>
      <c r="N13" s="2278"/>
      <c r="O13" s="2278"/>
      <c r="P13" s="2278"/>
      <c r="Q13" s="2278"/>
      <c r="R13" s="2278"/>
      <c r="S13" s="2278"/>
      <c r="T13" s="2279"/>
    </row>
    <row r="14" spans="1:21" ht="1.5" customHeight="1">
      <c r="A14" s="2277"/>
      <c r="B14" s="2278"/>
      <c r="C14" s="2278"/>
      <c r="D14" s="2278"/>
      <c r="E14" s="2278"/>
      <c r="F14" s="2278"/>
      <c r="G14" s="2278"/>
      <c r="H14" s="2278"/>
      <c r="I14" s="2278"/>
      <c r="J14" s="2278"/>
      <c r="K14" s="2278"/>
      <c r="L14" s="2278"/>
      <c r="M14" s="2278"/>
      <c r="N14" s="2278"/>
      <c r="O14" s="2278"/>
      <c r="P14" s="2278"/>
      <c r="Q14" s="2278"/>
      <c r="R14" s="2278"/>
      <c r="S14" s="2278"/>
      <c r="T14" s="2279"/>
    </row>
    <row r="15" spans="1:21" ht="45.75" hidden="1" customHeight="1">
      <c r="A15" s="2277"/>
      <c r="B15" s="2278"/>
      <c r="C15" s="2278"/>
      <c r="D15" s="2278"/>
      <c r="E15" s="2278"/>
      <c r="F15" s="2278"/>
      <c r="G15" s="2278"/>
      <c r="H15" s="2278"/>
      <c r="I15" s="2278"/>
      <c r="J15" s="2278"/>
      <c r="K15" s="2278"/>
      <c r="L15" s="2278"/>
      <c r="M15" s="2278"/>
      <c r="N15" s="2278"/>
      <c r="O15" s="2278"/>
      <c r="P15" s="2278"/>
      <c r="Q15" s="2278"/>
      <c r="R15" s="2278"/>
      <c r="S15" s="2278"/>
      <c r="T15" s="2279"/>
    </row>
    <row r="16" spans="1:21" ht="3.75" hidden="1" customHeight="1">
      <c r="A16" s="2277"/>
      <c r="B16" s="2278"/>
      <c r="C16" s="2278"/>
      <c r="D16" s="2278"/>
      <c r="E16" s="2278"/>
      <c r="F16" s="2278"/>
      <c r="G16" s="2278"/>
      <c r="H16" s="2278"/>
      <c r="I16" s="2278"/>
      <c r="J16" s="2278"/>
      <c r="K16" s="2278"/>
      <c r="L16" s="2278"/>
      <c r="M16" s="2278"/>
      <c r="N16" s="2278"/>
      <c r="O16" s="2278"/>
      <c r="P16" s="2278"/>
      <c r="Q16" s="2278"/>
      <c r="R16" s="2278"/>
      <c r="S16" s="2278"/>
      <c r="T16" s="2279"/>
    </row>
    <row r="17" spans="1:20" ht="12.75" hidden="1" customHeight="1">
      <c r="A17" s="2277"/>
      <c r="B17" s="2278"/>
      <c r="C17" s="2278"/>
      <c r="D17" s="2278"/>
      <c r="E17" s="2278"/>
      <c r="F17" s="2278"/>
      <c r="G17" s="2278"/>
      <c r="H17" s="2278"/>
      <c r="I17" s="2278"/>
      <c r="J17" s="2278"/>
      <c r="K17" s="2278"/>
      <c r="L17" s="2278"/>
      <c r="M17" s="2278"/>
      <c r="N17" s="2278"/>
      <c r="O17" s="2278"/>
      <c r="P17" s="2278"/>
      <c r="Q17" s="2278"/>
      <c r="R17" s="2278"/>
      <c r="S17" s="2278"/>
      <c r="T17" s="2279"/>
    </row>
    <row r="18" spans="1:20" ht="12.75" hidden="1" customHeight="1">
      <c r="A18" s="2277"/>
      <c r="B18" s="2278"/>
      <c r="C18" s="2278"/>
      <c r="D18" s="2278"/>
      <c r="E18" s="2278"/>
      <c r="F18" s="2278"/>
      <c r="G18" s="2278"/>
      <c r="H18" s="2278"/>
      <c r="I18" s="2278"/>
      <c r="J18" s="2278"/>
      <c r="K18" s="2278"/>
      <c r="L18" s="2278"/>
      <c r="M18" s="2278"/>
      <c r="N18" s="2278"/>
      <c r="O18" s="2278"/>
      <c r="P18" s="2278"/>
      <c r="Q18" s="2278"/>
      <c r="R18" s="2278"/>
      <c r="S18" s="2278"/>
      <c r="T18" s="2279"/>
    </row>
    <row r="19" spans="1:20">
      <c r="A19" s="2277"/>
      <c r="B19" s="2278"/>
      <c r="C19" s="2278"/>
      <c r="D19" s="2278"/>
      <c r="E19" s="2278"/>
      <c r="F19" s="2278"/>
      <c r="G19" s="2278"/>
      <c r="H19" s="2278"/>
      <c r="I19" s="2278"/>
      <c r="J19" s="2278"/>
      <c r="K19" s="2278"/>
      <c r="L19" s="2278"/>
      <c r="M19" s="2278"/>
      <c r="N19" s="2278"/>
      <c r="O19" s="2278"/>
      <c r="P19" s="2278"/>
      <c r="Q19" s="2278"/>
      <c r="R19" s="2278"/>
      <c r="S19" s="2278"/>
      <c r="T19" s="2279"/>
    </row>
    <row r="20" spans="1:20" ht="12.75" hidden="1" customHeight="1">
      <c r="A20" s="2277"/>
      <c r="B20" s="2278"/>
      <c r="C20" s="2278"/>
      <c r="D20" s="2278"/>
      <c r="E20" s="2278"/>
      <c r="F20" s="2278"/>
      <c r="G20" s="2278"/>
      <c r="H20" s="2278"/>
      <c r="I20" s="2278"/>
      <c r="J20" s="2278"/>
      <c r="K20" s="2278"/>
      <c r="L20" s="2278"/>
      <c r="M20" s="2278"/>
      <c r="N20" s="2278"/>
      <c r="O20" s="2278"/>
      <c r="P20" s="2278"/>
      <c r="Q20" s="2278"/>
      <c r="R20" s="2278"/>
      <c r="S20" s="2278"/>
      <c r="T20" s="2279"/>
    </row>
    <row r="21" spans="1:20" ht="19.5" hidden="1" customHeight="1">
      <c r="A21" s="2277"/>
      <c r="B21" s="2278"/>
      <c r="C21" s="2278"/>
      <c r="D21" s="2278"/>
      <c r="E21" s="2278"/>
      <c r="F21" s="2278"/>
      <c r="G21" s="2278"/>
      <c r="H21" s="2278"/>
      <c r="I21" s="2278"/>
      <c r="J21" s="2278"/>
      <c r="K21" s="2278"/>
      <c r="L21" s="2278"/>
      <c r="M21" s="2278"/>
      <c r="N21" s="2278"/>
      <c r="O21" s="2278"/>
      <c r="P21" s="2278"/>
      <c r="Q21" s="2278"/>
      <c r="R21" s="2278"/>
      <c r="S21" s="2278"/>
      <c r="T21" s="2279"/>
    </row>
    <row r="22" spans="1:20" ht="4.5" hidden="1" customHeight="1">
      <c r="A22" s="1782"/>
      <c r="B22" s="1767"/>
      <c r="C22" s="1767"/>
      <c r="D22" s="1767"/>
      <c r="E22" s="1767"/>
      <c r="F22" s="1767"/>
      <c r="G22" s="1767"/>
      <c r="H22" s="1767"/>
      <c r="I22" s="1767"/>
      <c r="J22" s="1767" t="s">
        <v>342</v>
      </c>
      <c r="K22" s="1767"/>
      <c r="L22" s="1767"/>
      <c r="M22" s="1767"/>
      <c r="N22" s="1767"/>
      <c r="O22" s="1767"/>
      <c r="P22" s="1767"/>
      <c r="Q22" s="1767"/>
      <c r="R22" s="1767"/>
      <c r="S22" s="1767"/>
      <c r="T22" s="1759"/>
    </row>
    <row r="23" spans="1:20" ht="12.75" customHeight="1">
      <c r="A23" s="2280" t="s">
        <v>1197</v>
      </c>
      <c r="B23" s="2281"/>
      <c r="C23" s="2281"/>
      <c r="D23" s="2281"/>
      <c r="E23" s="2281"/>
      <c r="F23" s="2281"/>
      <c r="G23" s="2281"/>
      <c r="H23" s="2281"/>
      <c r="I23" s="2281"/>
      <c r="J23" s="2281"/>
      <c r="K23" s="2281"/>
      <c r="L23" s="2281"/>
      <c r="M23" s="2281"/>
      <c r="N23" s="2281"/>
      <c r="O23" s="2281"/>
      <c r="P23" s="2281"/>
      <c r="Q23" s="2281"/>
      <c r="R23" s="2281"/>
      <c r="S23" s="2281"/>
      <c r="T23" s="2282"/>
    </row>
    <row r="24" spans="1:20" ht="13.8">
      <c r="A24" s="1783"/>
      <c r="B24" s="1784"/>
      <c r="C24" s="1784"/>
      <c r="D24" s="1784"/>
      <c r="E24" s="1784"/>
      <c r="F24" s="1784"/>
      <c r="G24" s="1784"/>
      <c r="H24" s="1784"/>
      <c r="I24" s="1784"/>
      <c r="J24" s="1784"/>
      <c r="K24" s="1784"/>
      <c r="L24" s="1784"/>
      <c r="M24" s="1784"/>
      <c r="N24" s="1784"/>
      <c r="O24" s="1784"/>
      <c r="P24" s="1784"/>
      <c r="Q24" s="1784"/>
      <c r="R24" s="1784"/>
      <c r="S24" s="1784"/>
      <c r="T24" s="1785"/>
    </row>
    <row r="25" spans="1:20" ht="17.399999999999999" customHeight="1">
      <c r="A25" s="2277" t="s">
        <v>1200</v>
      </c>
      <c r="B25" s="2278"/>
      <c r="C25" s="2278"/>
      <c r="D25" s="2278"/>
      <c r="E25" s="2278"/>
      <c r="F25" s="2278"/>
      <c r="G25" s="2278"/>
      <c r="H25" s="2278"/>
      <c r="I25" s="2278"/>
      <c r="J25" s="2278"/>
      <c r="K25" s="2278"/>
      <c r="L25" s="2278"/>
      <c r="M25" s="2278"/>
      <c r="N25" s="2278"/>
      <c r="O25" s="2278"/>
      <c r="P25" s="2278"/>
      <c r="Q25" s="2278"/>
      <c r="R25" s="2278"/>
      <c r="S25" s="2278"/>
      <c r="T25" s="2279"/>
    </row>
    <row r="26" spans="1:20" ht="27" customHeight="1">
      <c r="A26" s="2277"/>
      <c r="B26" s="2278"/>
      <c r="C26" s="2278"/>
      <c r="D26" s="2278"/>
      <c r="E26" s="2278"/>
      <c r="F26" s="2278"/>
      <c r="G26" s="2278"/>
      <c r="H26" s="2278"/>
      <c r="I26" s="2278"/>
      <c r="J26" s="2278"/>
      <c r="K26" s="2278"/>
      <c r="L26" s="2278"/>
      <c r="M26" s="2278"/>
      <c r="N26" s="2278"/>
      <c r="O26" s="2278"/>
      <c r="P26" s="2278"/>
      <c r="Q26" s="2278"/>
      <c r="R26" s="2278"/>
      <c r="S26" s="2278"/>
      <c r="T26" s="2279"/>
    </row>
    <row r="27" spans="1:20">
      <c r="A27" s="2277"/>
      <c r="B27" s="2278"/>
      <c r="C27" s="2278"/>
      <c r="D27" s="2278"/>
      <c r="E27" s="2278"/>
      <c r="F27" s="2278"/>
      <c r="G27" s="2278"/>
      <c r="H27" s="2278"/>
      <c r="I27" s="2278"/>
      <c r="J27" s="2278"/>
      <c r="K27" s="2278"/>
      <c r="L27" s="2278"/>
      <c r="M27" s="2278"/>
      <c r="N27" s="2278"/>
      <c r="O27" s="2278"/>
      <c r="P27" s="2278"/>
      <c r="Q27" s="2278"/>
      <c r="R27" s="2278"/>
      <c r="S27" s="2278"/>
      <c r="T27" s="2279"/>
    </row>
    <row r="28" spans="1:20">
      <c r="A28" s="2277"/>
      <c r="B28" s="2278"/>
      <c r="C28" s="2278"/>
      <c r="D28" s="2278"/>
      <c r="E28" s="2278"/>
      <c r="F28" s="2278"/>
      <c r="G28" s="2278"/>
      <c r="H28" s="2278"/>
      <c r="I28" s="2278"/>
      <c r="J28" s="2278"/>
      <c r="K28" s="2278"/>
      <c r="L28" s="2278"/>
      <c r="M28" s="2278"/>
      <c r="N28" s="2278"/>
      <c r="O28" s="2278"/>
      <c r="P28" s="2278"/>
      <c r="Q28" s="2278"/>
      <c r="R28" s="2278"/>
      <c r="S28" s="2278"/>
      <c r="T28" s="2279"/>
    </row>
    <row r="29" spans="1:20" ht="15" customHeight="1">
      <c r="A29" s="2277"/>
      <c r="B29" s="2278"/>
      <c r="C29" s="2278"/>
      <c r="D29" s="2278"/>
      <c r="E29" s="2278"/>
      <c r="F29" s="2278"/>
      <c r="G29" s="2278"/>
      <c r="H29" s="2278"/>
      <c r="I29" s="2278"/>
      <c r="J29" s="2278"/>
      <c r="K29" s="2278"/>
      <c r="L29" s="2278"/>
      <c r="M29" s="2278"/>
      <c r="N29" s="2278"/>
      <c r="O29" s="2278"/>
      <c r="P29" s="2278"/>
      <c r="Q29" s="2278"/>
      <c r="R29" s="2278"/>
      <c r="S29" s="2278"/>
      <c r="T29" s="2279"/>
    </row>
    <row r="30" spans="1:20" ht="7.95" customHeight="1">
      <c r="A30" s="2277"/>
      <c r="B30" s="2278"/>
      <c r="C30" s="2278"/>
      <c r="D30" s="2278"/>
      <c r="E30" s="2278"/>
      <c r="F30" s="2278"/>
      <c r="G30" s="2278"/>
      <c r="H30" s="2278"/>
      <c r="I30" s="2278"/>
      <c r="J30" s="2278"/>
      <c r="K30" s="2278"/>
      <c r="L30" s="2278"/>
      <c r="M30" s="2278"/>
      <c r="N30" s="2278"/>
      <c r="O30" s="2278"/>
      <c r="P30" s="2278"/>
      <c r="Q30" s="2278"/>
      <c r="R30" s="2278"/>
      <c r="S30" s="2278"/>
      <c r="T30" s="2279"/>
    </row>
    <row r="31" spans="1:20">
      <c r="A31" s="2277"/>
      <c r="B31" s="2278"/>
      <c r="C31" s="2278"/>
      <c r="D31" s="2278"/>
      <c r="E31" s="2278"/>
      <c r="F31" s="2278"/>
      <c r="G31" s="2278"/>
      <c r="H31" s="2278"/>
      <c r="I31" s="2278"/>
      <c r="J31" s="2278"/>
      <c r="K31" s="2278"/>
      <c r="L31" s="2278"/>
      <c r="M31" s="2278"/>
      <c r="N31" s="2278"/>
      <c r="O31" s="2278"/>
      <c r="P31" s="2278"/>
      <c r="Q31" s="2278"/>
      <c r="R31" s="2278"/>
      <c r="S31" s="2278"/>
      <c r="T31" s="2279"/>
    </row>
    <row r="32" spans="1:20" ht="15" customHeight="1">
      <c r="A32" s="2274"/>
      <c r="B32" s="2275"/>
      <c r="C32" s="2275"/>
      <c r="D32" s="2275"/>
      <c r="E32" s="2275"/>
      <c r="F32" s="2275"/>
      <c r="G32" s="2275"/>
      <c r="H32" s="2275"/>
      <c r="I32" s="2275"/>
      <c r="J32" s="2275"/>
      <c r="K32" s="2275"/>
      <c r="L32" s="2275"/>
      <c r="M32" s="2275"/>
      <c r="N32" s="2275"/>
      <c r="O32" s="2275"/>
      <c r="P32" s="2275"/>
      <c r="Q32" s="2275"/>
      <c r="R32" s="2275"/>
      <c r="S32" s="2275"/>
      <c r="T32" s="2276"/>
    </row>
    <row r="33" spans="1:20" ht="9.75" customHeight="1">
      <c r="A33" s="856"/>
      <c r="B33" s="866"/>
      <c r="C33" s="866"/>
      <c r="D33" s="866"/>
      <c r="E33" s="866"/>
      <c r="F33" s="866"/>
      <c r="G33" s="866"/>
      <c r="H33" s="866"/>
      <c r="I33" s="866"/>
      <c r="J33" s="866" t="s">
        <v>342</v>
      </c>
      <c r="K33" s="866"/>
      <c r="L33" s="866"/>
      <c r="M33" s="866"/>
      <c r="N33" s="866"/>
      <c r="O33" s="866"/>
      <c r="P33" s="866"/>
      <c r="Q33" s="866"/>
      <c r="R33" s="866"/>
      <c r="S33" s="866"/>
      <c r="T33" s="867"/>
    </row>
    <row r="34" spans="1:20" ht="18.75" customHeight="1">
      <c r="A34" s="820"/>
      <c r="B34" s="2246"/>
      <c r="C34" s="2247"/>
      <c r="D34" s="2246"/>
      <c r="E34" s="2246"/>
      <c r="F34" s="2246"/>
      <c r="G34" s="2246"/>
      <c r="H34" s="822"/>
      <c r="I34" s="868"/>
      <c r="J34" s="1417" t="s">
        <v>1162</v>
      </c>
      <c r="K34" s="1751"/>
      <c r="L34" s="1418"/>
      <c r="M34" s="1419"/>
      <c r="N34" s="1418"/>
      <c r="O34" s="1418"/>
      <c r="P34" s="1418"/>
      <c r="Q34" s="1418"/>
      <c r="R34" s="1418"/>
      <c r="S34" s="1418"/>
      <c r="T34" s="1752"/>
    </row>
    <row r="35" spans="1:20">
      <c r="A35" s="989" t="s">
        <v>1163</v>
      </c>
      <c r="B35" s="823"/>
      <c r="C35" s="823"/>
      <c r="D35" s="823"/>
      <c r="E35" s="823"/>
      <c r="F35" s="823"/>
      <c r="G35" s="823"/>
      <c r="H35" s="297"/>
      <c r="I35" s="823"/>
      <c r="J35" s="984"/>
      <c r="K35" s="823"/>
      <c r="L35" s="823"/>
      <c r="M35" s="823"/>
      <c r="N35" s="823"/>
      <c r="O35" s="823"/>
      <c r="P35" s="823"/>
      <c r="Q35" s="823"/>
      <c r="R35" s="823"/>
      <c r="S35" s="866"/>
      <c r="T35" s="867"/>
    </row>
    <row r="36" spans="1:20" ht="27" customHeight="1">
      <c r="A36" s="1275"/>
      <c r="B36" s="982"/>
      <c r="C36" s="982"/>
      <c r="D36" s="982"/>
      <c r="E36" s="982"/>
      <c r="F36" s="982"/>
      <c r="G36" s="982"/>
      <c r="H36" s="869"/>
      <c r="I36" s="870"/>
      <c r="J36" s="990"/>
      <c r="K36" s="2251" t="s">
        <v>161</v>
      </c>
      <c r="L36" s="2252"/>
      <c r="M36" s="2252"/>
      <c r="N36" s="2253"/>
      <c r="O36" s="963"/>
      <c r="P36" s="2248" t="s">
        <v>160</v>
      </c>
      <c r="Q36" s="2249"/>
      <c r="R36" s="2249"/>
      <c r="S36" s="2250"/>
      <c r="T36" s="829"/>
    </row>
    <row r="37" spans="1:20" ht="15.75" customHeight="1">
      <c r="A37" s="984"/>
      <c r="B37" s="815"/>
      <c r="C37" s="2254" t="s">
        <v>1205</v>
      </c>
      <c r="D37" s="2255"/>
      <c r="E37" s="2255"/>
      <c r="F37" s="2256"/>
      <c r="G37" s="825"/>
      <c r="H37" s="869"/>
      <c r="I37" s="870"/>
      <c r="J37" s="980" t="s">
        <v>692</v>
      </c>
      <c r="K37" s="979" t="s">
        <v>159</v>
      </c>
      <c r="L37" s="979" t="s">
        <v>520</v>
      </c>
      <c r="M37" s="979" t="s">
        <v>521</v>
      </c>
      <c r="N37" s="979" t="s">
        <v>522</v>
      </c>
      <c r="O37" s="963"/>
      <c r="P37" s="1420" t="s">
        <v>159</v>
      </c>
      <c r="Q37" s="1421" t="s">
        <v>520</v>
      </c>
      <c r="R37" s="1421" t="s">
        <v>521</v>
      </c>
      <c r="S37" s="1422" t="s">
        <v>522</v>
      </c>
      <c r="T37" s="967"/>
    </row>
    <row r="38" spans="1:20" ht="15.75" customHeight="1">
      <c r="A38" s="984"/>
      <c r="B38" s="815"/>
      <c r="C38" s="2240" t="s">
        <v>160</v>
      </c>
      <c r="D38" s="2241"/>
      <c r="E38" s="2241"/>
      <c r="F38" s="2242"/>
      <c r="G38" s="825"/>
      <c r="H38" s="826"/>
      <c r="I38" s="870"/>
      <c r="J38" s="966" t="s">
        <v>1164</v>
      </c>
      <c r="K38" s="974">
        <v>42988</v>
      </c>
      <c r="L38" s="974">
        <f>K38/12*2</f>
        <v>7164.666666666667</v>
      </c>
      <c r="M38" s="974">
        <f>L38</f>
        <v>7164.666666666667</v>
      </c>
      <c r="N38" s="974">
        <v>0</v>
      </c>
      <c r="O38" s="952"/>
      <c r="P38" s="1423">
        <v>40939.852880374769</v>
      </c>
      <c r="Q38" s="1424">
        <f>P38/12*2</f>
        <v>6823.3088133957945</v>
      </c>
      <c r="R38" s="1424">
        <f>Q38</f>
        <v>6823.3088133957945</v>
      </c>
      <c r="S38" s="1425">
        <f>R38-Q38</f>
        <v>0</v>
      </c>
      <c r="T38" s="967"/>
    </row>
    <row r="39" spans="1:20" ht="15.75" customHeight="1">
      <c r="A39" s="1247"/>
      <c r="B39" s="815"/>
      <c r="C39" s="1426" t="s">
        <v>159</v>
      </c>
      <c r="D39" s="1426" t="s">
        <v>520</v>
      </c>
      <c r="E39" s="1426" t="s">
        <v>521</v>
      </c>
      <c r="F39" s="1426" t="s">
        <v>522</v>
      </c>
      <c r="G39" s="825"/>
      <c r="H39" s="826"/>
      <c r="I39" s="870"/>
      <c r="J39" s="966" t="s">
        <v>1165</v>
      </c>
      <c r="K39" s="964">
        <v>16234</v>
      </c>
      <c r="L39" s="964">
        <f t="shared" ref="L39:L55" si="0">K39/12*2</f>
        <v>2705.6666666666665</v>
      </c>
      <c r="M39" s="964">
        <f t="shared" ref="M39:M55" si="1">L39</f>
        <v>2705.6666666666665</v>
      </c>
      <c r="N39" s="964">
        <v>0</v>
      </c>
      <c r="O39" s="963"/>
      <c r="P39" s="1427">
        <v>47391.531211474379</v>
      </c>
      <c r="Q39" s="1428">
        <f t="shared" ref="Q39:Q58" si="2">P39/12*2</f>
        <v>7898.5885352457299</v>
      </c>
      <c r="R39" s="1428">
        <f t="shared" ref="R39:R58" si="3">Q39</f>
        <v>7898.5885352457299</v>
      </c>
      <c r="S39" s="1429">
        <f t="shared" ref="S39:S58" si="4">R39-Q39</f>
        <v>0</v>
      </c>
      <c r="T39" s="967"/>
    </row>
    <row r="40" spans="1:20" ht="15.75" customHeight="1">
      <c r="A40" s="1755" t="s">
        <v>158</v>
      </c>
      <c r="B40" s="1756"/>
      <c r="C40" s="1757">
        <v>137578.55726456124</v>
      </c>
      <c r="D40" s="1757">
        <f>C40/12*2</f>
        <v>22929.75954409354</v>
      </c>
      <c r="E40" s="1757">
        <f>D40</f>
        <v>22929.75954409354</v>
      </c>
      <c r="F40" s="1757">
        <f>E40-D40</f>
        <v>0</v>
      </c>
      <c r="G40" s="825"/>
      <c r="H40" s="827"/>
      <c r="I40" s="828"/>
      <c r="J40" s="970" t="s">
        <v>1166</v>
      </c>
      <c r="K40" s="969">
        <v>42095</v>
      </c>
      <c r="L40" s="969">
        <f t="shared" si="0"/>
        <v>7015.833333333333</v>
      </c>
      <c r="M40" s="969">
        <f t="shared" si="1"/>
        <v>7015.833333333333</v>
      </c>
      <c r="N40" s="969">
        <v>0</v>
      </c>
      <c r="O40" s="968"/>
      <c r="P40" s="1427">
        <v>95016.892918554091</v>
      </c>
      <c r="Q40" s="1428">
        <f t="shared" si="2"/>
        <v>15836.148819759015</v>
      </c>
      <c r="R40" s="1428">
        <f t="shared" si="3"/>
        <v>15836.148819759015</v>
      </c>
      <c r="S40" s="1429">
        <f t="shared" si="4"/>
        <v>0</v>
      </c>
      <c r="T40" s="967"/>
    </row>
    <row r="41" spans="1:20" ht="15.75" customHeight="1">
      <c r="A41" s="1758" t="s">
        <v>59</v>
      </c>
      <c r="B41" s="1759"/>
      <c r="C41" s="1760">
        <v>13707.713161656966</v>
      </c>
      <c r="D41" s="1760">
        <f t="shared" ref="D41:D50" si="5">C41/12*2</f>
        <v>2284.6188602761608</v>
      </c>
      <c r="E41" s="1760">
        <f t="shared" ref="E41:E47" si="6">D41</f>
        <v>2284.6188602761608</v>
      </c>
      <c r="F41" s="1760">
        <f t="shared" ref="F41:F47" si="7">E41-D41</f>
        <v>0</v>
      </c>
      <c r="G41" s="825"/>
      <c r="H41" s="827"/>
      <c r="I41" s="828"/>
      <c r="J41" s="970" t="s">
        <v>1167</v>
      </c>
      <c r="K41" s="969">
        <v>5234</v>
      </c>
      <c r="L41" s="969">
        <f t="shared" si="0"/>
        <v>872.33333333333337</v>
      </c>
      <c r="M41" s="969">
        <f t="shared" si="1"/>
        <v>872.33333333333337</v>
      </c>
      <c r="N41" s="969">
        <v>0</v>
      </c>
      <c r="O41" s="968"/>
      <c r="P41" s="1427">
        <v>3319.0754780162588</v>
      </c>
      <c r="Q41" s="1428">
        <f t="shared" si="2"/>
        <v>553.17924633604309</v>
      </c>
      <c r="R41" s="1428">
        <f t="shared" si="3"/>
        <v>553.17924633604309</v>
      </c>
      <c r="S41" s="1429">
        <f t="shared" si="4"/>
        <v>0</v>
      </c>
      <c r="T41" s="967"/>
    </row>
    <row r="42" spans="1:20" ht="15.75" customHeight="1">
      <c r="A42" s="1758" t="s">
        <v>56</v>
      </c>
      <c r="B42" s="1759"/>
      <c r="C42" s="1760">
        <v>3247.2318044982098</v>
      </c>
      <c r="D42" s="1760">
        <f t="shared" si="5"/>
        <v>541.20530074970168</v>
      </c>
      <c r="E42" s="1760">
        <f t="shared" si="6"/>
        <v>541.20530074970168</v>
      </c>
      <c r="F42" s="1760">
        <f t="shared" si="7"/>
        <v>0</v>
      </c>
      <c r="G42" s="825"/>
      <c r="H42" s="829"/>
      <c r="I42" s="828"/>
      <c r="J42" s="966" t="s">
        <v>526</v>
      </c>
      <c r="K42" s="965">
        <v>8602</v>
      </c>
      <c r="L42" s="965">
        <f t="shared" si="0"/>
        <v>1433.6666666666667</v>
      </c>
      <c r="M42" s="964">
        <f t="shared" si="1"/>
        <v>1433.6666666666667</v>
      </c>
      <c r="N42" s="964">
        <v>0</v>
      </c>
      <c r="O42" s="963"/>
      <c r="P42" s="1427">
        <v>6662.9904256185046</v>
      </c>
      <c r="Q42" s="1428">
        <f t="shared" si="2"/>
        <v>1110.4984042697508</v>
      </c>
      <c r="R42" s="1428">
        <f t="shared" si="3"/>
        <v>1110.4984042697508</v>
      </c>
      <c r="S42" s="1429">
        <f t="shared" si="4"/>
        <v>0</v>
      </c>
      <c r="T42" s="967"/>
    </row>
    <row r="43" spans="1:20" ht="15.75" customHeight="1">
      <c r="A43" s="1758" t="s">
        <v>58</v>
      </c>
      <c r="B43" s="1759"/>
      <c r="C43" s="1760">
        <v>9400.9249345065182</v>
      </c>
      <c r="D43" s="1760">
        <f t="shared" si="5"/>
        <v>1566.8208224177531</v>
      </c>
      <c r="E43" s="1760">
        <f t="shared" si="6"/>
        <v>1566.8208224177531</v>
      </c>
      <c r="F43" s="1760">
        <f t="shared" si="7"/>
        <v>0</v>
      </c>
      <c r="G43" s="825"/>
      <c r="H43" s="867"/>
      <c r="I43" s="866"/>
      <c r="J43" s="954" t="s">
        <v>1168</v>
      </c>
      <c r="K43" s="1761" t="s">
        <v>1156</v>
      </c>
      <c r="L43" s="1761" t="s">
        <v>1156</v>
      </c>
      <c r="M43" s="1761" t="str">
        <f t="shared" si="1"/>
        <v>N/A</v>
      </c>
      <c r="N43" s="953">
        <v>0</v>
      </c>
      <c r="O43" s="952"/>
      <c r="P43" s="1427">
        <v>515.7091274716696</v>
      </c>
      <c r="Q43" s="1428">
        <f t="shared" si="2"/>
        <v>85.951521245278272</v>
      </c>
      <c r="R43" s="1428">
        <f t="shared" si="3"/>
        <v>85.951521245278272</v>
      </c>
      <c r="S43" s="1429">
        <f t="shared" si="4"/>
        <v>0</v>
      </c>
      <c r="T43" s="962"/>
    </row>
    <row r="44" spans="1:20" ht="15.75" customHeight="1">
      <c r="A44" s="1758" t="s">
        <v>57</v>
      </c>
      <c r="B44" s="1759"/>
      <c r="C44" s="1760">
        <v>2818.8044533515799</v>
      </c>
      <c r="D44" s="1760">
        <f t="shared" si="5"/>
        <v>469.80074222526332</v>
      </c>
      <c r="E44" s="1760">
        <f t="shared" si="6"/>
        <v>469.80074222526332</v>
      </c>
      <c r="F44" s="1760">
        <f t="shared" si="7"/>
        <v>0</v>
      </c>
      <c r="G44" s="825"/>
      <c r="H44" s="831"/>
      <c r="I44" s="828"/>
      <c r="J44" s="951" t="s">
        <v>1169</v>
      </c>
      <c r="K44" s="1762" t="s">
        <v>1156</v>
      </c>
      <c r="L44" s="1762" t="s">
        <v>1156</v>
      </c>
      <c r="M44" s="1762" t="str">
        <f t="shared" si="1"/>
        <v>N/A</v>
      </c>
      <c r="N44" s="950">
        <v>0</v>
      </c>
      <c r="O44" s="958"/>
      <c r="P44" s="1427">
        <v>843.48638433636825</v>
      </c>
      <c r="Q44" s="1428">
        <f t="shared" si="2"/>
        <v>140.58106405606136</v>
      </c>
      <c r="R44" s="1428">
        <f t="shared" si="3"/>
        <v>140.58106405606136</v>
      </c>
      <c r="S44" s="1429">
        <f t="shared" si="4"/>
        <v>0</v>
      </c>
      <c r="T44" s="940"/>
    </row>
    <row r="45" spans="1:20" ht="15.75" customHeight="1">
      <c r="A45" s="1758" t="s">
        <v>60</v>
      </c>
      <c r="B45" s="1759"/>
      <c r="C45" s="1760">
        <v>47342.528035919648</v>
      </c>
      <c r="D45" s="1760">
        <f t="shared" si="5"/>
        <v>7890.4213393199416</v>
      </c>
      <c r="E45" s="1760">
        <f t="shared" si="6"/>
        <v>7890.4213393199416</v>
      </c>
      <c r="F45" s="1760">
        <f t="shared" si="7"/>
        <v>0</v>
      </c>
      <c r="G45" s="825"/>
      <c r="H45" s="833"/>
      <c r="I45" s="828"/>
      <c r="J45" s="954" t="s">
        <v>1170</v>
      </c>
      <c r="K45" s="950">
        <v>171328</v>
      </c>
      <c r="L45" s="950">
        <f t="shared" si="0"/>
        <v>28554.666666666668</v>
      </c>
      <c r="M45" s="950">
        <f t="shared" si="1"/>
        <v>28554.666666666668</v>
      </c>
      <c r="N45" s="950">
        <v>0</v>
      </c>
      <c r="O45" s="958"/>
      <c r="P45" s="1427">
        <v>25576.231222393737</v>
      </c>
      <c r="Q45" s="1428">
        <f t="shared" si="2"/>
        <v>4262.7052037322892</v>
      </c>
      <c r="R45" s="1428">
        <f t="shared" si="3"/>
        <v>4262.7052037322892</v>
      </c>
      <c r="S45" s="1429">
        <f t="shared" si="4"/>
        <v>0</v>
      </c>
      <c r="T45" s="940"/>
    </row>
    <row r="46" spans="1:20" ht="15.75" customHeight="1">
      <c r="A46" s="1758" t="s">
        <v>157</v>
      </c>
      <c r="B46" s="1759"/>
      <c r="C46" s="1760">
        <v>66358.404720086488</v>
      </c>
      <c r="D46" s="1760">
        <f t="shared" si="5"/>
        <v>11059.734120014415</v>
      </c>
      <c r="E46" s="1760">
        <f t="shared" si="6"/>
        <v>11059.734120014415</v>
      </c>
      <c r="F46" s="1760">
        <f t="shared" si="7"/>
        <v>0</v>
      </c>
      <c r="G46" s="825"/>
      <c r="H46" s="833"/>
      <c r="I46" s="171"/>
      <c r="J46" s="951" t="s">
        <v>1171</v>
      </c>
      <c r="K46" s="950">
        <v>338126</v>
      </c>
      <c r="L46" s="950">
        <f t="shared" si="0"/>
        <v>56354.333333333336</v>
      </c>
      <c r="M46" s="950">
        <f t="shared" si="1"/>
        <v>56354.333333333336</v>
      </c>
      <c r="N46" s="950">
        <v>0</v>
      </c>
      <c r="O46" s="958"/>
      <c r="P46" s="1427">
        <v>32627.403198837241</v>
      </c>
      <c r="Q46" s="1428">
        <f t="shared" si="2"/>
        <v>5437.9005331395401</v>
      </c>
      <c r="R46" s="1428">
        <f t="shared" si="3"/>
        <v>5437.9005331395401</v>
      </c>
      <c r="S46" s="1429">
        <f t="shared" si="4"/>
        <v>0</v>
      </c>
      <c r="T46" s="940"/>
    </row>
    <row r="47" spans="1:20" ht="15.75" customHeight="1">
      <c r="A47" s="1763" t="s">
        <v>55</v>
      </c>
      <c r="B47" s="1764"/>
      <c r="C47" s="1765">
        <v>3419.9508020977246</v>
      </c>
      <c r="D47" s="1765">
        <f t="shared" si="5"/>
        <v>569.9918003496208</v>
      </c>
      <c r="E47" s="1765">
        <f t="shared" si="6"/>
        <v>569.9918003496208</v>
      </c>
      <c r="F47" s="1765">
        <f t="shared" si="7"/>
        <v>0</v>
      </c>
      <c r="G47" s="825"/>
      <c r="H47" s="833"/>
      <c r="I47" s="171"/>
      <c r="J47" s="951" t="s">
        <v>1172</v>
      </c>
      <c r="K47" s="950">
        <v>63269</v>
      </c>
      <c r="L47" s="950">
        <f t="shared" si="0"/>
        <v>10544.833333333334</v>
      </c>
      <c r="M47" s="950">
        <f t="shared" si="1"/>
        <v>10544.833333333334</v>
      </c>
      <c r="N47" s="950">
        <v>0</v>
      </c>
      <c r="O47" s="958"/>
      <c r="P47" s="1427">
        <v>10071.50878284479</v>
      </c>
      <c r="Q47" s="1428">
        <f t="shared" si="2"/>
        <v>1678.5847971407984</v>
      </c>
      <c r="R47" s="1428">
        <f t="shared" si="3"/>
        <v>1678.5847971407984</v>
      </c>
      <c r="S47" s="1429">
        <f t="shared" si="4"/>
        <v>0</v>
      </c>
      <c r="T47" s="940"/>
    </row>
    <row r="48" spans="1:20" ht="15.75" customHeight="1">
      <c r="A48" s="1766" t="s">
        <v>1173</v>
      </c>
      <c r="B48" s="1767"/>
      <c r="C48" s="1768">
        <f>SUM(C40:C47)</f>
        <v>283874.1151766784</v>
      </c>
      <c r="D48" s="994">
        <f>SUM(D40:D47)</f>
        <v>47312.352529446398</v>
      </c>
      <c r="E48" s="994">
        <f>SUM(E40:E47)</f>
        <v>47312.352529446398</v>
      </c>
      <c r="F48" s="994">
        <f>SUM(F40:F47)</f>
        <v>0</v>
      </c>
      <c r="G48" s="825"/>
      <c r="H48" s="834"/>
      <c r="I48" s="171"/>
      <c r="J48" s="951" t="s">
        <v>1051</v>
      </c>
      <c r="K48" s="950">
        <v>57404</v>
      </c>
      <c r="L48" s="950">
        <f t="shared" si="0"/>
        <v>9567.3333333333339</v>
      </c>
      <c r="M48" s="950">
        <f t="shared" si="1"/>
        <v>9567.3333333333339</v>
      </c>
      <c r="N48" s="950">
        <v>0</v>
      </c>
      <c r="O48" s="958"/>
      <c r="P48" s="1427">
        <v>6876.5600115432617</v>
      </c>
      <c r="Q48" s="1428">
        <f t="shared" si="2"/>
        <v>1146.0933352572104</v>
      </c>
      <c r="R48" s="1428">
        <f t="shared" si="3"/>
        <v>1146.0933352572104</v>
      </c>
      <c r="S48" s="1429">
        <f t="shared" si="4"/>
        <v>0</v>
      </c>
      <c r="T48" s="957"/>
    </row>
    <row r="49" spans="1:20" ht="15.75" customHeight="1">
      <c r="A49" s="1769" t="s">
        <v>1174</v>
      </c>
      <c r="B49" s="1770"/>
      <c r="C49" s="1771">
        <v>146855.12210940069</v>
      </c>
      <c r="D49" s="1771">
        <f t="shared" si="5"/>
        <v>24475.853684900114</v>
      </c>
      <c r="E49" s="1771">
        <f t="shared" ref="E49:E50" si="8">D49</f>
        <v>24475.853684900114</v>
      </c>
      <c r="F49" s="1760">
        <f t="shared" ref="F49:F50" si="9">E49-D49</f>
        <v>0</v>
      </c>
      <c r="G49" s="825"/>
      <c r="H49" s="833"/>
      <c r="I49" s="871"/>
      <c r="J49" s="951" t="s">
        <v>358</v>
      </c>
      <c r="K49" s="953">
        <v>154290</v>
      </c>
      <c r="L49" s="953">
        <f t="shared" si="0"/>
        <v>25715</v>
      </c>
      <c r="M49" s="953">
        <f t="shared" si="1"/>
        <v>25715</v>
      </c>
      <c r="N49" s="953">
        <v>0</v>
      </c>
      <c r="O49" s="952"/>
      <c r="P49" s="1427">
        <v>16244.563023778515</v>
      </c>
      <c r="Q49" s="1428">
        <f t="shared" si="2"/>
        <v>2707.4271706297527</v>
      </c>
      <c r="R49" s="1428">
        <f t="shared" si="3"/>
        <v>2707.4271706297527</v>
      </c>
      <c r="S49" s="1429">
        <f t="shared" si="4"/>
        <v>0</v>
      </c>
      <c r="T49" s="957"/>
    </row>
    <row r="50" spans="1:20" ht="15.75" customHeight="1">
      <c r="A50" s="1763" t="s">
        <v>1175</v>
      </c>
      <c r="B50" s="1772"/>
      <c r="C50" s="1773">
        <v>3374.0323243587541</v>
      </c>
      <c r="D50" s="1773">
        <f t="shared" si="5"/>
        <v>562.33872072645897</v>
      </c>
      <c r="E50" s="1773">
        <f t="shared" si="8"/>
        <v>562.33872072645897</v>
      </c>
      <c r="F50" s="1760">
        <f t="shared" si="9"/>
        <v>0</v>
      </c>
      <c r="G50" s="825"/>
      <c r="H50" s="833"/>
      <c r="I50" s="871"/>
      <c r="J50" s="951" t="s">
        <v>1176</v>
      </c>
      <c r="K50" s="953">
        <v>51922</v>
      </c>
      <c r="L50" s="953">
        <f t="shared" si="0"/>
        <v>8653.6666666666661</v>
      </c>
      <c r="M50" s="953">
        <f t="shared" si="1"/>
        <v>8653.6666666666661</v>
      </c>
      <c r="N50" s="953">
        <v>0</v>
      </c>
      <c r="O50" s="952"/>
      <c r="P50" s="1427">
        <v>1461.5788524831296</v>
      </c>
      <c r="Q50" s="1428">
        <f t="shared" si="2"/>
        <v>243.59647541385493</v>
      </c>
      <c r="R50" s="1428">
        <f t="shared" si="3"/>
        <v>243.59647541385493</v>
      </c>
      <c r="S50" s="1429">
        <f t="shared" si="4"/>
        <v>0</v>
      </c>
      <c r="T50" s="957"/>
    </row>
    <row r="51" spans="1:20" ht="15.75" customHeight="1">
      <c r="A51" s="1774" t="s">
        <v>1177</v>
      </c>
      <c r="B51" s="1775"/>
      <c r="C51" s="1776">
        <f>SUM(C48:C50)</f>
        <v>434103.26961043786</v>
      </c>
      <c r="D51" s="1776">
        <f t="shared" ref="D51:F51" si="10">SUM(D48:D50)</f>
        <v>72350.544935072976</v>
      </c>
      <c r="E51" s="1776">
        <f t="shared" si="10"/>
        <v>72350.544935072976</v>
      </c>
      <c r="F51" s="1776">
        <f t="shared" si="10"/>
        <v>0</v>
      </c>
      <c r="G51" s="825"/>
      <c r="H51" s="833"/>
      <c r="I51" s="871"/>
      <c r="J51" s="951" t="s">
        <v>1178</v>
      </c>
      <c r="K51" s="953">
        <v>3073434</v>
      </c>
      <c r="L51" s="953">
        <f t="shared" si="0"/>
        <v>512239</v>
      </c>
      <c r="M51" s="953">
        <f t="shared" si="1"/>
        <v>512239</v>
      </c>
      <c r="N51" s="953">
        <v>0</v>
      </c>
      <c r="O51" s="952"/>
      <c r="P51" s="1427">
        <v>8762.5240376431866</v>
      </c>
      <c r="Q51" s="1428">
        <f t="shared" si="2"/>
        <v>1460.4206729405312</v>
      </c>
      <c r="R51" s="1428">
        <f t="shared" si="3"/>
        <v>1460.4206729405312</v>
      </c>
      <c r="S51" s="1429">
        <f t="shared" si="4"/>
        <v>0</v>
      </c>
      <c r="T51" s="957"/>
    </row>
    <row r="52" spans="1:20" ht="15.75" customHeight="1">
      <c r="A52" s="1247"/>
      <c r="B52" s="830"/>
      <c r="C52" s="825"/>
      <c r="D52" s="830"/>
      <c r="E52" s="825"/>
      <c r="F52" s="830"/>
      <c r="G52" s="825"/>
      <c r="H52" s="833"/>
      <c r="I52" s="871"/>
      <c r="J52" s="951" t="s">
        <v>1179</v>
      </c>
      <c r="K52" s="953">
        <v>65687</v>
      </c>
      <c r="L52" s="953">
        <f t="shared" si="0"/>
        <v>10947.833333333334</v>
      </c>
      <c r="M52" s="953">
        <f t="shared" si="1"/>
        <v>10947.833333333334</v>
      </c>
      <c r="N52" s="953">
        <v>0</v>
      </c>
      <c r="O52" s="952"/>
      <c r="P52" s="1427">
        <v>2664.7400298292305</v>
      </c>
      <c r="Q52" s="1428">
        <f t="shared" si="2"/>
        <v>444.12333830487177</v>
      </c>
      <c r="R52" s="1428">
        <f t="shared" si="3"/>
        <v>444.12333830487177</v>
      </c>
      <c r="S52" s="1429">
        <f t="shared" si="4"/>
        <v>0</v>
      </c>
      <c r="T52" s="957"/>
    </row>
    <row r="53" spans="1:20" ht="15.75" customHeight="1">
      <c r="A53" s="999" t="s">
        <v>1206</v>
      </c>
      <c r="B53" s="956"/>
      <c r="C53" s="955"/>
      <c r="D53" s="956"/>
      <c r="E53" s="955"/>
      <c r="F53" s="956"/>
      <c r="G53" s="955"/>
      <c r="H53" s="833"/>
      <c r="I53" s="871"/>
      <c r="J53" s="954" t="s">
        <v>1180</v>
      </c>
      <c r="K53" s="950">
        <v>894</v>
      </c>
      <c r="L53" s="950">
        <f t="shared" si="0"/>
        <v>149</v>
      </c>
      <c r="M53" s="950">
        <f t="shared" si="1"/>
        <v>149</v>
      </c>
      <c r="N53" s="950">
        <v>0</v>
      </c>
      <c r="O53" s="949"/>
      <c r="P53" s="1427">
        <v>32.197256729540491</v>
      </c>
      <c r="Q53" s="1428">
        <f t="shared" si="2"/>
        <v>5.3662094549234149</v>
      </c>
      <c r="R53" s="1428">
        <f t="shared" si="3"/>
        <v>5.3662094549234149</v>
      </c>
      <c r="S53" s="1429">
        <f t="shared" si="4"/>
        <v>0</v>
      </c>
      <c r="T53" s="940"/>
    </row>
    <row r="54" spans="1:20" ht="15.75" customHeight="1">
      <c r="A54" s="999"/>
      <c r="B54" s="956"/>
      <c r="C54" s="955"/>
      <c r="D54" s="956"/>
      <c r="E54" s="955"/>
      <c r="F54" s="956"/>
      <c r="G54" s="955"/>
      <c r="H54" s="833"/>
      <c r="I54" s="871"/>
      <c r="J54" s="954" t="s">
        <v>1181</v>
      </c>
      <c r="K54" s="950">
        <v>3860</v>
      </c>
      <c r="L54" s="950">
        <f t="shared" si="0"/>
        <v>643.33333333333337</v>
      </c>
      <c r="M54" s="950">
        <f t="shared" si="1"/>
        <v>643.33333333333337</v>
      </c>
      <c r="N54" s="950">
        <v>0</v>
      </c>
      <c r="O54" s="949"/>
      <c r="P54" s="1427">
        <v>894.18154784705519</v>
      </c>
      <c r="Q54" s="1428">
        <f t="shared" si="2"/>
        <v>149.0302579745092</v>
      </c>
      <c r="R54" s="1428">
        <f t="shared" si="3"/>
        <v>149.0302579745092</v>
      </c>
      <c r="S54" s="1429">
        <f t="shared" si="4"/>
        <v>0</v>
      </c>
      <c r="T54" s="940"/>
    </row>
    <row r="55" spans="1:20" ht="15.75" customHeight="1">
      <c r="A55" s="999"/>
      <c r="B55" s="956"/>
      <c r="C55" s="955"/>
      <c r="D55" s="956"/>
      <c r="E55" s="955"/>
      <c r="F55" s="956"/>
      <c r="G55" s="955"/>
      <c r="H55" s="833"/>
      <c r="I55" s="871"/>
      <c r="J55" s="954" t="s">
        <v>1182</v>
      </c>
      <c r="K55" s="950">
        <v>27152</v>
      </c>
      <c r="L55" s="950">
        <f t="shared" si="0"/>
        <v>4525.333333333333</v>
      </c>
      <c r="M55" s="950">
        <f t="shared" si="1"/>
        <v>4525.333333333333</v>
      </c>
      <c r="N55" s="950">
        <v>0</v>
      </c>
      <c r="O55" s="949"/>
      <c r="P55" s="1427">
        <v>6906.8317905783988</v>
      </c>
      <c r="Q55" s="1428">
        <f t="shared" si="2"/>
        <v>1151.1386317630665</v>
      </c>
      <c r="R55" s="1428">
        <f t="shared" si="3"/>
        <v>1151.1386317630665</v>
      </c>
      <c r="S55" s="1429">
        <f t="shared" si="4"/>
        <v>0</v>
      </c>
      <c r="T55" s="940"/>
    </row>
    <row r="56" spans="1:20" ht="15.75" customHeight="1">
      <c r="A56" s="999"/>
      <c r="B56" s="956"/>
      <c r="C56" s="955"/>
      <c r="D56" s="956"/>
      <c r="E56" s="955"/>
      <c r="F56" s="956"/>
      <c r="G56" s="955"/>
      <c r="H56" s="833"/>
      <c r="I56" s="871"/>
      <c r="J56" s="954" t="s">
        <v>534</v>
      </c>
      <c r="K56" s="1762" t="s">
        <v>1156</v>
      </c>
      <c r="L56" s="1762" t="s">
        <v>1156</v>
      </c>
      <c r="M56" s="1762" t="s">
        <v>1156</v>
      </c>
      <c r="N56" s="950">
        <v>0</v>
      </c>
      <c r="O56" s="949"/>
      <c r="P56" s="1427">
        <v>44307.204564861102</v>
      </c>
      <c r="Q56" s="1428">
        <f t="shared" si="2"/>
        <v>7384.534094143517</v>
      </c>
      <c r="R56" s="1428">
        <f t="shared" si="3"/>
        <v>7384.534094143517</v>
      </c>
      <c r="S56" s="1429">
        <f t="shared" si="4"/>
        <v>0</v>
      </c>
      <c r="T56" s="940"/>
    </row>
    <row r="57" spans="1:20" ht="15.75" customHeight="1">
      <c r="A57" s="999"/>
      <c r="B57" s="956"/>
      <c r="C57" s="955"/>
      <c r="D57" s="956"/>
      <c r="E57" s="955"/>
      <c r="F57" s="956"/>
      <c r="G57" s="955"/>
      <c r="H57" s="833"/>
      <c r="I57" s="871"/>
      <c r="J57" s="954" t="s">
        <v>1183</v>
      </c>
      <c r="K57" s="1762" t="s">
        <v>1156</v>
      </c>
      <c r="L57" s="1762" t="s">
        <v>1156</v>
      </c>
      <c r="M57" s="1762" t="s">
        <v>1156</v>
      </c>
      <c r="N57" s="950">
        <v>0</v>
      </c>
      <c r="O57" s="949"/>
      <c r="P57" s="1427">
        <v>9.2913381196953235</v>
      </c>
      <c r="Q57" s="1428">
        <f t="shared" si="2"/>
        <v>1.5485563532825539</v>
      </c>
      <c r="R57" s="1428">
        <f t="shared" si="3"/>
        <v>1.5485563532825539</v>
      </c>
      <c r="S57" s="1429">
        <f t="shared" si="4"/>
        <v>0</v>
      </c>
      <c r="T57" s="940"/>
    </row>
    <row r="58" spans="1:20" ht="15.75" customHeight="1">
      <c r="A58" s="999"/>
      <c r="B58" s="956"/>
      <c r="C58" s="955"/>
      <c r="D58" s="956"/>
      <c r="E58" s="955"/>
      <c r="F58" s="956"/>
      <c r="G58" s="955"/>
      <c r="H58" s="833"/>
      <c r="I58" s="871"/>
      <c r="J58" s="954" t="s">
        <v>1184</v>
      </c>
      <c r="K58" s="1762" t="s">
        <v>1156</v>
      </c>
      <c r="L58" s="1762" t="s">
        <v>1156</v>
      </c>
      <c r="M58" s="1762" t="s">
        <v>1156</v>
      </c>
      <c r="N58" s="950">
        <v>0</v>
      </c>
      <c r="O58" s="949"/>
      <c r="P58" s="1427">
        <v>82978.645916665046</v>
      </c>
      <c r="Q58" s="1428">
        <f t="shared" si="2"/>
        <v>13829.774319444174</v>
      </c>
      <c r="R58" s="1428">
        <f t="shared" si="3"/>
        <v>13829.774319444174</v>
      </c>
      <c r="S58" s="1429">
        <f t="shared" si="4"/>
        <v>0</v>
      </c>
      <c r="T58" s="940"/>
    </row>
    <row r="59" spans="1:20" ht="15.75" customHeight="1">
      <c r="A59" s="999"/>
      <c r="B59" s="956"/>
      <c r="C59" s="955"/>
      <c r="D59" s="956"/>
      <c r="E59" s="955"/>
      <c r="F59" s="956"/>
      <c r="G59" s="955"/>
      <c r="H59" s="833"/>
      <c r="I59" s="871"/>
      <c r="J59" s="951"/>
      <c r="K59" s="950"/>
      <c r="L59" s="950"/>
      <c r="M59" s="950"/>
      <c r="N59" s="950"/>
      <c r="O59" s="949"/>
      <c r="P59" s="1427"/>
      <c r="Q59" s="1428"/>
      <c r="R59" s="1428"/>
      <c r="S59" s="1429"/>
      <c r="T59" s="940"/>
    </row>
    <row r="60" spans="1:20" ht="15.75" customHeight="1">
      <c r="A60" s="856"/>
      <c r="B60" s="866"/>
      <c r="C60" s="866"/>
      <c r="D60" s="866"/>
      <c r="E60" s="866"/>
      <c r="F60" s="866"/>
      <c r="G60" s="866"/>
      <c r="H60" s="833"/>
      <c r="I60" s="871"/>
      <c r="J60" s="946"/>
      <c r="K60" s="945"/>
      <c r="L60" s="945"/>
      <c r="M60" s="945"/>
      <c r="N60" s="945"/>
      <c r="O60" s="944"/>
      <c r="P60" s="1427"/>
      <c r="Q60" s="1428"/>
      <c r="R60" s="1428"/>
      <c r="S60" s="1429"/>
      <c r="T60" s="948"/>
    </row>
    <row r="61" spans="1:20" ht="30.75" customHeight="1">
      <c r="A61" s="856"/>
      <c r="B61" s="866"/>
      <c r="C61" s="866"/>
      <c r="D61" s="866"/>
      <c r="E61" s="866"/>
      <c r="F61" s="866"/>
      <c r="G61" s="866"/>
      <c r="H61" s="833"/>
      <c r="I61" s="871"/>
      <c r="K61" s="1241"/>
      <c r="L61" s="1241"/>
      <c r="M61" s="1241"/>
      <c r="N61" s="1241"/>
      <c r="O61" s="1241"/>
      <c r="P61" s="1430">
        <f>SUM(P38:P60)</f>
        <v>434102.99999999988</v>
      </c>
      <c r="Q61" s="1431">
        <f>SUM(Q38:Q60)</f>
        <v>72350.5</v>
      </c>
      <c r="R61" s="1431">
        <f>SUM(R38:R60)</f>
        <v>72350.5</v>
      </c>
      <c r="S61" s="1432">
        <f>SUM(S38:S60)</f>
        <v>0</v>
      </c>
      <c r="T61" s="1242"/>
    </row>
    <row r="62" spans="1:20" ht="15" customHeight="1">
      <c r="A62" s="856"/>
      <c r="B62" s="866"/>
      <c r="C62" s="866"/>
      <c r="D62" s="866"/>
      <c r="E62" s="866"/>
      <c r="F62" s="866"/>
      <c r="G62" s="866"/>
      <c r="H62" s="833"/>
      <c r="I62" s="866"/>
      <c r="J62" s="1004"/>
      <c r="K62" s="818"/>
      <c r="L62" s="818"/>
      <c r="M62" s="818"/>
      <c r="N62" s="818"/>
      <c r="O62" s="818"/>
      <c r="P62" s="818"/>
      <c r="Q62" s="818"/>
      <c r="R62" s="818"/>
      <c r="S62" s="818"/>
      <c r="T62" s="1246"/>
    </row>
    <row r="63" spans="1:20" ht="15" customHeight="1">
      <c r="A63" s="1778"/>
      <c r="B63" s="862"/>
      <c r="C63" s="862"/>
      <c r="D63" s="862"/>
      <c r="E63" s="862"/>
      <c r="F63" s="862"/>
      <c r="G63" s="862"/>
      <c r="H63" s="1779"/>
      <c r="I63" s="871"/>
      <c r="J63" s="1243" t="s">
        <v>1207</v>
      </c>
      <c r="K63" s="1241"/>
      <c r="L63" s="1241"/>
      <c r="M63" s="1241"/>
      <c r="N63" s="1241"/>
      <c r="O63" s="1241"/>
      <c r="P63" s="1241"/>
      <c r="Q63" s="1241"/>
      <c r="R63" s="1241"/>
      <c r="S63" s="1241"/>
      <c r="T63" s="1777"/>
    </row>
    <row r="64" spans="1:20" ht="15" hidden="1" customHeight="1">
      <c r="A64" s="856"/>
      <c r="B64" s="866"/>
      <c r="C64" s="866"/>
      <c r="D64" s="866"/>
      <c r="E64" s="866"/>
      <c r="F64" s="866"/>
      <c r="G64" s="866"/>
      <c r="H64" s="833"/>
      <c r="I64" s="871"/>
      <c r="J64" s="911"/>
      <c r="K64" s="913"/>
      <c r="L64" s="912"/>
      <c r="M64" s="912"/>
      <c r="N64" s="171"/>
      <c r="O64" s="815"/>
      <c r="P64" s="171"/>
      <c r="Q64" s="171"/>
      <c r="R64" s="171"/>
      <c r="S64" s="176"/>
      <c r="T64" s="869"/>
    </row>
    <row r="65" spans="1:28" ht="15" hidden="1" customHeight="1">
      <c r="A65" s="916" t="s">
        <v>715</v>
      </c>
      <c r="B65" s="917"/>
      <c r="C65" s="917"/>
      <c r="D65" s="917"/>
      <c r="E65" s="947"/>
      <c r="F65" s="914"/>
      <c r="G65" s="1645" t="s">
        <v>1185</v>
      </c>
      <c r="H65" s="835"/>
      <c r="I65" s="871"/>
      <c r="J65" s="844" t="s">
        <v>1063</v>
      </c>
      <c r="L65" s="2240" t="s">
        <v>160</v>
      </c>
      <c r="M65" s="2241"/>
      <c r="N65" s="2242"/>
      <c r="O65" s="1245"/>
      <c r="P65" s="171"/>
      <c r="Q65" s="171"/>
      <c r="R65" s="171"/>
      <c r="S65" s="176"/>
      <c r="T65" s="869"/>
    </row>
    <row r="66" spans="1:28" s="840" customFormat="1" ht="15" hidden="1" customHeight="1">
      <c r="A66" s="856"/>
      <c r="B66" s="866"/>
      <c r="C66" s="866"/>
      <c r="D66" s="866"/>
      <c r="E66" s="866"/>
      <c r="F66" s="866"/>
      <c r="G66" s="1248"/>
      <c r="H66" s="836"/>
      <c r="I66" s="839"/>
      <c r="J66" s="1247"/>
      <c r="K66" s="1441"/>
      <c r="L66" s="1433" t="s">
        <v>520</v>
      </c>
      <c r="M66" s="1433" t="s">
        <v>521</v>
      </c>
      <c r="N66" s="1433" t="s">
        <v>522</v>
      </c>
      <c r="O66" s="1001"/>
      <c r="P66" s="171"/>
      <c r="Q66" s="171"/>
      <c r="R66" s="171"/>
      <c r="S66" s="176"/>
      <c r="T66" s="869"/>
    </row>
    <row r="67" spans="1:28" ht="15" hidden="1" customHeight="1">
      <c r="A67" s="832" t="s">
        <v>1009</v>
      </c>
      <c r="B67" s="866"/>
      <c r="C67" s="866"/>
      <c r="D67" s="866"/>
      <c r="E67" s="874"/>
      <c r="F67" s="874"/>
      <c r="G67" s="1646"/>
      <c r="H67" s="867"/>
      <c r="I67" s="866"/>
      <c r="J67" s="975" t="s">
        <v>158</v>
      </c>
      <c r="K67" s="1443"/>
      <c r="L67" s="1440">
        <f>D40</f>
        <v>22929.75954409354</v>
      </c>
      <c r="M67" s="1440">
        <f>E40</f>
        <v>22929.75954409354</v>
      </c>
      <c r="N67" s="1255">
        <f>M67-L67</f>
        <v>0</v>
      </c>
      <c r="O67" s="815"/>
      <c r="P67" s="873"/>
      <c r="Q67" s="873"/>
      <c r="R67" s="873"/>
      <c r="S67" s="823"/>
      <c r="T67" s="841"/>
      <c r="U67" s="842"/>
      <c r="V67" s="842"/>
      <c r="W67" s="175"/>
      <c r="X67" s="842"/>
      <c r="Y67" s="842"/>
      <c r="Z67" s="175"/>
      <c r="AA67" s="171"/>
      <c r="AB67" s="843"/>
    </row>
    <row r="68" spans="1:28" ht="15" hidden="1" customHeight="1">
      <c r="A68" s="832"/>
      <c r="B68" s="866"/>
      <c r="C68" s="866"/>
      <c r="D68" s="866"/>
      <c r="E68" s="874"/>
      <c r="F68" s="874"/>
      <c r="G68" s="1646"/>
      <c r="H68" s="867"/>
      <c r="I68" s="866"/>
      <c r="J68" s="961" t="s">
        <v>157</v>
      </c>
      <c r="K68" s="1440"/>
      <c r="L68" s="1440">
        <v>54194</v>
      </c>
      <c r="M68" s="1440">
        <v>60113.423670291406</v>
      </c>
      <c r="N68" s="1256">
        <f t="shared" ref="N68:N74" si="11">M68-L68</f>
        <v>5919.4236702914059</v>
      </c>
      <c r="O68" s="815"/>
      <c r="P68" s="171"/>
      <c r="Q68" s="171"/>
      <c r="R68" s="171"/>
      <c r="S68" s="171"/>
      <c r="T68" s="603"/>
      <c r="U68" s="187"/>
      <c r="V68" s="187"/>
      <c r="W68" s="187"/>
      <c r="X68" s="187"/>
      <c r="Y68" s="187"/>
      <c r="Z68" s="187"/>
      <c r="AA68" s="176"/>
      <c r="AB68" s="845"/>
    </row>
    <row r="69" spans="1:28" ht="15" hidden="1" customHeight="1">
      <c r="A69" s="838" t="s">
        <v>695</v>
      </c>
      <c r="B69" s="866"/>
      <c r="C69" s="866"/>
      <c r="D69" s="866"/>
      <c r="E69" s="875"/>
      <c r="F69" s="875"/>
      <c r="G69" s="1647"/>
      <c r="H69" s="867"/>
      <c r="I69" s="866"/>
      <c r="J69" s="961" t="s">
        <v>60</v>
      </c>
      <c r="K69" s="1440"/>
      <c r="L69" s="1440">
        <v>38225</v>
      </c>
      <c r="M69" s="1440">
        <v>40784.697587545103</v>
      </c>
      <c r="N69" s="1256">
        <f t="shared" si="11"/>
        <v>2559.6975875451026</v>
      </c>
      <c r="O69" s="815"/>
      <c r="P69" s="171"/>
      <c r="Q69" s="171"/>
      <c r="R69" s="171"/>
      <c r="S69" s="171"/>
      <c r="T69" s="603"/>
      <c r="U69" s="845"/>
      <c r="V69" s="845"/>
      <c r="W69" s="845"/>
      <c r="X69" s="845"/>
      <c r="Y69" s="845"/>
      <c r="Z69" s="845"/>
      <c r="AA69" s="845"/>
    </row>
    <row r="70" spans="1:28" ht="15" hidden="1" customHeight="1">
      <c r="A70" s="838" t="s">
        <v>340</v>
      </c>
      <c r="B70" s="876"/>
      <c r="C70" s="876"/>
      <c r="D70" s="876"/>
      <c r="E70" s="875"/>
      <c r="F70" s="875"/>
      <c r="G70" s="1648"/>
      <c r="H70" s="872"/>
      <c r="I70" s="866"/>
      <c r="J70" s="961" t="s">
        <v>59</v>
      </c>
      <c r="K70" s="1440"/>
      <c r="L70" s="1440">
        <v>13393</v>
      </c>
      <c r="M70" s="1440">
        <v>13739.656876814926</v>
      </c>
      <c r="N70" s="1256">
        <f t="shared" si="11"/>
        <v>346.65687681492636</v>
      </c>
      <c r="O70" s="815"/>
      <c r="P70" s="171"/>
      <c r="Q70" s="171"/>
      <c r="R70" s="171"/>
      <c r="S70" s="171"/>
      <c r="T70" s="603"/>
      <c r="U70" s="187"/>
      <c r="V70" s="187"/>
      <c r="W70" s="187"/>
      <c r="X70" s="187"/>
      <c r="Y70" s="187"/>
      <c r="Z70" s="187"/>
      <c r="AA70" s="176"/>
      <c r="AB70" s="845"/>
    </row>
    <row r="71" spans="1:28" ht="15" hidden="1" customHeight="1">
      <c r="A71" s="1258"/>
      <c r="B71" s="1259"/>
      <c r="C71" s="1259"/>
      <c r="D71" s="1259"/>
      <c r="E71" s="1260"/>
      <c r="F71" s="1260"/>
      <c r="G71" s="1649">
        <f>G67+G69+G70</f>
        <v>0</v>
      </c>
      <c r="H71" s="867"/>
      <c r="I71" s="866"/>
      <c r="J71" s="961" t="s">
        <v>58</v>
      </c>
      <c r="K71" s="1440"/>
      <c r="L71" s="1440">
        <v>5965</v>
      </c>
      <c r="M71" s="1440">
        <v>7566.9884323532106</v>
      </c>
      <c r="N71" s="1256">
        <f t="shared" si="11"/>
        <v>1601.9884323532106</v>
      </c>
      <c r="O71" s="815"/>
      <c r="P71" s="171"/>
      <c r="Q71" s="171"/>
      <c r="R71" s="171"/>
      <c r="S71" s="171"/>
      <c r="T71" s="603"/>
      <c r="U71" s="175"/>
      <c r="V71" s="175"/>
      <c r="W71" s="175"/>
      <c r="X71" s="175"/>
      <c r="Y71" s="175"/>
      <c r="Z71" s="175"/>
      <c r="AA71" s="171"/>
      <c r="AB71" s="845"/>
    </row>
    <row r="72" spans="1:28" ht="15" hidden="1" customHeight="1">
      <c r="A72" s="1417" t="s">
        <v>696</v>
      </c>
      <c r="B72" s="864"/>
      <c r="C72" s="864"/>
      <c r="D72" s="864"/>
      <c r="E72" s="1600"/>
      <c r="F72" s="1600"/>
      <c r="G72" s="1650"/>
      <c r="H72" s="867"/>
      <c r="I72" s="866"/>
      <c r="J72" s="961" t="s">
        <v>57</v>
      </c>
      <c r="K72" s="1440"/>
      <c r="L72" s="1440">
        <v>2966</v>
      </c>
      <c r="M72" s="1440">
        <v>3351.0248812322297</v>
      </c>
      <c r="N72" s="1256">
        <f t="shared" si="11"/>
        <v>385.02488123222975</v>
      </c>
      <c r="O72" s="815"/>
      <c r="P72" s="846"/>
      <c r="Q72" s="846"/>
      <c r="R72" s="846"/>
      <c r="S72" s="846"/>
      <c r="T72" s="847"/>
    </row>
    <row r="73" spans="1:28" ht="15" hidden="1" customHeight="1">
      <c r="A73" s="832" t="s">
        <v>697</v>
      </c>
      <c r="B73" s="866"/>
      <c r="C73" s="866"/>
      <c r="D73" s="866"/>
      <c r="E73" s="874"/>
      <c r="F73" s="874"/>
      <c r="G73" s="1646"/>
      <c r="H73" s="867"/>
      <c r="I73" s="866"/>
      <c r="J73" s="961" t="s">
        <v>56</v>
      </c>
      <c r="K73" s="1440"/>
      <c r="L73" s="1440">
        <v>3331</v>
      </c>
      <c r="M73" s="1440">
        <v>3140.182431524775</v>
      </c>
      <c r="N73" s="1256">
        <f t="shared" si="11"/>
        <v>-190.81756847522502</v>
      </c>
      <c r="O73" s="815"/>
      <c r="P73" s="846"/>
      <c r="Q73" s="846"/>
      <c r="R73" s="846"/>
      <c r="S73" s="846"/>
      <c r="T73" s="847"/>
      <c r="U73" s="175"/>
      <c r="V73" s="175"/>
      <c r="W73" s="175"/>
      <c r="X73" s="175"/>
      <c r="Y73" s="175"/>
      <c r="Z73" s="175"/>
      <c r="AA73" s="171"/>
      <c r="AB73" s="845"/>
    </row>
    <row r="74" spans="1:28" ht="20.25" hidden="1" customHeight="1">
      <c r="A74" s="832" t="s">
        <v>698</v>
      </c>
      <c r="B74" s="866"/>
      <c r="C74" s="866"/>
      <c r="D74" s="866"/>
      <c r="E74" s="874"/>
      <c r="F74" s="874"/>
      <c r="G74" s="1646"/>
      <c r="H74" s="867"/>
      <c r="I74" s="862"/>
      <c r="J74" s="960" t="s">
        <v>1062</v>
      </c>
      <c r="K74" s="1444"/>
      <c r="L74" s="1440">
        <v>102822.46</v>
      </c>
      <c r="M74" s="1440">
        <v>123631.67241140823</v>
      </c>
      <c r="N74" s="1257">
        <f t="shared" si="11"/>
        <v>20809.212411408225</v>
      </c>
      <c r="O74" s="815"/>
      <c r="P74" s="854"/>
      <c r="Q74" s="853"/>
      <c r="R74" s="853"/>
      <c r="S74" s="853"/>
      <c r="T74" s="1248"/>
      <c r="U74" s="171"/>
      <c r="V74" s="171"/>
      <c r="W74" s="171"/>
      <c r="X74" s="171"/>
      <c r="Y74" s="171"/>
      <c r="Z74" s="171"/>
      <c r="AA74" s="171"/>
      <c r="AB74" s="845"/>
    </row>
    <row r="75" spans="1:28" ht="18.75" hidden="1" customHeight="1">
      <c r="A75" s="832" t="s">
        <v>699</v>
      </c>
      <c r="B75" s="866"/>
      <c r="C75" s="866"/>
      <c r="D75" s="866"/>
      <c r="E75" s="874"/>
      <c r="F75" s="874"/>
      <c r="G75" s="1646"/>
      <c r="H75" s="867"/>
      <c r="I75" s="815"/>
      <c r="J75" s="1247"/>
      <c r="K75" s="1442"/>
      <c r="L75" s="994">
        <f>SUM(L67:L74)</f>
        <v>243826.21954409353</v>
      </c>
      <c r="M75" s="994">
        <f>SUM(M67:M74)</f>
        <v>275257.40583526343</v>
      </c>
      <c r="N75" s="994">
        <f>SUM(N67:N74)</f>
        <v>31431.186291169874</v>
      </c>
      <c r="O75" s="815"/>
      <c r="P75" s="815"/>
      <c r="Q75" s="815"/>
      <c r="R75" s="815"/>
      <c r="S75" s="815"/>
      <c r="T75" s="1003"/>
      <c r="U75" s="171"/>
      <c r="V75" s="171"/>
      <c r="W75" s="171"/>
      <c r="X75" s="171"/>
      <c r="Y75" s="171"/>
      <c r="Z75" s="171"/>
      <c r="AA75" s="171"/>
      <c r="AB75" s="845"/>
    </row>
    <row r="76" spans="1:28" hidden="1">
      <c r="A76" s="832" t="s">
        <v>700</v>
      </c>
      <c r="B76" s="866"/>
      <c r="C76" s="866"/>
      <c r="D76" s="866"/>
      <c r="E76" s="874"/>
      <c r="F76" s="874"/>
      <c r="G76" s="1646"/>
      <c r="H76" s="867"/>
      <c r="I76" s="817"/>
      <c r="J76" s="857"/>
      <c r="K76" s="817"/>
      <c r="L76" s="817"/>
      <c r="M76" s="817"/>
      <c r="N76" s="817"/>
      <c r="O76" s="817"/>
      <c r="P76" s="817"/>
      <c r="Q76" s="817"/>
      <c r="R76" s="817"/>
      <c r="S76" s="817"/>
      <c r="T76" s="855"/>
      <c r="U76" s="171"/>
      <c r="V76" s="171"/>
      <c r="W76" s="171"/>
      <c r="X76" s="171"/>
      <c r="Y76" s="171"/>
      <c r="Z76" s="171"/>
      <c r="AA76" s="171"/>
      <c r="AB76" s="845"/>
    </row>
    <row r="77" spans="1:28" ht="19.5" hidden="1" customHeight="1">
      <c r="A77" s="1601" t="s">
        <v>156</v>
      </c>
      <c r="B77" s="862"/>
      <c r="C77" s="862"/>
      <c r="D77" s="862"/>
      <c r="E77" s="862"/>
      <c r="F77" s="862"/>
      <c r="G77" s="1648"/>
      <c r="H77" s="867"/>
      <c r="I77" s="848"/>
      <c r="J77" s="848"/>
      <c r="K77" s="848"/>
      <c r="L77" s="848"/>
      <c r="M77" s="848"/>
      <c r="N77" s="848"/>
      <c r="O77" s="848"/>
      <c r="P77" s="848"/>
      <c r="Q77" s="848"/>
      <c r="R77" s="848"/>
      <c r="S77" s="815"/>
      <c r="T77" s="815"/>
      <c r="U77" s="171"/>
      <c r="V77" s="171"/>
      <c r="W77" s="171"/>
      <c r="X77" s="171"/>
      <c r="Y77" s="171"/>
      <c r="Z77" s="171"/>
      <c r="AA77" s="171"/>
      <c r="AB77" s="845"/>
    </row>
    <row r="78" spans="1:28" ht="18" hidden="1" customHeight="1">
      <c r="A78" s="918" t="s">
        <v>1186</v>
      </c>
      <c r="B78" s="919"/>
      <c r="C78" s="919"/>
      <c r="D78" s="919"/>
      <c r="E78" s="919"/>
      <c r="F78" s="919"/>
      <c r="G78" s="920">
        <f>SUM(G71:G77)</f>
        <v>0</v>
      </c>
      <c r="H78" s="1002"/>
      <c r="I78" s="848"/>
      <c r="J78" s="849"/>
      <c r="K78" s="171"/>
      <c r="L78" s="171"/>
      <c r="M78" s="171"/>
      <c r="N78" s="171"/>
      <c r="O78" s="171"/>
      <c r="P78" s="171"/>
      <c r="Q78" s="848"/>
      <c r="R78" s="848"/>
      <c r="U78" s="171"/>
      <c r="V78" s="171"/>
      <c r="W78" s="171"/>
      <c r="X78" s="171"/>
      <c r="Y78" s="171"/>
      <c r="Z78" s="171"/>
      <c r="AA78" s="171"/>
      <c r="AB78" s="845"/>
    </row>
    <row r="79" spans="1:28" hidden="1">
      <c r="A79" s="984"/>
      <c r="B79" s="815"/>
      <c r="C79" s="815"/>
      <c r="D79" s="815"/>
      <c r="E79" s="815"/>
      <c r="F79" s="815"/>
      <c r="G79" s="815"/>
      <c r="H79" s="815"/>
      <c r="I79" s="848"/>
      <c r="J79" s="174"/>
      <c r="K79" s="174"/>
      <c r="L79" s="171"/>
      <c r="M79" s="174"/>
      <c r="N79" s="171"/>
      <c r="O79" s="174"/>
      <c r="P79" s="171"/>
      <c r="Q79" s="848"/>
      <c r="R79" s="848"/>
      <c r="S79" s="851"/>
      <c r="T79" s="851"/>
      <c r="U79" s="851"/>
      <c r="V79" s="851"/>
      <c r="W79" s="851"/>
      <c r="X79" s="851"/>
      <c r="Y79" s="851"/>
      <c r="Z79" s="851"/>
      <c r="AA79" s="851"/>
      <c r="AB79" s="845"/>
    </row>
    <row r="80" spans="1:28" hidden="1">
      <c r="A80" s="857"/>
      <c r="B80" s="817"/>
      <c r="C80" s="817"/>
      <c r="D80" s="817"/>
      <c r="E80" s="817"/>
      <c r="F80" s="817"/>
      <c r="G80" s="817"/>
      <c r="H80" s="817"/>
      <c r="I80" s="848"/>
      <c r="J80" s="852"/>
      <c r="K80" s="788"/>
      <c r="L80" s="171"/>
      <c r="M80" s="788"/>
      <c r="N80" s="171"/>
      <c r="O80" s="788"/>
      <c r="P80" s="171"/>
      <c r="Q80" s="848"/>
      <c r="R80" s="848"/>
      <c r="S80" s="853"/>
      <c r="T80" s="853"/>
      <c r="U80" s="853"/>
      <c r="V80" s="853"/>
      <c r="W80" s="853"/>
      <c r="X80" s="853"/>
      <c r="Y80" s="853"/>
      <c r="Z80" s="853"/>
      <c r="AA80" s="853"/>
    </row>
    <row r="81" spans="3:28">
      <c r="I81" s="848"/>
      <c r="J81" s="852"/>
      <c r="K81" s="788"/>
      <c r="L81" s="171"/>
      <c r="M81" s="788"/>
      <c r="N81" s="171"/>
      <c r="O81" s="788"/>
      <c r="P81" s="171"/>
      <c r="Q81" s="848"/>
      <c r="R81" s="848"/>
      <c r="S81" s="851"/>
      <c r="T81" s="851"/>
      <c r="U81" s="851"/>
      <c r="V81" s="851"/>
      <c r="W81" s="851"/>
      <c r="X81" s="851"/>
      <c r="Y81" s="851"/>
      <c r="Z81" s="851"/>
      <c r="AA81" s="851"/>
      <c r="AB81" s="845"/>
    </row>
    <row r="82" spans="3:28">
      <c r="I82" s="848"/>
      <c r="J82" s="852"/>
      <c r="K82" s="789"/>
      <c r="L82" s="171"/>
      <c r="M82" s="789"/>
      <c r="N82" s="171"/>
      <c r="O82" s="789"/>
      <c r="P82" s="171"/>
      <c r="Q82" s="848"/>
      <c r="R82" s="848"/>
      <c r="S82" s="853"/>
      <c r="T82" s="853"/>
      <c r="U82" s="853"/>
      <c r="V82" s="853"/>
      <c r="W82" s="853"/>
      <c r="X82" s="853"/>
      <c r="Y82" s="853"/>
      <c r="Z82" s="853"/>
      <c r="AA82" s="853"/>
    </row>
    <row r="83" spans="3:28">
      <c r="C83" s="850"/>
      <c r="E83" s="850"/>
      <c r="G83" s="850"/>
      <c r="I83" s="848"/>
      <c r="J83" s="852"/>
      <c r="K83" s="788"/>
      <c r="L83" s="171"/>
      <c r="M83" s="788"/>
      <c r="N83" s="171"/>
      <c r="O83" s="788"/>
      <c r="P83" s="171"/>
      <c r="Q83" s="848"/>
      <c r="R83" s="848"/>
    </row>
    <row r="84" spans="3:28">
      <c r="C84" s="850"/>
      <c r="E84" s="850"/>
      <c r="G84" s="850"/>
      <c r="I84" s="848"/>
      <c r="J84" s="848"/>
      <c r="K84" s="848"/>
      <c r="L84" s="848"/>
      <c r="M84" s="848"/>
      <c r="N84" s="848"/>
      <c r="O84" s="848"/>
      <c r="P84" s="848"/>
      <c r="Q84" s="848"/>
      <c r="R84" s="848"/>
    </row>
    <row r="85" spans="3:28">
      <c r="C85" s="850"/>
      <c r="E85" s="850"/>
      <c r="G85" s="850"/>
      <c r="I85" s="848"/>
      <c r="J85" s="848"/>
      <c r="K85" s="848"/>
      <c r="L85" s="848"/>
      <c r="M85" s="848"/>
      <c r="N85" s="848"/>
      <c r="O85" s="848"/>
      <c r="P85" s="848"/>
      <c r="Q85" s="848"/>
      <c r="R85" s="848"/>
    </row>
    <row r="86" spans="3:28">
      <c r="C86" s="850"/>
      <c r="E86" s="850"/>
      <c r="G86" s="850"/>
    </row>
    <row r="87" spans="3:28">
      <c r="C87" s="850"/>
      <c r="E87" s="850"/>
      <c r="G87" s="850"/>
    </row>
  </sheetData>
  <mergeCells count="11">
    <mergeCell ref="A3:T4"/>
    <mergeCell ref="A6:T21"/>
    <mergeCell ref="A23:T23"/>
    <mergeCell ref="A25:T32"/>
    <mergeCell ref="C38:F38"/>
    <mergeCell ref="L65:N65"/>
    <mergeCell ref="B34:D34"/>
    <mergeCell ref="E34:G34"/>
    <mergeCell ref="K36:N36"/>
    <mergeCell ref="P36:S36"/>
    <mergeCell ref="C37:F37"/>
  </mergeCells>
  <printOptions horizontalCentered="1" verticalCentered="1"/>
  <pageMargins left="0.27559055118110237" right="0.23622047244094491" top="0.19685039370078741" bottom="0.39370078740157483" header="0" footer="0.19685039370078741"/>
  <pageSetup paperSize="9" scale="50" orientation="landscape" r:id="rId1"/>
  <headerFooter alignWithMargins="0">
    <oddFooter>&amp;CPage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pageSetUpPr fitToPage="1"/>
  </sheetPr>
  <dimension ref="A1:U101"/>
  <sheetViews>
    <sheetView showGridLines="0" topLeftCell="A61" zoomScale="90" zoomScaleNormal="90" workbookViewId="0">
      <selection activeCell="G15" sqref="G15:J16"/>
    </sheetView>
  </sheetViews>
  <sheetFormatPr defaultRowHeight="13.2"/>
  <cols>
    <col min="1" max="1" width="50.5546875" customWidth="1"/>
    <col min="2" max="3" width="14.33203125" customWidth="1"/>
    <col min="4" max="4" width="0.6640625" customWidth="1"/>
    <col min="5" max="5" width="13.5546875" customWidth="1"/>
    <col min="6" max="6" width="0.6640625" customWidth="1"/>
    <col min="7" max="7" width="50.5546875" customWidth="1"/>
    <col min="8" max="10" width="14.33203125" customWidth="1"/>
    <col min="11" max="11" width="9.109375" customWidth="1"/>
    <col min="14" max="14" width="10" bestFit="1" customWidth="1"/>
  </cols>
  <sheetData>
    <row r="1" spans="1:10" ht="21.6" thickBot="1">
      <c r="A1" s="1893" t="str">
        <f>'Summary Page'!A1</f>
        <v xml:space="preserve">Finance Report Month 2 2016/17 </v>
      </c>
      <c r="B1" s="1870"/>
      <c r="C1" s="1870"/>
      <c r="D1" s="1870"/>
      <c r="E1" s="1870"/>
      <c r="F1" s="1894" t="s">
        <v>214</v>
      </c>
      <c r="G1" s="1895"/>
      <c r="H1" s="1870"/>
      <c r="I1" s="1870"/>
      <c r="J1" s="1871" t="s">
        <v>30</v>
      </c>
    </row>
    <row r="2" spans="1:10" ht="7.5" customHeight="1">
      <c r="A2" s="47"/>
      <c r="J2" s="110"/>
    </row>
    <row r="3" spans="1:10" ht="12.75" customHeight="1">
      <c r="A3" s="2129" t="s">
        <v>1373</v>
      </c>
      <c r="B3" s="2130"/>
      <c r="C3" s="2130"/>
      <c r="D3" s="2130"/>
      <c r="E3" s="2130"/>
      <c r="F3" s="2130"/>
      <c r="G3" s="2130"/>
      <c r="H3" s="2130"/>
      <c r="I3" s="2130"/>
      <c r="J3" s="2131"/>
    </row>
    <row r="4" spans="1:10">
      <c r="A4" s="2095"/>
      <c r="B4" s="2283"/>
      <c r="C4" s="2283"/>
      <c r="D4" s="2283"/>
      <c r="E4" s="2283"/>
      <c r="F4" s="2283"/>
      <c r="G4" s="2283"/>
      <c r="H4" s="2283"/>
      <c r="I4" s="2283"/>
      <c r="J4" s="2097"/>
    </row>
    <row r="5" spans="1:10" ht="27" customHeight="1">
      <c r="A5" s="2098"/>
      <c r="B5" s="2099"/>
      <c r="C5" s="2099"/>
      <c r="D5" s="2099"/>
      <c r="E5" s="2099"/>
      <c r="F5" s="2099"/>
      <c r="G5" s="2099"/>
      <c r="H5" s="2099"/>
      <c r="I5" s="2099"/>
      <c r="J5" s="2100"/>
    </row>
    <row r="6" spans="1:10" ht="4.5" customHeight="1"/>
    <row r="7" spans="1:10">
      <c r="A7" s="69" t="s">
        <v>930</v>
      </c>
      <c r="B7" s="48"/>
      <c r="C7" s="64"/>
      <c r="D7" s="64"/>
      <c r="E7" s="49"/>
      <c r="G7" s="92" t="s">
        <v>944</v>
      </c>
      <c r="H7" s="83"/>
      <c r="I7" s="112"/>
      <c r="J7" s="88"/>
    </row>
    <row r="8" spans="1:10">
      <c r="A8" s="78"/>
      <c r="B8" s="50" t="s">
        <v>721</v>
      </c>
      <c r="C8" s="50" t="s">
        <v>722</v>
      </c>
      <c r="D8" s="50"/>
      <c r="E8" s="51" t="s">
        <v>723</v>
      </c>
      <c r="G8" s="114"/>
      <c r="H8" s="33" t="s">
        <v>721</v>
      </c>
      <c r="I8" s="33" t="s">
        <v>834</v>
      </c>
      <c r="J8" s="89" t="s">
        <v>723</v>
      </c>
    </row>
    <row r="9" spans="1:10">
      <c r="A9" s="78"/>
      <c r="B9" s="50" t="s">
        <v>948</v>
      </c>
      <c r="C9" s="50" t="s">
        <v>948</v>
      </c>
      <c r="D9" s="50"/>
      <c r="E9" s="51" t="s">
        <v>948</v>
      </c>
      <c r="G9" s="114"/>
      <c r="H9" s="50" t="s">
        <v>948</v>
      </c>
      <c r="I9" s="50" t="s">
        <v>948</v>
      </c>
      <c r="J9" s="51" t="s">
        <v>948</v>
      </c>
    </row>
    <row r="10" spans="1:10">
      <c r="A10" s="80" t="s">
        <v>863</v>
      </c>
      <c r="B10" s="220">
        <f>B31</f>
        <v>57618.003000000004</v>
      </c>
      <c r="C10" s="220">
        <f>C31</f>
        <v>57592.546000000009</v>
      </c>
      <c r="D10" s="220"/>
      <c r="E10" s="198">
        <f>E31</f>
        <v>-25.456999999995968</v>
      </c>
      <c r="G10" s="80" t="s">
        <v>863</v>
      </c>
      <c r="H10" s="197">
        <f>H31</f>
        <v>334279.13400000002</v>
      </c>
      <c r="I10" s="197">
        <f>I31</f>
        <v>334341.28700000001</v>
      </c>
      <c r="J10" s="198">
        <f>J31</f>
        <v>62.153000000021585</v>
      </c>
    </row>
    <row r="11" spans="1:10">
      <c r="A11" s="80" t="s">
        <v>864</v>
      </c>
      <c r="B11" s="222">
        <f>B46</f>
        <v>34055.587</v>
      </c>
      <c r="C11" s="222">
        <f>C46</f>
        <v>36386.129000000001</v>
      </c>
      <c r="D11" s="222"/>
      <c r="E11" s="932">
        <f>E46</f>
        <v>2330.5420000000013</v>
      </c>
      <c r="G11" s="80" t="s">
        <v>864</v>
      </c>
      <c r="H11" s="211">
        <f t="shared" ref="H11:J12" si="0">H46</f>
        <v>197197.34200000006</v>
      </c>
      <c r="I11" s="211">
        <f t="shared" si="0"/>
        <v>199563.65100000001</v>
      </c>
      <c r="J11" s="212">
        <f t="shared" si="0"/>
        <v>2366.3089999999502</v>
      </c>
    </row>
    <row r="12" spans="1:10">
      <c r="A12" s="80" t="s">
        <v>51</v>
      </c>
      <c r="B12" s="220">
        <f>B47</f>
        <v>91673.59</v>
      </c>
      <c r="C12" s="220">
        <f>C47</f>
        <v>93978.675000000017</v>
      </c>
      <c r="D12" s="220"/>
      <c r="E12" s="933">
        <f>E47</f>
        <v>2305.085000000021</v>
      </c>
      <c r="G12" s="80" t="s">
        <v>51</v>
      </c>
      <c r="H12" s="197">
        <f t="shared" si="0"/>
        <v>531476.47600000002</v>
      </c>
      <c r="I12" s="197">
        <f t="shared" si="0"/>
        <v>533904.93800000008</v>
      </c>
      <c r="J12" s="198">
        <f t="shared" si="0"/>
        <v>2428.4620000000577</v>
      </c>
    </row>
    <row r="13" spans="1:10">
      <c r="A13" s="142"/>
      <c r="B13" s="143"/>
      <c r="C13" s="143"/>
      <c r="D13" s="143"/>
      <c r="E13" s="91"/>
      <c r="G13" s="145"/>
      <c r="H13" s="146"/>
      <c r="I13" s="143"/>
      <c r="J13" s="91"/>
    </row>
    <row r="14" spans="1:10" ht="4.5" customHeight="1">
      <c r="A14" s="53"/>
      <c r="B14" s="57"/>
      <c r="C14" s="29"/>
      <c r="D14" s="29"/>
      <c r="E14" s="57"/>
      <c r="G14" s="53"/>
      <c r="I14" s="57"/>
      <c r="J14" s="29"/>
    </row>
    <row r="15" spans="1:10" ht="12.75" customHeight="1">
      <c r="A15" s="2129" t="s">
        <v>1402</v>
      </c>
      <c r="B15" s="2137"/>
      <c r="C15" s="2137"/>
      <c r="D15" s="2137"/>
      <c r="E15" s="2138"/>
      <c r="G15" s="2129" t="s">
        <v>1372</v>
      </c>
      <c r="H15" s="2137"/>
      <c r="I15" s="2137"/>
      <c r="J15" s="2138"/>
    </row>
    <row r="16" spans="1:10" ht="65.25" customHeight="1">
      <c r="A16" s="2139"/>
      <c r="B16" s="2140"/>
      <c r="C16" s="2140"/>
      <c r="D16" s="2140"/>
      <c r="E16" s="2141"/>
      <c r="G16" s="2139"/>
      <c r="H16" s="2140"/>
      <c r="I16" s="2140"/>
      <c r="J16" s="2141"/>
    </row>
    <row r="17" spans="1:20" ht="4.5" customHeight="1">
      <c r="A17" s="29"/>
      <c r="B17" s="29"/>
    </row>
    <row r="18" spans="1:20">
      <c r="A18" s="164" t="s">
        <v>930</v>
      </c>
      <c r="B18" s="165"/>
      <c r="C18" s="127"/>
      <c r="D18" s="127"/>
      <c r="E18" s="166"/>
      <c r="F18" s="29"/>
      <c r="G18" s="154" t="s">
        <v>7</v>
      </c>
      <c r="H18" s="155"/>
      <c r="I18" s="156"/>
      <c r="J18" s="157"/>
    </row>
    <row r="19" spans="1:20">
      <c r="A19" s="158"/>
      <c r="B19" s="124" t="s">
        <v>721</v>
      </c>
      <c r="C19" s="124" t="s">
        <v>722</v>
      </c>
      <c r="D19" s="124"/>
      <c r="E19" s="130" t="s">
        <v>723</v>
      </c>
      <c r="F19" s="31"/>
      <c r="G19" s="158"/>
      <c r="H19" s="124" t="s">
        <v>721</v>
      </c>
      <c r="I19" s="124" t="s">
        <v>834</v>
      </c>
      <c r="J19" s="130" t="s">
        <v>723</v>
      </c>
      <c r="L19" s="35"/>
      <c r="M19" s="35"/>
      <c r="N19" s="35"/>
      <c r="O19" s="35"/>
    </row>
    <row r="20" spans="1:20" ht="10.5" customHeight="1">
      <c r="A20" s="158"/>
      <c r="B20" s="124" t="s">
        <v>948</v>
      </c>
      <c r="C20" s="124" t="s">
        <v>948</v>
      </c>
      <c r="D20" s="124"/>
      <c r="E20" s="130" t="s">
        <v>948</v>
      </c>
      <c r="F20" s="98"/>
      <c r="G20" s="158"/>
      <c r="H20" s="124" t="s">
        <v>948</v>
      </c>
      <c r="I20" s="124" t="s">
        <v>948</v>
      </c>
      <c r="J20" s="130" t="s">
        <v>948</v>
      </c>
      <c r="L20" s="35"/>
      <c r="M20" s="35"/>
      <c r="N20" s="35"/>
      <c r="O20" s="35"/>
    </row>
    <row r="21" spans="1:20" ht="10.5" customHeight="1">
      <c r="A21" s="131" t="s">
        <v>863</v>
      </c>
      <c r="B21" s="124"/>
      <c r="C21" s="124"/>
      <c r="D21" s="124"/>
      <c r="E21" s="130"/>
      <c r="F21" s="98"/>
      <c r="G21" s="131" t="s">
        <v>863</v>
      </c>
      <c r="H21" s="159"/>
      <c r="I21" s="159"/>
      <c r="J21" s="160"/>
      <c r="L21" s="35"/>
      <c r="M21" s="35"/>
      <c r="N21" s="35"/>
      <c r="O21" s="35"/>
    </row>
    <row r="22" spans="1:20" ht="10.5" customHeight="1">
      <c r="A22" s="158" t="s">
        <v>181</v>
      </c>
      <c r="B22" s="207">
        <f>'IncomeandExpenditure Data'!B24</f>
        <v>2388.404</v>
      </c>
      <c r="C22" s="207">
        <f>'IncomeandExpenditure Data'!C24</f>
        <v>2280.4359999999997</v>
      </c>
      <c r="D22" s="207"/>
      <c r="E22" s="208">
        <f>C22-B22</f>
        <v>-107.9680000000003</v>
      </c>
      <c r="F22" s="100"/>
      <c r="G22" s="158" t="s">
        <v>181</v>
      </c>
      <c r="H22" s="207">
        <f>'IncomeandExpenditure Data'!F24</f>
        <v>14331.100999999999</v>
      </c>
      <c r="I22" s="207">
        <f>'IncomeandExpenditure Data'!G24</f>
        <v>14351.259999999998</v>
      </c>
      <c r="J22" s="208">
        <f t="shared" ref="J22:J29" si="1">I22-H22</f>
        <v>20.158999999999651</v>
      </c>
      <c r="K22" s="29"/>
      <c r="L22" s="35"/>
      <c r="M22" s="35"/>
      <c r="N22" s="1883"/>
      <c r="O22" s="1883"/>
    </row>
    <row r="23" spans="1:20" ht="10.5" customHeight="1">
      <c r="A23" s="158" t="s">
        <v>182</v>
      </c>
      <c r="B23" s="207">
        <f>'IncomeandExpenditure Data'!B25</f>
        <v>17111.938999999998</v>
      </c>
      <c r="C23" s="207">
        <f>'IncomeandExpenditure Data'!C25</f>
        <v>16904.239000000001</v>
      </c>
      <c r="D23" s="207"/>
      <c r="E23" s="208">
        <f t="shared" ref="E23:E47" si="2">C23-B23</f>
        <v>-207.69999999999709</v>
      </c>
      <c r="F23" s="100"/>
      <c r="G23" s="158" t="s">
        <v>182</v>
      </c>
      <c r="H23" s="207">
        <f>'IncomeandExpenditure Data'!F25</f>
        <v>99634.120999999999</v>
      </c>
      <c r="I23" s="207">
        <f>'IncomeandExpenditure Data'!G25</f>
        <v>99426.33600000001</v>
      </c>
      <c r="J23" s="208">
        <f t="shared" si="1"/>
        <v>-207.78499999998894</v>
      </c>
      <c r="K23" s="29"/>
      <c r="L23" s="35"/>
      <c r="M23" s="35"/>
      <c r="N23" s="1883"/>
      <c r="O23" s="1883"/>
    </row>
    <row r="24" spans="1:20" ht="10.5" customHeight="1">
      <c r="A24" s="158" t="s">
        <v>183</v>
      </c>
      <c r="B24" s="207">
        <f>'IncomeandExpenditure Data'!B26</f>
        <v>21930.945</v>
      </c>
      <c r="C24" s="207">
        <f>'IncomeandExpenditure Data'!C26</f>
        <v>22143.986000000001</v>
      </c>
      <c r="D24" s="207"/>
      <c r="E24" s="208">
        <f t="shared" si="2"/>
        <v>213.04100000000108</v>
      </c>
      <c r="F24" s="100"/>
      <c r="G24" s="158" t="s">
        <v>183</v>
      </c>
      <c r="H24" s="207">
        <f>'IncomeandExpenditure Data'!F26</f>
        <v>128006.32599999999</v>
      </c>
      <c r="I24" s="207">
        <f>'IncomeandExpenditure Data'!G26</f>
        <v>127993.88100000001</v>
      </c>
      <c r="J24" s="208">
        <f t="shared" si="1"/>
        <v>-12.444999999977881</v>
      </c>
      <c r="K24" s="29"/>
      <c r="L24" s="35"/>
      <c r="M24" s="35"/>
      <c r="N24" s="1883"/>
      <c r="O24" s="1883"/>
    </row>
    <row r="25" spans="1:20" ht="10.5" customHeight="1">
      <c r="A25" s="158" t="s">
        <v>184</v>
      </c>
      <c r="B25" s="207">
        <f>'IncomeandExpenditure Data'!B27</f>
        <v>7755.44</v>
      </c>
      <c r="C25" s="207">
        <f>'IncomeandExpenditure Data'!C27</f>
        <v>7854.9960000000001</v>
      </c>
      <c r="D25" s="207"/>
      <c r="E25" s="208">
        <f t="shared" si="2"/>
        <v>99.556000000000495</v>
      </c>
      <c r="F25" s="100"/>
      <c r="G25" s="158" t="s">
        <v>184</v>
      </c>
      <c r="H25" s="207">
        <f>'IncomeandExpenditure Data'!F27</f>
        <v>46218.771000000008</v>
      </c>
      <c r="I25" s="207">
        <f>'IncomeandExpenditure Data'!G27</f>
        <v>46414.893999999986</v>
      </c>
      <c r="J25" s="208">
        <f t="shared" si="1"/>
        <v>196.12299999997776</v>
      </c>
      <c r="K25" s="29"/>
      <c r="L25" s="35"/>
      <c r="M25" s="35"/>
      <c r="N25" s="1883"/>
      <c r="O25" s="1883"/>
    </row>
    <row r="26" spans="1:20" ht="10.5" customHeight="1">
      <c r="A26" s="158" t="s">
        <v>205</v>
      </c>
      <c r="B26" s="207">
        <f>'IncomeandExpenditure Data'!B28</f>
        <v>2441.846</v>
      </c>
      <c r="C26" s="207">
        <f>'IncomeandExpenditure Data'!C28</f>
        <v>2438.19</v>
      </c>
      <c r="D26" s="207"/>
      <c r="E26" s="208">
        <f t="shared" si="2"/>
        <v>-3.6559999999999491</v>
      </c>
      <c r="F26" s="100"/>
      <c r="G26" s="158" t="s">
        <v>205</v>
      </c>
      <c r="H26" s="207">
        <f>'IncomeandExpenditure Data'!F28</f>
        <v>14651.076000000003</v>
      </c>
      <c r="I26" s="207">
        <f>'IncomeandExpenditure Data'!G28</f>
        <v>14681.951000000005</v>
      </c>
      <c r="J26" s="208">
        <f t="shared" si="1"/>
        <v>30.875000000001819</v>
      </c>
      <c r="K26" s="29"/>
      <c r="L26" s="35"/>
      <c r="M26" s="35"/>
      <c r="N26" s="1883"/>
      <c r="O26" s="1883"/>
    </row>
    <row r="27" spans="1:20" ht="10.5" customHeight="1">
      <c r="A27" s="158" t="s">
        <v>204</v>
      </c>
      <c r="B27" s="207">
        <f>'IncomeandExpenditure Data'!B29</f>
        <v>5512.6030000000001</v>
      </c>
      <c r="C27" s="207">
        <f>'IncomeandExpenditure Data'!C29</f>
        <v>5510.8029999999999</v>
      </c>
      <c r="D27" s="207"/>
      <c r="E27" s="313">
        <f t="shared" si="2"/>
        <v>-1.8000000000001819</v>
      </c>
      <c r="F27" s="100"/>
      <c r="G27" s="158" t="s">
        <v>204</v>
      </c>
      <c r="H27" s="207">
        <f>'IncomeandExpenditure Data'!F29</f>
        <v>33076.004999999997</v>
      </c>
      <c r="I27" s="207">
        <f>'IncomeandExpenditure Data'!G29</f>
        <v>33070.085000000006</v>
      </c>
      <c r="J27" s="208">
        <f t="shared" si="1"/>
        <v>-5.9199999999909778</v>
      </c>
      <c r="K27" s="29"/>
      <c r="L27" s="35"/>
      <c r="M27" s="35"/>
      <c r="N27" s="1883"/>
      <c r="O27" s="1883"/>
    </row>
    <row r="28" spans="1:20" ht="10.5" customHeight="1">
      <c r="A28" s="158" t="s">
        <v>206</v>
      </c>
      <c r="B28" s="207">
        <f>'IncomeandExpenditure Data'!B30</f>
        <v>490.40199999999999</v>
      </c>
      <c r="C28" s="207">
        <f>'IncomeandExpenditure Data'!C30</f>
        <v>439.48199999999997</v>
      </c>
      <c r="D28" s="207"/>
      <c r="E28" s="208">
        <f t="shared" si="2"/>
        <v>-50.920000000000016</v>
      </c>
      <c r="F28" s="100"/>
      <c r="G28" s="158" t="s">
        <v>206</v>
      </c>
      <c r="H28" s="207">
        <f>'IncomeandExpenditure Data'!F30</f>
        <v>2942.4119999999998</v>
      </c>
      <c r="I28" s="207">
        <f>'IncomeandExpenditure Data'!G30</f>
        <v>2891.4920000000002</v>
      </c>
      <c r="J28" s="208">
        <f t="shared" si="1"/>
        <v>-50.919999999999618</v>
      </c>
      <c r="K28" s="29"/>
      <c r="L28" s="35"/>
      <c r="M28" s="35"/>
      <c r="N28" s="1883"/>
      <c r="O28" s="1883"/>
    </row>
    <row r="29" spans="1:20" ht="10.5" customHeight="1">
      <c r="A29" s="158" t="s">
        <v>208</v>
      </c>
      <c r="B29" s="207">
        <f>'IncomeandExpenditure Data'!B31</f>
        <v>-24.137999999999998</v>
      </c>
      <c r="C29" s="207">
        <f>'IncomeandExpenditure Data'!C31</f>
        <v>10.238</v>
      </c>
      <c r="D29" s="207"/>
      <c r="E29" s="208">
        <f t="shared" si="2"/>
        <v>34.375999999999998</v>
      </c>
      <c r="F29" s="100"/>
      <c r="G29" s="158" t="s">
        <v>208</v>
      </c>
      <c r="H29" s="207">
        <f>'IncomeandExpenditure Data'!F31</f>
        <v>-4644.05</v>
      </c>
      <c r="I29" s="207">
        <f>'IncomeandExpenditure Data'!G31</f>
        <v>-4555.3950000000004</v>
      </c>
      <c r="J29" s="208">
        <f t="shared" si="1"/>
        <v>88.654999999999745</v>
      </c>
      <c r="K29" s="29"/>
      <c r="L29" s="35"/>
      <c r="M29" s="35"/>
      <c r="N29" s="1883"/>
      <c r="O29" s="1883"/>
    </row>
    <row r="30" spans="1:20" ht="10.5" customHeight="1">
      <c r="A30" s="158" t="s">
        <v>1299</v>
      </c>
      <c r="B30" s="207">
        <f>'IncomeandExpenditure Data'!B32</f>
        <v>10.561999999999999</v>
      </c>
      <c r="C30" s="207">
        <f>'IncomeandExpenditure Data'!C32</f>
        <v>10.176</v>
      </c>
      <c r="D30" s="207"/>
      <c r="E30" s="208">
        <f t="shared" ref="E30" si="3">C30-B30</f>
        <v>-0.38599999999999923</v>
      </c>
      <c r="F30" s="100"/>
      <c r="G30" s="158" t="s">
        <v>1299</v>
      </c>
      <c r="H30" s="207">
        <f>'IncomeandExpenditure Data'!F32</f>
        <v>63.371999999999993</v>
      </c>
      <c r="I30" s="207">
        <f>'IncomeandExpenditure Data'!G32</f>
        <v>66.783000000000015</v>
      </c>
      <c r="J30" s="208">
        <f t="shared" ref="J30" si="4">I30-H30</f>
        <v>3.4110000000000227</v>
      </c>
      <c r="K30" s="29"/>
      <c r="L30" s="35"/>
      <c r="M30" s="35"/>
      <c r="N30" s="1883"/>
      <c r="O30" s="1883"/>
    </row>
    <row r="31" spans="1:20" ht="10.5" customHeight="1">
      <c r="A31" s="161" t="s">
        <v>209</v>
      </c>
      <c r="B31" s="201">
        <f>SUM(B22:B30)</f>
        <v>57618.003000000004</v>
      </c>
      <c r="C31" s="201">
        <f>SUM(C22:C30)</f>
        <v>57592.546000000009</v>
      </c>
      <c r="D31" s="201"/>
      <c r="E31" s="202">
        <f>SUM(E22:E30)</f>
        <v>-25.456999999995968</v>
      </c>
      <c r="F31" s="100"/>
      <c r="G31" s="161" t="s">
        <v>209</v>
      </c>
      <c r="H31" s="201">
        <f t="shared" ref="H31:J31" si="5">SUM(H22:H30)</f>
        <v>334279.13400000002</v>
      </c>
      <c r="I31" s="201">
        <f t="shared" si="5"/>
        <v>334341.28700000001</v>
      </c>
      <c r="J31" s="202">
        <f t="shared" si="5"/>
        <v>62.153000000021585</v>
      </c>
      <c r="K31" s="29"/>
      <c r="L31" s="35"/>
      <c r="M31" s="35"/>
      <c r="N31" s="1883"/>
      <c r="O31" s="1883"/>
      <c r="T31" s="186"/>
    </row>
    <row r="32" spans="1:20" ht="10.5" customHeight="1">
      <c r="A32" s="162" t="s">
        <v>8</v>
      </c>
      <c r="B32" s="201"/>
      <c r="C32" s="201"/>
      <c r="D32" s="201"/>
      <c r="E32" s="208"/>
      <c r="F32" s="100"/>
      <c r="G32" s="162" t="s">
        <v>8</v>
      </c>
      <c r="H32" s="201"/>
      <c r="I32" s="201"/>
      <c r="J32" s="208"/>
      <c r="K32" s="29"/>
      <c r="L32" s="35"/>
      <c r="M32" s="35"/>
      <c r="N32" s="1883"/>
      <c r="O32" s="1883"/>
    </row>
    <row r="33" spans="1:21" ht="10.5" customHeight="1">
      <c r="A33" s="158" t="s">
        <v>1254</v>
      </c>
      <c r="B33" s="207">
        <f>'IncomeandExpenditure Data'!B34</f>
        <v>11597.534</v>
      </c>
      <c r="C33" s="207">
        <f>'IncomeandExpenditure Data'!C34</f>
        <v>12667.755000000001</v>
      </c>
      <c r="D33" s="207"/>
      <c r="E33" s="313">
        <f t="shared" si="2"/>
        <v>1070.2210000000014</v>
      </c>
      <c r="F33" s="100"/>
      <c r="G33" s="158" t="s">
        <v>1254</v>
      </c>
      <c r="H33" s="207">
        <f>'IncomeandExpenditure Data'!F34</f>
        <v>69061.532000000021</v>
      </c>
      <c r="I33" s="207">
        <f>'IncomeandExpenditure Data'!G34</f>
        <v>70909.446000000011</v>
      </c>
      <c r="J33" s="208">
        <f t="shared" ref="J33:J47" si="6">I33-H33</f>
        <v>1847.9139999999898</v>
      </c>
      <c r="K33" s="29"/>
      <c r="L33" s="35"/>
      <c r="M33" s="35"/>
      <c r="N33" s="1883"/>
      <c r="O33" s="1883"/>
    </row>
    <row r="34" spans="1:21" ht="10.5" customHeight="1">
      <c r="A34" s="158" t="s">
        <v>1255</v>
      </c>
      <c r="B34" s="207">
        <f>'IncomeandExpenditure Data'!B35</f>
        <v>9756.59</v>
      </c>
      <c r="C34" s="207">
        <f>'IncomeandExpenditure Data'!C35</f>
        <v>9669.2919999999995</v>
      </c>
      <c r="D34" s="207"/>
      <c r="E34" s="208">
        <f t="shared" si="2"/>
        <v>-87.298000000000684</v>
      </c>
      <c r="F34" s="100"/>
      <c r="G34" s="158" t="s">
        <v>1255</v>
      </c>
      <c r="H34" s="207">
        <f>'IncomeandExpenditure Data'!F35</f>
        <v>52394.699000000001</v>
      </c>
      <c r="I34" s="207">
        <f>'IncomeandExpenditure Data'!G35</f>
        <v>52094.334000000003</v>
      </c>
      <c r="J34" s="208">
        <f t="shared" si="6"/>
        <v>-300.36499999999796</v>
      </c>
      <c r="K34" s="29"/>
      <c r="L34" s="35"/>
      <c r="M34" s="35"/>
      <c r="N34" s="1883"/>
      <c r="O34" s="1883"/>
    </row>
    <row r="35" spans="1:21" ht="10.5" customHeight="1">
      <c r="A35" s="158" t="s">
        <v>765</v>
      </c>
      <c r="B35" s="207">
        <f>'IncomeandExpenditure Data'!B36</f>
        <v>1117.6859999999999</v>
      </c>
      <c r="C35" s="207">
        <f>'IncomeandExpenditure Data'!C36</f>
        <v>1477.261</v>
      </c>
      <c r="D35" s="207"/>
      <c r="E35" s="208">
        <f t="shared" si="2"/>
        <v>359.57500000000005</v>
      </c>
      <c r="F35" s="100"/>
      <c r="G35" s="158" t="s">
        <v>765</v>
      </c>
      <c r="H35" s="207">
        <f>'IncomeandExpenditure Data'!F36</f>
        <v>6690.1149999999998</v>
      </c>
      <c r="I35" s="207">
        <f>'IncomeandExpenditure Data'!G36</f>
        <v>6881.351999999999</v>
      </c>
      <c r="J35" s="208">
        <f t="shared" si="6"/>
        <v>191.23699999999917</v>
      </c>
      <c r="K35" s="29"/>
      <c r="L35" s="35"/>
      <c r="M35" s="35"/>
      <c r="N35" s="1883"/>
      <c r="O35" s="1883"/>
      <c r="Q35" s="1883"/>
    </row>
    <row r="36" spans="1:21" ht="10.5" customHeight="1">
      <c r="A36" s="158" t="s">
        <v>766</v>
      </c>
      <c r="B36" s="207">
        <f>'IncomeandExpenditure Data'!B37</f>
        <v>1048.6790000000001</v>
      </c>
      <c r="C36" s="207">
        <f>'IncomeandExpenditure Data'!C37</f>
        <v>964.78899999999999</v>
      </c>
      <c r="D36" s="207"/>
      <c r="E36" s="208">
        <f t="shared" si="2"/>
        <v>-83.8900000000001</v>
      </c>
      <c r="F36" s="100"/>
      <c r="G36" s="158" t="s">
        <v>766</v>
      </c>
      <c r="H36" s="207">
        <f>'IncomeandExpenditure Data'!F37</f>
        <v>6297.295000000001</v>
      </c>
      <c r="I36" s="207">
        <f>'IncomeandExpenditure Data'!G37</f>
        <v>5981.3919999999998</v>
      </c>
      <c r="J36" s="208">
        <f t="shared" si="6"/>
        <v>-315.90300000000116</v>
      </c>
      <c r="K36" s="29"/>
      <c r="L36" s="35"/>
      <c r="M36" s="35"/>
      <c r="N36" s="1883"/>
      <c r="O36" s="1883"/>
      <c r="Q36" s="186"/>
    </row>
    <row r="37" spans="1:21" ht="10.5" customHeight="1">
      <c r="A37" s="158" t="s">
        <v>767</v>
      </c>
      <c r="B37" s="207">
        <f>'IncomeandExpenditure Data'!B38</f>
        <v>201.70699999999999</v>
      </c>
      <c r="C37" s="207">
        <f>'IncomeandExpenditure Data'!C38</f>
        <v>220.45699999999999</v>
      </c>
      <c r="D37" s="207"/>
      <c r="E37" s="208">
        <f t="shared" si="2"/>
        <v>18.75</v>
      </c>
      <c r="F37" s="100"/>
      <c r="G37" s="158" t="s">
        <v>767</v>
      </c>
      <c r="H37" s="207">
        <f>'IncomeandExpenditure Data'!F38</f>
        <v>1210.2389999999998</v>
      </c>
      <c r="I37" s="207">
        <f>'IncomeandExpenditure Data'!G38</f>
        <v>1209.2840000000001</v>
      </c>
      <c r="J37" s="208">
        <f t="shared" si="6"/>
        <v>-0.95499999999969987</v>
      </c>
      <c r="K37" s="29"/>
      <c r="L37" s="35"/>
      <c r="M37" s="35"/>
      <c r="N37" s="1883"/>
      <c r="O37" s="1883"/>
      <c r="Q37" s="186"/>
    </row>
    <row r="38" spans="1:21" ht="10.5" customHeight="1">
      <c r="A38" s="158" t="s">
        <v>548</v>
      </c>
      <c r="B38" s="207">
        <f>'IncomeandExpenditure Data'!B39</f>
        <v>3499</v>
      </c>
      <c r="C38" s="207">
        <f>'IncomeandExpenditure Data'!C39</f>
        <v>3374.9740000000002</v>
      </c>
      <c r="D38" s="207"/>
      <c r="E38" s="208">
        <f t="shared" si="2"/>
        <v>-124.02599999999984</v>
      </c>
      <c r="F38" s="100"/>
      <c r="G38" s="158" t="s">
        <v>548</v>
      </c>
      <c r="H38" s="207">
        <f>'IncomeandExpenditure Data'!F39</f>
        <v>20853.006000000005</v>
      </c>
      <c r="I38" s="207">
        <f>'IncomeandExpenditure Data'!G39</f>
        <v>20296.552</v>
      </c>
      <c r="J38" s="208">
        <f t="shared" si="6"/>
        <v>-556.45400000000518</v>
      </c>
      <c r="K38" s="29"/>
      <c r="L38" s="35"/>
      <c r="M38" s="35"/>
      <c r="N38" s="1883"/>
      <c r="O38" s="1883"/>
    </row>
    <row r="39" spans="1:21" ht="10.5" customHeight="1">
      <c r="A39" s="158" t="s">
        <v>1256</v>
      </c>
      <c r="B39" s="207">
        <f>'IncomeandExpenditure Data'!B40</f>
        <v>1049.076</v>
      </c>
      <c r="C39" s="207">
        <f>'IncomeandExpenditure Data'!C40</f>
        <v>1294.1390000000001</v>
      </c>
      <c r="D39" s="207"/>
      <c r="E39" s="208">
        <f t="shared" si="2"/>
        <v>245.0630000000001</v>
      </c>
      <c r="F39" s="100"/>
      <c r="G39" s="158" t="s">
        <v>1256</v>
      </c>
      <c r="H39" s="207">
        <f>'IncomeandExpenditure Data'!F40</f>
        <v>6071.621000000001</v>
      </c>
      <c r="I39" s="207">
        <f>'IncomeandExpenditure Data'!G40</f>
        <v>5986.8640000000014</v>
      </c>
      <c r="J39" s="208">
        <f t="shared" si="6"/>
        <v>-84.756999999999607</v>
      </c>
      <c r="K39" s="29"/>
      <c r="L39" s="35"/>
      <c r="M39" s="35"/>
      <c r="N39" s="1883"/>
      <c r="O39" s="1883"/>
    </row>
    <row r="40" spans="1:21" ht="10.5" customHeight="1">
      <c r="A40" s="158" t="s">
        <v>1300</v>
      </c>
      <c r="B40" s="207">
        <f>'IncomeandExpenditure Data'!B41</f>
        <v>438.01099999999997</v>
      </c>
      <c r="C40" s="207">
        <f>'IncomeandExpenditure Data'!C41</f>
        <v>733.36799999999994</v>
      </c>
      <c r="D40" s="207"/>
      <c r="E40" s="208">
        <f t="shared" ref="E40" si="7">C40-B40</f>
        <v>295.35699999999997</v>
      </c>
      <c r="F40" s="100"/>
      <c r="G40" s="158" t="s">
        <v>1300</v>
      </c>
      <c r="H40" s="207">
        <f>'IncomeandExpenditure Data'!F41</f>
        <v>2533.0730000000003</v>
      </c>
      <c r="I40" s="207">
        <f>'IncomeandExpenditure Data'!G41</f>
        <v>3380.6419999999998</v>
      </c>
      <c r="J40" s="208">
        <f t="shared" ref="J40" si="8">I40-H40</f>
        <v>847.56899999999951</v>
      </c>
      <c r="K40" s="29"/>
      <c r="L40" s="35"/>
      <c r="M40" s="35"/>
      <c r="N40" s="1883"/>
      <c r="O40" s="1883"/>
    </row>
    <row r="41" spans="1:21" ht="10.5" customHeight="1">
      <c r="A41" s="129" t="s">
        <v>1284</v>
      </c>
      <c r="B41" s="207">
        <f>'IncomeandExpenditure Data'!B42</f>
        <v>-0.39499999999999602</v>
      </c>
      <c r="C41" s="207">
        <f>'IncomeandExpenditure Data'!C42</f>
        <v>216.55500000000001</v>
      </c>
      <c r="D41" s="207"/>
      <c r="E41" s="208">
        <f t="shared" si="2"/>
        <v>216.95</v>
      </c>
      <c r="G41" s="129" t="s">
        <v>1284</v>
      </c>
      <c r="H41" s="207">
        <f>'IncomeandExpenditure Data'!F42</f>
        <v>-0.42399999999999616</v>
      </c>
      <c r="I41" s="207">
        <f>'IncomeandExpenditure Data'!G42</f>
        <v>578.86599999999999</v>
      </c>
      <c r="J41" s="208">
        <f t="shared" si="6"/>
        <v>579.29</v>
      </c>
      <c r="K41" s="29"/>
      <c r="L41" s="35"/>
      <c r="M41" s="35"/>
      <c r="N41" s="1883"/>
      <c r="O41" s="1883"/>
    </row>
    <row r="42" spans="1:21" ht="10.5" customHeight="1">
      <c r="A42" s="158" t="s">
        <v>1257</v>
      </c>
      <c r="B42" s="207">
        <f>'IncomeandExpenditure Data'!B43</f>
        <v>3212.85</v>
      </c>
      <c r="C42" s="207">
        <f>'IncomeandExpenditure Data'!C43</f>
        <v>3212.55</v>
      </c>
      <c r="D42" s="207"/>
      <c r="E42" s="313">
        <f t="shared" si="2"/>
        <v>-0.29999999999972715</v>
      </c>
      <c r="G42" s="158" t="s">
        <v>1257</v>
      </c>
      <c r="H42" s="207">
        <f>'IncomeandExpenditure Data'!F43</f>
        <v>19277.099999999995</v>
      </c>
      <c r="I42" s="207">
        <f>'IncomeandExpenditure Data'!G43</f>
        <v>19276.809999999998</v>
      </c>
      <c r="J42" s="208">
        <f t="shared" si="6"/>
        <v>-0.28999999999723514</v>
      </c>
      <c r="K42" s="29"/>
      <c r="L42" s="35"/>
      <c r="M42" s="35"/>
      <c r="N42" s="1883"/>
      <c r="O42" s="1883"/>
    </row>
    <row r="43" spans="1:21" ht="10.5" customHeight="1">
      <c r="A43" s="158" t="s">
        <v>768</v>
      </c>
      <c r="B43" s="207">
        <f>'IncomeandExpenditure Data'!B44</f>
        <v>690.12199999999996</v>
      </c>
      <c r="C43" s="207">
        <f>'IncomeandExpenditure Data'!C44</f>
        <v>583.00400000000002</v>
      </c>
      <c r="D43" s="207"/>
      <c r="E43" s="208">
        <f t="shared" si="2"/>
        <v>-107.11799999999994</v>
      </c>
      <c r="G43" s="158" t="s">
        <v>768</v>
      </c>
      <c r="H43" s="779">
        <f>'IncomeandExpenditure Data'!F44</f>
        <v>4140.7339999999995</v>
      </c>
      <c r="I43" s="207">
        <f>'IncomeandExpenditure Data'!G44</f>
        <v>3927.8999999999996</v>
      </c>
      <c r="J43" s="313">
        <f t="shared" si="6"/>
        <v>-212.83399999999983</v>
      </c>
      <c r="K43" s="29"/>
      <c r="L43" s="35"/>
      <c r="M43" s="35"/>
      <c r="N43" s="1883"/>
      <c r="O43" s="1883"/>
    </row>
    <row r="44" spans="1:21" ht="10.5" customHeight="1">
      <c r="A44" s="129" t="s">
        <v>764</v>
      </c>
      <c r="B44" s="207">
        <f>'IncomeandExpenditure Data'!B45</f>
        <v>1395.5409999999999</v>
      </c>
      <c r="C44" s="207">
        <f>'IncomeandExpenditure Data'!C45</f>
        <v>1932.4659999999999</v>
      </c>
      <c r="D44" s="207"/>
      <c r="E44" s="208">
        <f t="shared" si="2"/>
        <v>536.92499999999995</v>
      </c>
      <c r="G44" s="129" t="s">
        <v>764</v>
      </c>
      <c r="H44" s="207">
        <f>'IncomeandExpenditure Data'!F45</f>
        <v>8373.2360000000008</v>
      </c>
      <c r="I44" s="207">
        <f>'IncomeandExpenditure Data'!G45</f>
        <v>8763.1200000000008</v>
      </c>
      <c r="J44" s="208">
        <f t="shared" si="6"/>
        <v>389.88400000000001</v>
      </c>
      <c r="K44" s="29"/>
      <c r="L44" s="35"/>
      <c r="M44" s="35"/>
      <c r="N44" s="1883"/>
      <c r="O44" s="1883"/>
    </row>
    <row r="45" spans="1:21" ht="10.5" customHeight="1">
      <c r="A45" s="129" t="s">
        <v>1301</v>
      </c>
      <c r="B45" s="207">
        <f>'IncomeandExpenditure Data'!B46</f>
        <v>49.186</v>
      </c>
      <c r="C45" s="207">
        <f>'IncomeandExpenditure Data'!C46</f>
        <v>39.518999999999998</v>
      </c>
      <c r="D45" s="207"/>
      <c r="E45" s="208">
        <f t="shared" ref="E45" si="9">C45-B45</f>
        <v>-9.6670000000000016</v>
      </c>
      <c r="G45" s="129" t="s">
        <v>1301</v>
      </c>
      <c r="H45" s="207">
        <f>'IncomeandExpenditure Data'!F46</f>
        <v>295.11599999999999</v>
      </c>
      <c r="I45" s="207">
        <f>'IncomeandExpenditure Data'!G46</f>
        <v>277.08900000000006</v>
      </c>
      <c r="J45" s="208">
        <f t="shared" ref="J45" si="10">I45-H45</f>
        <v>-18.02699999999993</v>
      </c>
      <c r="K45" s="29"/>
      <c r="L45" s="35"/>
      <c r="M45" s="35"/>
      <c r="N45" s="1883"/>
      <c r="O45" s="1883"/>
    </row>
    <row r="46" spans="1:21" ht="13.5" customHeight="1">
      <c r="A46" s="161" t="s">
        <v>211</v>
      </c>
      <c r="B46" s="201">
        <f>SUM(B33:B45)</f>
        <v>34055.587</v>
      </c>
      <c r="C46" s="201">
        <f>SUM(C33:C45)</f>
        <v>36386.129000000001</v>
      </c>
      <c r="D46" s="201"/>
      <c r="E46" s="202">
        <f t="shared" si="2"/>
        <v>2330.5420000000013</v>
      </c>
      <c r="G46" s="161" t="s">
        <v>211</v>
      </c>
      <c r="H46" s="201">
        <f>SUM(H33:H45)</f>
        <v>197197.34200000006</v>
      </c>
      <c r="I46" s="201">
        <f>SUM(I33:I45)</f>
        <v>199563.65100000001</v>
      </c>
      <c r="J46" s="202">
        <f t="shared" si="6"/>
        <v>2366.3089999999502</v>
      </c>
      <c r="K46" s="29"/>
      <c r="L46" s="35"/>
      <c r="M46" s="35"/>
      <c r="N46" s="1883"/>
      <c r="O46" s="1883"/>
      <c r="T46" s="1873"/>
      <c r="U46" s="186"/>
    </row>
    <row r="47" spans="1:21" ht="10.5" customHeight="1">
      <c r="A47" s="163" t="s">
        <v>210</v>
      </c>
      <c r="B47" s="209">
        <f>B31+B46</f>
        <v>91673.59</v>
      </c>
      <c r="C47" s="209">
        <f>C31+C46</f>
        <v>93978.675000000017</v>
      </c>
      <c r="D47" s="209"/>
      <c r="E47" s="210">
        <f t="shared" si="2"/>
        <v>2305.085000000021</v>
      </c>
      <c r="G47" s="163" t="s">
        <v>210</v>
      </c>
      <c r="H47" s="209">
        <f>H31+H46</f>
        <v>531476.47600000002</v>
      </c>
      <c r="I47" s="209">
        <f>I31+I46</f>
        <v>533904.93800000008</v>
      </c>
      <c r="J47" s="210">
        <f t="shared" si="6"/>
        <v>2428.4620000000577</v>
      </c>
      <c r="K47" s="29"/>
      <c r="L47" s="35"/>
      <c r="M47" s="35"/>
      <c r="N47" s="1883"/>
      <c r="O47" s="1883"/>
    </row>
    <row r="48" spans="1:21" ht="10.5" customHeight="1">
      <c r="A48" s="678"/>
      <c r="B48" s="201"/>
      <c r="C48" s="201"/>
      <c r="D48" s="201"/>
      <c r="E48" s="201"/>
      <c r="G48" s="678"/>
      <c r="H48" s="201"/>
      <c r="I48" s="201"/>
      <c r="J48" s="201"/>
      <c r="K48" s="29"/>
      <c r="L48" s="1883"/>
      <c r="M48" s="1883"/>
      <c r="N48" s="35"/>
      <c r="O48" s="35"/>
    </row>
    <row r="49" spans="1:13" ht="10.5" customHeight="1">
      <c r="A49" s="678"/>
      <c r="B49" s="201"/>
      <c r="C49" s="201"/>
      <c r="D49" s="201"/>
      <c r="E49" s="201"/>
      <c r="G49" s="678"/>
      <c r="H49" s="201"/>
      <c r="I49" s="201"/>
      <c r="J49" s="201"/>
      <c r="K49" s="29"/>
      <c r="L49" s="1858"/>
      <c r="M49" s="29"/>
    </row>
    <row r="50" spans="1:13" ht="10.5" customHeight="1">
      <c r="A50" s="678"/>
      <c r="B50" s="201"/>
      <c r="C50" s="201"/>
      <c r="D50" s="201"/>
      <c r="E50" s="201"/>
      <c r="G50" s="678"/>
      <c r="H50" s="201"/>
      <c r="I50" s="201"/>
      <c r="J50" s="201"/>
      <c r="K50" s="29"/>
      <c r="L50" s="29"/>
      <c r="M50" s="29"/>
    </row>
    <row r="51" spans="1:13" ht="10.5" customHeight="1">
      <c r="A51" s="678"/>
      <c r="B51" s="201"/>
      <c r="C51" s="201"/>
      <c r="D51" s="201"/>
      <c r="E51" s="201"/>
      <c r="G51" s="678"/>
      <c r="H51" s="201"/>
      <c r="I51" s="201"/>
      <c r="J51" s="201"/>
      <c r="K51" s="29"/>
      <c r="L51" s="29"/>
      <c r="M51" s="29"/>
    </row>
    <row r="52" spans="1:13" ht="10.5" customHeight="1">
      <c r="A52" s="678"/>
      <c r="B52" s="201"/>
      <c r="C52" s="201"/>
      <c r="D52" s="201"/>
      <c r="E52" s="201"/>
      <c r="G52" s="678"/>
      <c r="H52" s="201"/>
      <c r="I52" s="201"/>
      <c r="J52" s="201"/>
      <c r="K52" s="29"/>
      <c r="L52" s="29"/>
      <c r="M52" s="29"/>
    </row>
    <row r="53" spans="1:13" ht="10.5" customHeight="1">
      <c r="A53" s="678"/>
      <c r="B53" s="201"/>
      <c r="C53" s="201"/>
      <c r="D53" s="201"/>
      <c r="E53" s="201"/>
      <c r="G53" s="678"/>
      <c r="H53" s="201"/>
      <c r="I53" s="201"/>
      <c r="J53" s="201"/>
      <c r="K53" s="29"/>
      <c r="L53" s="29"/>
      <c r="M53" s="29"/>
    </row>
    <row r="54" spans="1:13" ht="10.5" customHeight="1">
      <c r="A54" s="678"/>
      <c r="B54" s="201"/>
      <c r="C54" s="201"/>
      <c r="D54" s="201"/>
      <c r="E54" s="201"/>
      <c r="G54" s="678"/>
      <c r="H54" s="201"/>
      <c r="I54" s="201"/>
      <c r="J54" s="201"/>
      <c r="K54" s="29"/>
      <c r="L54" s="29"/>
      <c r="M54" s="29"/>
    </row>
    <row r="55" spans="1:13" ht="10.5" customHeight="1">
      <c r="A55" s="678"/>
      <c r="B55" s="201"/>
      <c r="C55" s="201"/>
      <c r="D55" s="201"/>
      <c r="E55" s="201"/>
      <c r="G55" s="678"/>
      <c r="H55" s="201"/>
      <c r="I55" s="201"/>
      <c r="J55" s="201"/>
      <c r="K55" s="29"/>
      <c r="L55" s="29"/>
      <c r="M55" s="29"/>
    </row>
    <row r="56" spans="1:13" ht="10.5" customHeight="1">
      <c r="A56" s="678"/>
      <c r="B56" s="201"/>
      <c r="C56" s="201"/>
      <c r="D56" s="201"/>
      <c r="E56" s="201"/>
      <c r="G56" s="678"/>
      <c r="H56" s="201"/>
      <c r="I56" s="201"/>
      <c r="J56" s="201"/>
      <c r="K56" s="29"/>
      <c r="L56" s="29"/>
      <c r="M56" s="29"/>
    </row>
    <row r="57" spans="1:13" ht="10.5" customHeight="1">
      <c r="A57" s="678"/>
      <c r="B57" s="201"/>
      <c r="C57" s="201"/>
      <c r="D57" s="201"/>
      <c r="E57" s="201"/>
      <c r="G57" s="678"/>
      <c r="H57" s="201"/>
      <c r="I57" s="201"/>
      <c r="J57" s="201"/>
      <c r="K57" s="29"/>
      <c r="L57" s="29"/>
      <c r="M57" s="29"/>
    </row>
    <row r="58" spans="1:13" ht="10.5" customHeight="1">
      <c r="A58" s="678"/>
      <c r="B58" s="201"/>
      <c r="C58" s="201"/>
      <c r="D58" s="201"/>
      <c r="E58" s="201"/>
      <c r="G58" s="678"/>
      <c r="H58" s="201"/>
      <c r="I58" s="201"/>
      <c r="J58" s="201"/>
      <c r="K58" s="29"/>
      <c r="L58" s="29"/>
      <c r="M58" s="29"/>
    </row>
    <row r="59" spans="1:13" ht="10.5" customHeight="1">
      <c r="A59" s="678"/>
      <c r="B59" s="201"/>
      <c r="C59" s="201"/>
      <c r="D59" s="201"/>
      <c r="E59" s="201"/>
      <c r="G59" s="678"/>
      <c r="H59" s="201"/>
      <c r="I59" s="201"/>
      <c r="J59" s="201"/>
      <c r="K59" s="29"/>
      <c r="L59" s="29"/>
      <c r="M59" s="29"/>
    </row>
    <row r="60" spans="1:13" ht="10.5" customHeight="1">
      <c r="A60" s="678"/>
      <c r="B60" s="201"/>
      <c r="C60" s="201"/>
      <c r="D60" s="201"/>
      <c r="E60" s="201"/>
      <c r="G60" s="678"/>
      <c r="H60" s="201"/>
      <c r="I60" s="201"/>
      <c r="J60" s="201"/>
    </row>
    <row r="61" spans="1:13" ht="10.5" customHeight="1">
      <c r="A61" s="678"/>
      <c r="B61" s="201"/>
      <c r="C61" s="201"/>
      <c r="D61" s="201"/>
      <c r="E61" s="201"/>
      <c r="G61" s="678"/>
      <c r="H61" s="201"/>
      <c r="I61" s="201"/>
      <c r="J61" s="201"/>
    </row>
    <row r="62" spans="1:13" ht="10.5" customHeight="1">
      <c r="A62" s="678"/>
      <c r="B62" s="201"/>
      <c r="C62" s="201"/>
      <c r="D62" s="201"/>
      <c r="E62" s="201"/>
      <c r="G62" s="678"/>
      <c r="H62" s="201"/>
      <c r="I62" s="201"/>
      <c r="J62" s="201"/>
    </row>
    <row r="63" spans="1:13" ht="10.5" customHeight="1">
      <c r="A63" s="678"/>
      <c r="B63" s="201"/>
      <c r="C63" s="201"/>
      <c r="D63" s="201"/>
      <c r="E63" s="201"/>
      <c r="G63" s="678"/>
      <c r="H63" s="201"/>
      <c r="I63" s="201"/>
      <c r="J63" s="201"/>
    </row>
    <row r="64" spans="1:13" ht="10.5" customHeight="1">
      <c r="A64" s="678"/>
      <c r="B64" s="201"/>
      <c r="C64" s="201"/>
      <c r="D64" s="201"/>
      <c r="E64" s="201"/>
      <c r="G64" s="678"/>
      <c r="H64" s="201"/>
      <c r="I64" s="201"/>
      <c r="J64" s="201"/>
    </row>
    <row r="65" spans="1:10" ht="10.5" customHeight="1">
      <c r="A65" s="678"/>
      <c r="B65" s="201"/>
      <c r="C65" s="201"/>
      <c r="D65" s="201"/>
      <c r="E65" s="201"/>
      <c r="G65" s="678"/>
      <c r="H65" s="201"/>
      <c r="I65" s="201"/>
      <c r="J65" s="201"/>
    </row>
    <row r="66" spans="1:10" ht="10.5" customHeight="1">
      <c r="A66" s="678"/>
      <c r="B66" s="201"/>
      <c r="C66" s="201"/>
      <c r="D66" s="201"/>
      <c r="E66" s="201"/>
      <c r="G66" s="678"/>
      <c r="H66" s="201"/>
      <c r="I66" s="201"/>
      <c r="J66" s="201"/>
    </row>
    <row r="67" spans="1:10" ht="10.5" customHeight="1">
      <c r="A67" s="678"/>
      <c r="B67" s="201"/>
      <c r="C67" s="201"/>
      <c r="D67" s="201"/>
      <c r="E67" s="201"/>
      <c r="G67" s="678"/>
      <c r="H67" s="201"/>
      <c r="I67" s="201"/>
      <c r="J67" s="201"/>
    </row>
    <row r="68" spans="1:10" ht="10.5" customHeight="1">
      <c r="A68" s="678"/>
      <c r="B68" s="201"/>
      <c r="C68" s="201"/>
      <c r="D68" s="201"/>
      <c r="E68" s="201"/>
      <c r="G68" s="678"/>
      <c r="H68" s="201"/>
      <c r="I68" s="201"/>
      <c r="J68" s="201"/>
    </row>
    <row r="69" spans="1:10" ht="10.5" customHeight="1">
      <c r="A69" s="678"/>
      <c r="B69" s="201"/>
      <c r="C69" s="201"/>
      <c r="D69" s="201"/>
      <c r="E69" s="201"/>
      <c r="G69" s="678"/>
      <c r="H69" s="201"/>
      <c r="I69" s="201"/>
      <c r="J69" s="201"/>
    </row>
    <row r="70" spans="1:10" ht="10.5" customHeight="1">
      <c r="A70" s="678"/>
      <c r="B70" s="201"/>
      <c r="C70" s="201"/>
      <c r="D70" s="201"/>
      <c r="E70" s="201"/>
      <c r="G70" s="678"/>
      <c r="H70" s="201"/>
      <c r="I70" s="201"/>
      <c r="J70" s="201"/>
    </row>
    <row r="71" spans="1:10" ht="10.5" customHeight="1">
      <c r="A71" s="678"/>
      <c r="B71" s="201"/>
      <c r="C71" s="201"/>
      <c r="D71" s="201"/>
      <c r="E71" s="201"/>
      <c r="G71" s="678"/>
      <c r="H71" s="201"/>
      <c r="I71" s="201"/>
      <c r="J71" s="201"/>
    </row>
    <row r="72" spans="1:10" ht="10.5" customHeight="1">
      <c r="A72" s="678"/>
      <c r="B72" s="201"/>
      <c r="C72" s="201"/>
      <c r="D72" s="201"/>
      <c r="E72" s="201"/>
      <c r="G72" s="678"/>
      <c r="H72" s="201"/>
      <c r="I72" s="201"/>
      <c r="J72" s="201"/>
    </row>
    <row r="73" spans="1:10" ht="10.5" customHeight="1">
      <c r="A73" s="678"/>
      <c r="B73" s="201"/>
      <c r="C73" s="201"/>
      <c r="D73" s="201"/>
      <c r="E73" s="201"/>
      <c r="G73" s="678"/>
      <c r="H73" s="201"/>
      <c r="I73" s="201"/>
      <c r="J73" s="201"/>
    </row>
    <row r="74" spans="1:10" ht="10.5" customHeight="1">
      <c r="A74" s="678"/>
      <c r="B74" s="201"/>
      <c r="C74" s="201"/>
      <c r="D74" s="201"/>
      <c r="E74" s="201"/>
      <c r="G74" s="678"/>
      <c r="H74" s="201"/>
      <c r="I74" s="201"/>
      <c r="J74" s="201"/>
    </row>
    <row r="75" spans="1:10" ht="10.5" customHeight="1">
      <c r="A75" s="678"/>
      <c r="B75" s="201"/>
      <c r="C75" s="201"/>
      <c r="D75" s="201"/>
      <c r="E75" s="201"/>
      <c r="G75" s="678"/>
      <c r="H75" s="201"/>
      <c r="I75" s="201"/>
      <c r="J75" s="201"/>
    </row>
    <row r="76" spans="1:10" ht="3.75" customHeight="1"/>
    <row r="77" spans="1:10" hidden="1">
      <c r="A77" s="2142" t="s">
        <v>222</v>
      </c>
      <c r="B77" s="2137"/>
      <c r="C77" s="2138"/>
      <c r="D77" s="111"/>
      <c r="E77" s="2142" t="s">
        <v>220</v>
      </c>
      <c r="F77" s="2132"/>
      <c r="G77" s="2132"/>
      <c r="H77" s="2132"/>
      <c r="I77" s="2132"/>
      <c r="J77" s="2133"/>
    </row>
    <row r="78" spans="1:10" hidden="1">
      <c r="A78" s="2216"/>
      <c r="B78" s="2284"/>
      <c r="C78" s="2218"/>
      <c r="D78" s="111"/>
      <c r="E78" s="2285"/>
      <c r="F78" s="2286"/>
      <c r="G78" s="2286"/>
      <c r="H78" s="2286"/>
      <c r="I78" s="2286"/>
      <c r="J78" s="2287"/>
    </row>
    <row r="79" spans="1:10" ht="66" hidden="1" customHeight="1">
      <c r="A79" s="2139"/>
      <c r="B79" s="2140"/>
      <c r="C79" s="2141"/>
      <c r="D79" s="111"/>
      <c r="E79" s="2134"/>
      <c r="F79" s="2135"/>
      <c r="G79" s="2135"/>
      <c r="H79" s="2135"/>
      <c r="I79" s="2135"/>
      <c r="J79" s="2136"/>
    </row>
    <row r="80" spans="1:10" ht="3.75" customHeight="1"/>
    <row r="81" spans="1:10">
      <c r="A81" s="72"/>
      <c r="B81" s="30"/>
      <c r="C81" s="30"/>
      <c r="D81" s="30"/>
      <c r="E81" s="30"/>
      <c r="G81" s="72"/>
      <c r="H81" s="30"/>
      <c r="I81" s="30"/>
      <c r="J81" s="30"/>
    </row>
    <row r="82" spans="1:10">
      <c r="A82" s="72"/>
      <c r="B82" s="30"/>
      <c r="C82" s="30"/>
      <c r="D82" s="30"/>
      <c r="E82" s="30"/>
      <c r="G82" s="72"/>
      <c r="H82" s="30"/>
      <c r="I82" s="30"/>
      <c r="J82" s="30"/>
    </row>
    <row r="83" spans="1:10">
      <c r="A83" s="30"/>
      <c r="B83" s="30"/>
      <c r="C83" s="30"/>
      <c r="D83" s="30"/>
      <c r="E83" s="30"/>
      <c r="G83" s="30"/>
      <c r="H83" s="30"/>
      <c r="I83" s="30"/>
      <c r="J83" s="30"/>
    </row>
    <row r="84" spans="1:10">
      <c r="A84" s="30"/>
      <c r="B84" s="30"/>
      <c r="C84" s="30"/>
      <c r="D84" s="30"/>
      <c r="E84" s="30"/>
      <c r="G84" s="30"/>
      <c r="H84" s="30"/>
      <c r="I84" s="30"/>
      <c r="J84" s="30"/>
    </row>
    <row r="85" spans="1:10">
      <c r="A85" s="30"/>
      <c r="B85" s="30"/>
      <c r="C85" s="30"/>
      <c r="D85" s="30"/>
      <c r="E85" s="30"/>
      <c r="G85" s="30"/>
      <c r="H85" s="30"/>
      <c r="I85" s="30"/>
      <c r="J85" s="30"/>
    </row>
    <row r="86" spans="1:10">
      <c r="A86" s="30"/>
      <c r="B86" s="30"/>
      <c r="C86" s="30"/>
      <c r="D86" s="30"/>
      <c r="E86" s="30"/>
      <c r="G86" s="30"/>
      <c r="H86" s="30"/>
      <c r="I86" s="30"/>
      <c r="J86" s="30"/>
    </row>
    <row r="87" spans="1:10" ht="4.5" customHeight="1">
      <c r="A87" s="30"/>
      <c r="B87" s="30"/>
      <c r="C87" s="30"/>
      <c r="D87" s="30"/>
      <c r="E87" s="30"/>
      <c r="G87" s="30"/>
      <c r="H87" s="30"/>
      <c r="I87" s="30"/>
      <c r="J87" s="30"/>
    </row>
    <row r="88" spans="1:10">
      <c r="A88" s="30"/>
      <c r="B88" s="30"/>
      <c r="C88" s="30"/>
      <c r="D88" s="30"/>
      <c r="E88" s="30"/>
      <c r="G88" s="30"/>
      <c r="H88" s="30"/>
      <c r="I88" s="30"/>
      <c r="J88" s="30"/>
    </row>
    <row r="89" spans="1:10">
      <c r="A89" s="30"/>
      <c r="B89" s="30"/>
      <c r="C89" s="30"/>
      <c r="D89" s="30"/>
      <c r="E89" s="30"/>
      <c r="G89" s="30"/>
      <c r="H89" s="30"/>
      <c r="I89" s="30"/>
      <c r="J89" s="30"/>
    </row>
    <row r="90" spans="1:10">
      <c r="A90" s="30"/>
      <c r="B90" s="30"/>
      <c r="C90" s="30"/>
      <c r="D90" s="30"/>
      <c r="E90" s="30"/>
      <c r="G90" s="30"/>
      <c r="H90" s="30"/>
      <c r="I90" s="30"/>
      <c r="J90" s="30"/>
    </row>
    <row r="91" spans="1:10">
      <c r="A91" s="30"/>
      <c r="B91" s="30"/>
      <c r="C91" s="30"/>
      <c r="D91" s="30"/>
      <c r="E91" s="30"/>
      <c r="G91" s="30"/>
      <c r="H91" s="30"/>
      <c r="I91" s="30"/>
      <c r="J91" s="30"/>
    </row>
    <row r="92" spans="1:10">
      <c r="A92" s="30"/>
      <c r="B92" s="30"/>
      <c r="C92" s="30"/>
      <c r="D92" s="30"/>
      <c r="E92" s="30"/>
      <c r="G92" s="30"/>
      <c r="H92" s="30"/>
      <c r="I92" s="30"/>
      <c r="J92" s="30"/>
    </row>
    <row r="93" spans="1:10">
      <c r="A93" s="30"/>
      <c r="B93" s="30"/>
      <c r="C93" s="30"/>
      <c r="D93" s="30"/>
      <c r="E93" s="30"/>
      <c r="G93" s="30"/>
      <c r="H93" s="30"/>
      <c r="I93" s="30"/>
      <c r="J93" s="30"/>
    </row>
    <row r="94" spans="1:10" ht="3.75" customHeight="1"/>
    <row r="95" spans="1:10">
      <c r="A95" s="72"/>
      <c r="B95" s="30"/>
      <c r="C95" s="30"/>
      <c r="D95" s="30"/>
    </row>
    <row r="96" spans="1:10">
      <c r="A96" s="30"/>
      <c r="B96" s="30"/>
      <c r="C96" s="30"/>
      <c r="D96" s="30"/>
    </row>
    <row r="97" spans="1:4">
      <c r="A97" s="30"/>
      <c r="B97" s="30"/>
      <c r="C97" s="30"/>
      <c r="D97" s="30"/>
    </row>
    <row r="98" spans="1:4">
      <c r="A98" s="30"/>
      <c r="B98" s="30"/>
      <c r="C98" s="30"/>
      <c r="D98" s="30"/>
    </row>
    <row r="99" spans="1:4">
      <c r="A99" s="30"/>
      <c r="B99" s="30"/>
      <c r="C99" s="30"/>
      <c r="D99" s="30"/>
    </row>
    <row r="100" spans="1:4">
      <c r="A100" s="30"/>
      <c r="B100" s="30"/>
      <c r="C100" s="30"/>
      <c r="D100" s="30"/>
    </row>
    <row r="101" spans="1:4">
      <c r="A101" s="30"/>
      <c r="B101" s="30"/>
      <c r="C101" s="30"/>
      <c r="D101" s="30"/>
    </row>
  </sheetData>
  <mergeCells count="5">
    <mergeCell ref="A3:J5"/>
    <mergeCell ref="A15:E16"/>
    <mergeCell ref="G15:J16"/>
    <mergeCell ref="A77:C79"/>
    <mergeCell ref="E77:J79"/>
  </mergeCells>
  <phoneticPr fontId="8" type="noConversion"/>
  <printOptions horizontalCentered="1"/>
  <pageMargins left="0.27559055118110237" right="0.23622047244094491" top="0.19685039370078741" bottom="0.35433070866141736" header="0" footer="0.19685039370078741"/>
  <pageSetup paperSize="9" scale="77" orientation="landscape" r:id="rId1"/>
  <headerFooter alignWithMargins="0">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AB77"/>
  <sheetViews>
    <sheetView showGridLines="0" zoomScale="75" workbookViewId="0">
      <selection activeCell="J26" sqref="J26"/>
    </sheetView>
  </sheetViews>
  <sheetFormatPr defaultColWidth="9.109375" defaultRowHeight="13.2"/>
  <cols>
    <col min="1" max="1" width="40.44140625" style="816" customWidth="1"/>
    <col min="2" max="2" width="7.109375" style="816" customWidth="1"/>
    <col min="3" max="3" width="13.109375" style="816" customWidth="1"/>
    <col min="4" max="6" width="13.88671875" style="816" customWidth="1"/>
    <col min="7" max="7" width="10.5546875" style="816" customWidth="1"/>
    <col min="8" max="8" width="9.88671875" style="816" customWidth="1"/>
    <col min="9" max="9" width="5.44140625" style="816" customWidth="1"/>
    <col min="10" max="10" width="52.88671875" style="816" customWidth="1"/>
    <col min="11" max="14" width="13" style="816" customWidth="1"/>
    <col min="15" max="15" width="4" style="816" customWidth="1"/>
    <col min="16" max="19" width="11.109375" style="816" customWidth="1"/>
    <col min="20" max="20" width="4.109375" style="816" customWidth="1"/>
    <col min="21" max="21" width="10.6640625" style="816" customWidth="1"/>
    <col min="22" max="23" width="9.109375" style="816"/>
    <col min="24" max="24" width="9.6640625" style="816" customWidth="1"/>
    <col min="25" max="26" width="9.109375" style="816"/>
    <col min="27" max="27" width="10.6640625" style="816" customWidth="1"/>
    <col min="28" max="28" width="11.109375" style="816" bestFit="1" customWidth="1"/>
    <col min="29" max="16384" width="9.109375" style="816"/>
  </cols>
  <sheetData>
    <row r="1" spans="1:21" ht="21.6" thickBot="1">
      <c r="A1" s="812" t="s">
        <v>1030</v>
      </c>
      <c r="B1" s="860"/>
      <c r="C1" s="860"/>
      <c r="D1" s="860"/>
      <c r="E1" s="860"/>
      <c r="F1" s="860"/>
      <c r="G1" s="860"/>
      <c r="H1" s="813"/>
      <c r="I1" s="813" t="s">
        <v>39</v>
      </c>
      <c r="J1" s="860"/>
      <c r="K1" s="860"/>
      <c r="L1" s="860"/>
      <c r="M1" s="860"/>
      <c r="N1" s="860"/>
      <c r="O1" s="860"/>
      <c r="P1" s="860"/>
      <c r="Q1" s="860"/>
      <c r="R1" s="860"/>
      <c r="S1" s="860"/>
      <c r="T1" s="814" t="s">
        <v>32</v>
      </c>
      <c r="U1" s="815"/>
    </row>
    <row r="2" spans="1:21" ht="7.5" customHeight="1">
      <c r="A2" s="861"/>
      <c r="B2" s="861"/>
      <c r="C2" s="861"/>
      <c r="D2" s="862"/>
      <c r="E2" s="862"/>
      <c r="F2" s="862"/>
      <c r="G2" s="861"/>
      <c r="H2" s="861"/>
      <c r="I2" s="862"/>
      <c r="J2" s="861"/>
      <c r="K2" s="862"/>
      <c r="L2" s="862"/>
      <c r="M2" s="861"/>
      <c r="N2" s="861"/>
      <c r="O2" s="861"/>
      <c r="P2" s="861"/>
      <c r="Q2" s="862"/>
      <c r="R2" s="861"/>
      <c r="S2" s="861"/>
      <c r="T2" s="861"/>
    </row>
    <row r="3" spans="1:21" ht="12.75" customHeight="1">
      <c r="A3" s="2260" t="s">
        <v>338</v>
      </c>
      <c r="B3" s="2261"/>
      <c r="C3" s="2261"/>
      <c r="D3" s="2261"/>
      <c r="E3" s="2261"/>
      <c r="F3" s="2261"/>
      <c r="G3" s="2261"/>
      <c r="H3" s="2261"/>
      <c r="I3" s="2261"/>
      <c r="J3" s="2261"/>
      <c r="K3" s="2261"/>
      <c r="L3" s="2261"/>
      <c r="M3" s="2261"/>
      <c r="N3" s="2261"/>
      <c r="O3" s="2261"/>
      <c r="P3" s="2261"/>
      <c r="Q3" s="2261"/>
      <c r="R3" s="2261"/>
      <c r="S3" s="2261"/>
      <c r="T3" s="2262"/>
    </row>
    <row r="4" spans="1:21">
      <c r="A4" s="2263"/>
      <c r="B4" s="2264"/>
      <c r="C4" s="2264"/>
      <c r="D4" s="2264"/>
      <c r="E4" s="2264"/>
      <c r="F4" s="2264"/>
      <c r="G4" s="2264"/>
      <c r="H4" s="2264"/>
      <c r="I4" s="2264"/>
      <c r="J4" s="2264"/>
      <c r="K4" s="2264"/>
      <c r="L4" s="2264"/>
      <c r="M4" s="2264"/>
      <c r="N4" s="2264"/>
      <c r="O4" s="2264"/>
      <c r="P4" s="2264"/>
      <c r="Q4" s="2264"/>
      <c r="R4" s="2264"/>
      <c r="S4" s="2264"/>
      <c r="T4" s="2265"/>
    </row>
    <row r="5" spans="1:21" ht="12" customHeight="1">
      <c r="A5" s="863"/>
      <c r="B5" s="864"/>
      <c r="C5" s="864"/>
      <c r="D5" s="864"/>
      <c r="E5" s="864"/>
      <c r="F5" s="864"/>
      <c r="G5" s="864"/>
      <c r="H5" s="864"/>
      <c r="I5" s="864"/>
      <c r="J5" s="864"/>
      <c r="K5" s="864"/>
      <c r="L5" s="864"/>
      <c r="M5" s="864"/>
      <c r="N5" s="864"/>
      <c r="O5" s="864"/>
      <c r="P5" s="864"/>
      <c r="Q5" s="864"/>
      <c r="R5" s="864"/>
      <c r="S5" s="864"/>
      <c r="T5" s="865"/>
    </row>
    <row r="6" spans="1:21" ht="12.75" customHeight="1">
      <c r="A6" s="2257" t="s">
        <v>404</v>
      </c>
      <c r="B6" s="2266"/>
      <c r="C6" s="2266"/>
      <c r="D6" s="2266"/>
      <c r="E6" s="2266"/>
      <c r="F6" s="2266"/>
      <c r="G6" s="2266"/>
      <c r="H6" s="2266"/>
      <c r="I6" s="2266"/>
      <c r="J6" s="2266"/>
      <c r="K6" s="2266"/>
      <c r="L6" s="2266"/>
      <c r="M6" s="2266"/>
      <c r="N6" s="2266"/>
      <c r="O6" s="2266"/>
      <c r="P6" s="2266"/>
      <c r="Q6" s="2266"/>
      <c r="R6" s="2266"/>
      <c r="S6" s="2266"/>
      <c r="T6" s="2267"/>
    </row>
    <row r="7" spans="1:21">
      <c r="A7" s="2257"/>
      <c r="B7" s="2266"/>
      <c r="C7" s="2266"/>
      <c r="D7" s="2266"/>
      <c r="E7" s="2266"/>
      <c r="F7" s="2266"/>
      <c r="G7" s="2266"/>
      <c r="H7" s="2266"/>
      <c r="I7" s="2266"/>
      <c r="J7" s="2266"/>
      <c r="K7" s="2266"/>
      <c r="L7" s="2266"/>
      <c r="M7" s="2266"/>
      <c r="N7" s="2266"/>
      <c r="O7" s="2266"/>
      <c r="P7" s="2266"/>
      <c r="Q7" s="2266"/>
      <c r="R7" s="2266"/>
      <c r="S7" s="2266"/>
      <c r="T7" s="2267"/>
    </row>
    <row r="8" spans="1:21">
      <c r="A8" s="2257"/>
      <c r="B8" s="2266"/>
      <c r="C8" s="2266"/>
      <c r="D8" s="2266"/>
      <c r="E8" s="2266"/>
      <c r="F8" s="2266"/>
      <c r="G8" s="2266"/>
      <c r="H8" s="2266"/>
      <c r="I8" s="2266"/>
      <c r="J8" s="2266"/>
      <c r="K8" s="2266"/>
      <c r="L8" s="2266"/>
      <c r="M8" s="2266"/>
      <c r="N8" s="2266"/>
      <c r="O8" s="2266"/>
      <c r="P8" s="2266"/>
      <c r="Q8" s="2266"/>
      <c r="R8" s="2266"/>
      <c r="S8" s="2266"/>
      <c r="T8" s="2267"/>
    </row>
    <row r="9" spans="1:21">
      <c r="A9" s="2257"/>
      <c r="B9" s="2266"/>
      <c r="C9" s="2266"/>
      <c r="D9" s="2266"/>
      <c r="E9" s="2266"/>
      <c r="F9" s="2266"/>
      <c r="G9" s="2266"/>
      <c r="H9" s="2266"/>
      <c r="I9" s="2266"/>
      <c r="J9" s="2266"/>
      <c r="K9" s="2266"/>
      <c r="L9" s="2266"/>
      <c r="M9" s="2266"/>
      <c r="N9" s="2266"/>
      <c r="O9" s="2266"/>
      <c r="P9" s="2266"/>
      <c r="Q9" s="2266"/>
      <c r="R9" s="2266"/>
      <c r="S9" s="2266"/>
      <c r="T9" s="2267"/>
    </row>
    <row r="10" spans="1:21">
      <c r="A10" s="2257"/>
      <c r="B10" s="2266"/>
      <c r="C10" s="2266"/>
      <c r="D10" s="2266"/>
      <c r="E10" s="2266"/>
      <c r="F10" s="2266"/>
      <c r="G10" s="2266"/>
      <c r="H10" s="2266"/>
      <c r="I10" s="2266"/>
      <c r="J10" s="2266"/>
      <c r="K10" s="2266"/>
      <c r="L10" s="2266"/>
      <c r="M10" s="2266"/>
      <c r="N10" s="2266"/>
      <c r="O10" s="2266"/>
      <c r="P10" s="2266"/>
      <c r="Q10" s="2266"/>
      <c r="R10" s="2266"/>
      <c r="S10" s="2266"/>
      <c r="T10" s="2267"/>
    </row>
    <row r="11" spans="1:21">
      <c r="A11" s="2257"/>
      <c r="B11" s="2266"/>
      <c r="C11" s="2266"/>
      <c r="D11" s="2266"/>
      <c r="E11" s="2266"/>
      <c r="F11" s="2266"/>
      <c r="G11" s="2266"/>
      <c r="H11" s="2266"/>
      <c r="I11" s="2266"/>
      <c r="J11" s="2266"/>
      <c r="K11" s="2266"/>
      <c r="L11" s="2266"/>
      <c r="M11" s="2266"/>
      <c r="N11" s="2266"/>
      <c r="O11" s="2266"/>
      <c r="P11" s="2266"/>
      <c r="Q11" s="2266"/>
      <c r="R11" s="2266"/>
      <c r="S11" s="2266"/>
      <c r="T11" s="2267"/>
    </row>
    <row r="12" spans="1:21">
      <c r="A12" s="2257"/>
      <c r="B12" s="2266"/>
      <c r="C12" s="2266"/>
      <c r="D12" s="2266"/>
      <c r="E12" s="2266"/>
      <c r="F12" s="2266"/>
      <c r="G12" s="2266"/>
      <c r="H12" s="2266"/>
      <c r="I12" s="2266"/>
      <c r="J12" s="2266"/>
      <c r="K12" s="2266"/>
      <c r="L12" s="2266"/>
      <c r="M12" s="2266"/>
      <c r="N12" s="2266"/>
      <c r="O12" s="2266"/>
      <c r="P12" s="2266"/>
      <c r="Q12" s="2266"/>
      <c r="R12" s="2266"/>
      <c r="S12" s="2266"/>
      <c r="T12" s="2267"/>
    </row>
    <row r="13" spans="1:21">
      <c r="A13" s="2257"/>
      <c r="B13" s="2266"/>
      <c r="C13" s="2266"/>
      <c r="D13" s="2266"/>
      <c r="E13" s="2266"/>
      <c r="F13" s="2266"/>
      <c r="G13" s="2266"/>
      <c r="H13" s="2266"/>
      <c r="I13" s="2266"/>
      <c r="J13" s="2266"/>
      <c r="K13" s="2266"/>
      <c r="L13" s="2266"/>
      <c r="M13" s="2266"/>
      <c r="N13" s="2266"/>
      <c r="O13" s="2266"/>
      <c r="P13" s="2266"/>
      <c r="Q13" s="2266"/>
      <c r="R13" s="2266"/>
      <c r="S13" s="2266"/>
      <c r="T13" s="2267"/>
    </row>
    <row r="14" spans="1:21" ht="1.5" customHeight="1">
      <c r="A14" s="2257"/>
      <c r="B14" s="2266"/>
      <c r="C14" s="2266"/>
      <c r="D14" s="2266"/>
      <c r="E14" s="2266"/>
      <c r="F14" s="2266"/>
      <c r="G14" s="2266"/>
      <c r="H14" s="2266"/>
      <c r="I14" s="2266"/>
      <c r="J14" s="2266"/>
      <c r="K14" s="2266"/>
      <c r="L14" s="2266"/>
      <c r="M14" s="2266"/>
      <c r="N14" s="2266"/>
      <c r="O14" s="2266"/>
      <c r="P14" s="2266"/>
      <c r="Q14" s="2266"/>
      <c r="R14" s="2266"/>
      <c r="S14" s="2266"/>
      <c r="T14" s="2267"/>
    </row>
    <row r="15" spans="1:21" ht="45.75" hidden="1" customHeight="1">
      <c r="A15" s="2257"/>
      <c r="B15" s="2266"/>
      <c r="C15" s="2266"/>
      <c r="D15" s="2266"/>
      <c r="E15" s="2266"/>
      <c r="F15" s="2266"/>
      <c r="G15" s="2266"/>
      <c r="H15" s="2266"/>
      <c r="I15" s="2266"/>
      <c r="J15" s="2266"/>
      <c r="K15" s="2266"/>
      <c r="L15" s="2266"/>
      <c r="M15" s="2266"/>
      <c r="N15" s="2266"/>
      <c r="O15" s="2266"/>
      <c r="P15" s="2266"/>
      <c r="Q15" s="2266"/>
      <c r="R15" s="2266"/>
      <c r="S15" s="2266"/>
      <c r="T15" s="2267"/>
    </row>
    <row r="16" spans="1:21" ht="3.75" hidden="1" customHeight="1">
      <c r="A16" s="2257"/>
      <c r="B16" s="2266"/>
      <c r="C16" s="2266"/>
      <c r="D16" s="2266"/>
      <c r="E16" s="2266"/>
      <c r="F16" s="2266"/>
      <c r="G16" s="2266"/>
      <c r="H16" s="2266"/>
      <c r="I16" s="2266"/>
      <c r="J16" s="2266"/>
      <c r="K16" s="2266"/>
      <c r="L16" s="2266"/>
      <c r="M16" s="2266"/>
      <c r="N16" s="2266"/>
      <c r="O16" s="2266"/>
      <c r="P16" s="2266"/>
      <c r="Q16" s="2266"/>
      <c r="R16" s="2266"/>
      <c r="S16" s="2266"/>
      <c r="T16" s="2267"/>
    </row>
    <row r="17" spans="1:20" ht="12.75" hidden="1" customHeight="1">
      <c r="A17" s="2257"/>
      <c r="B17" s="2266"/>
      <c r="C17" s="2266"/>
      <c r="D17" s="2266"/>
      <c r="E17" s="2266"/>
      <c r="F17" s="2266"/>
      <c r="G17" s="2266"/>
      <c r="H17" s="2266"/>
      <c r="I17" s="2266"/>
      <c r="J17" s="2266"/>
      <c r="K17" s="2266"/>
      <c r="L17" s="2266"/>
      <c r="M17" s="2266"/>
      <c r="N17" s="2266"/>
      <c r="O17" s="2266"/>
      <c r="P17" s="2266"/>
      <c r="Q17" s="2266"/>
      <c r="R17" s="2266"/>
      <c r="S17" s="2266"/>
      <c r="T17" s="2267"/>
    </row>
    <row r="18" spans="1:20" ht="12.75" hidden="1" customHeight="1">
      <c r="A18" s="2257"/>
      <c r="B18" s="2266"/>
      <c r="C18" s="2266"/>
      <c r="D18" s="2266"/>
      <c r="E18" s="2266"/>
      <c r="F18" s="2266"/>
      <c r="G18" s="2266"/>
      <c r="H18" s="2266"/>
      <c r="I18" s="2266"/>
      <c r="J18" s="2266"/>
      <c r="K18" s="2266"/>
      <c r="L18" s="2266"/>
      <c r="M18" s="2266"/>
      <c r="N18" s="2266"/>
      <c r="O18" s="2266"/>
      <c r="P18" s="2266"/>
      <c r="Q18" s="2266"/>
      <c r="R18" s="2266"/>
      <c r="S18" s="2266"/>
      <c r="T18" s="2267"/>
    </row>
    <row r="19" spans="1:20" ht="12.75" hidden="1" customHeight="1">
      <c r="A19" s="2257"/>
      <c r="B19" s="2266"/>
      <c r="C19" s="2266"/>
      <c r="D19" s="2266"/>
      <c r="E19" s="2266"/>
      <c r="F19" s="2266"/>
      <c r="G19" s="2266"/>
      <c r="H19" s="2266"/>
      <c r="I19" s="2266"/>
      <c r="J19" s="2266"/>
      <c r="K19" s="2266"/>
      <c r="L19" s="2266"/>
      <c r="M19" s="2266"/>
      <c r="N19" s="2266"/>
      <c r="O19" s="2266"/>
      <c r="P19" s="2266"/>
      <c r="Q19" s="2266"/>
      <c r="R19" s="2266"/>
      <c r="S19" s="2266"/>
      <c r="T19" s="2267"/>
    </row>
    <row r="20" spans="1:20" ht="12.75" hidden="1" customHeight="1">
      <c r="A20" s="2257"/>
      <c r="B20" s="2266"/>
      <c r="C20" s="2266"/>
      <c r="D20" s="2266"/>
      <c r="E20" s="2266"/>
      <c r="F20" s="2266"/>
      <c r="G20" s="2266"/>
      <c r="H20" s="2266"/>
      <c r="I20" s="2266"/>
      <c r="J20" s="2266"/>
      <c r="K20" s="2266"/>
      <c r="L20" s="2266"/>
      <c r="M20" s="2266"/>
      <c r="N20" s="2266"/>
      <c r="O20" s="2266"/>
      <c r="P20" s="2266"/>
      <c r="Q20" s="2266"/>
      <c r="R20" s="2266"/>
      <c r="S20" s="2266"/>
      <c r="T20" s="2267"/>
    </row>
    <row r="21" spans="1:20" ht="19.5" hidden="1" customHeight="1">
      <c r="A21" s="2257"/>
      <c r="B21" s="2266"/>
      <c r="C21" s="2266"/>
      <c r="D21" s="2266"/>
      <c r="E21" s="2266"/>
      <c r="F21" s="2266"/>
      <c r="G21" s="2266"/>
      <c r="H21" s="2266"/>
      <c r="I21" s="2266"/>
      <c r="J21" s="2266"/>
      <c r="K21" s="2266"/>
      <c r="L21" s="2266"/>
      <c r="M21" s="2266"/>
      <c r="N21" s="2266"/>
      <c r="O21" s="2266"/>
      <c r="P21" s="2266"/>
      <c r="Q21" s="2266"/>
      <c r="R21" s="2266"/>
      <c r="S21" s="2266"/>
      <c r="T21" s="2267"/>
    </row>
    <row r="22" spans="1:20" ht="4.5" hidden="1" customHeight="1">
      <c r="A22" s="856"/>
      <c r="B22" s="866"/>
      <c r="C22" s="866"/>
      <c r="D22" s="866"/>
      <c r="E22" s="866"/>
      <c r="F22" s="866"/>
      <c r="G22" s="866"/>
      <c r="H22" s="866"/>
      <c r="I22" s="866"/>
      <c r="J22" s="866" t="s">
        <v>342</v>
      </c>
      <c r="K22" s="866"/>
      <c r="L22" s="866"/>
      <c r="M22" s="866"/>
      <c r="N22" s="866"/>
      <c r="O22" s="866"/>
      <c r="P22" s="866"/>
      <c r="Q22" s="866"/>
      <c r="R22" s="866"/>
      <c r="S22" s="866"/>
      <c r="T22" s="867"/>
    </row>
    <row r="23" spans="1:20" ht="12.75" customHeight="1">
      <c r="A23" s="2268" t="s">
        <v>47</v>
      </c>
      <c r="B23" s="2132"/>
      <c r="C23" s="2132"/>
      <c r="D23" s="2132"/>
      <c r="E23" s="2132"/>
      <c r="F23" s="2132"/>
      <c r="G23" s="2132"/>
      <c r="H23" s="2132"/>
      <c r="I23" s="2132"/>
      <c r="J23" s="2132"/>
      <c r="K23" s="2132"/>
      <c r="L23" s="2132"/>
      <c r="M23" s="2132"/>
      <c r="N23" s="2132"/>
      <c r="O23" s="2132"/>
      <c r="P23" s="2132"/>
      <c r="Q23" s="2132"/>
      <c r="R23" s="2132"/>
      <c r="S23" s="2132"/>
      <c r="T23" s="2133"/>
    </row>
    <row r="24" spans="1:20">
      <c r="A24" s="1276"/>
      <c r="B24" s="1274"/>
      <c r="C24" s="1274"/>
      <c r="D24" s="1274"/>
      <c r="E24" s="1274"/>
      <c r="F24" s="1274"/>
      <c r="G24" s="1274"/>
      <c r="H24" s="1274"/>
      <c r="I24" s="1274"/>
      <c r="J24" s="1274"/>
      <c r="K24" s="1274"/>
      <c r="L24" s="1274"/>
      <c r="M24" s="1274"/>
      <c r="N24" s="1274"/>
      <c r="O24" s="1274"/>
      <c r="P24" s="1274"/>
      <c r="Q24" s="1274"/>
      <c r="R24" s="1274"/>
      <c r="S24" s="1274"/>
      <c r="T24" s="1277"/>
    </row>
    <row r="25" spans="1:20" ht="28.5" customHeight="1">
      <c r="A25" s="2257" t="s">
        <v>43</v>
      </c>
      <c r="B25" s="2237"/>
      <c r="C25" s="2237"/>
      <c r="D25" s="2237"/>
      <c r="E25" s="2237"/>
      <c r="F25" s="2237"/>
      <c r="G25" s="2237"/>
      <c r="H25" s="2237"/>
      <c r="I25" s="2237"/>
      <c r="J25" s="2237"/>
      <c r="K25" s="2237"/>
      <c r="L25" s="2237"/>
      <c r="M25" s="2237"/>
      <c r="N25" s="2237"/>
      <c r="O25" s="2237"/>
      <c r="P25" s="2237"/>
      <c r="Q25" s="2237"/>
      <c r="R25" s="2237"/>
      <c r="S25" s="2237"/>
      <c r="T25" s="2238"/>
    </row>
    <row r="26" spans="1:20">
      <c r="A26" s="1276"/>
      <c r="B26" s="1274"/>
      <c r="C26" s="1274"/>
      <c r="D26" s="1274"/>
      <c r="E26" s="1274"/>
      <c r="F26" s="1274"/>
      <c r="G26" s="1274"/>
      <c r="H26" s="1274"/>
      <c r="I26" s="1274"/>
      <c r="J26" s="1274"/>
      <c r="K26" s="1274"/>
      <c r="L26" s="1274"/>
      <c r="M26" s="1274"/>
      <c r="N26" s="1274"/>
      <c r="O26" s="1274"/>
      <c r="P26" s="1274"/>
      <c r="Q26" s="1274"/>
      <c r="R26" s="1274"/>
      <c r="S26" s="1274"/>
      <c r="T26" s="1277"/>
    </row>
    <row r="27" spans="1:20" ht="25.5" customHeight="1">
      <c r="A27" s="2257" t="s">
        <v>44</v>
      </c>
      <c r="B27" s="2237"/>
      <c r="C27" s="2237"/>
      <c r="D27" s="2237"/>
      <c r="E27" s="2237"/>
      <c r="F27" s="2237"/>
      <c r="G27" s="2237"/>
      <c r="H27" s="2237"/>
      <c r="I27" s="2237"/>
      <c r="J27" s="2237"/>
      <c r="K27" s="2237"/>
      <c r="L27" s="2237"/>
      <c r="M27" s="2237"/>
      <c r="N27" s="2237"/>
      <c r="O27" s="2237"/>
      <c r="P27" s="2237"/>
      <c r="Q27" s="2237"/>
      <c r="R27" s="2237"/>
      <c r="S27" s="2237"/>
      <c r="T27" s="2238"/>
    </row>
    <row r="28" spans="1:20">
      <c r="A28" s="1276"/>
      <c r="B28" s="1274"/>
      <c r="C28" s="1274"/>
      <c r="D28" s="1274"/>
      <c r="E28" s="1274"/>
      <c r="F28" s="1274"/>
      <c r="G28" s="1274"/>
      <c r="H28" s="1274"/>
      <c r="I28" s="1274"/>
      <c r="J28" s="1274"/>
      <c r="K28" s="1274"/>
      <c r="L28" s="1274"/>
      <c r="M28" s="1274"/>
      <c r="N28" s="1274"/>
      <c r="O28" s="1274"/>
      <c r="P28" s="1274"/>
      <c r="Q28" s="1274"/>
      <c r="R28" s="1274"/>
      <c r="S28" s="1274"/>
      <c r="T28" s="1277"/>
    </row>
    <row r="29" spans="1:20" ht="39" customHeight="1">
      <c r="A29" s="2257" t="s">
        <v>45</v>
      </c>
      <c r="B29" s="2237"/>
      <c r="C29" s="2237"/>
      <c r="D29" s="2237"/>
      <c r="E29" s="2237"/>
      <c r="F29" s="2237"/>
      <c r="G29" s="2237"/>
      <c r="H29" s="2237"/>
      <c r="I29" s="2237"/>
      <c r="J29" s="2237"/>
      <c r="K29" s="2237"/>
      <c r="L29" s="2237"/>
      <c r="M29" s="2237"/>
      <c r="N29" s="2237"/>
      <c r="O29" s="2237"/>
      <c r="P29" s="2237"/>
      <c r="Q29" s="2237"/>
      <c r="R29" s="2237"/>
      <c r="S29" s="2237"/>
      <c r="T29" s="2238"/>
    </row>
    <row r="30" spans="1:20">
      <c r="A30" s="1276"/>
      <c r="B30" s="1274"/>
      <c r="C30" s="1274"/>
      <c r="D30" s="1274"/>
      <c r="E30" s="1274"/>
      <c r="F30" s="1274"/>
      <c r="G30" s="1274"/>
      <c r="H30" s="1274"/>
      <c r="I30" s="1274"/>
      <c r="J30" s="1274"/>
      <c r="K30" s="1274"/>
      <c r="L30" s="1274"/>
      <c r="M30" s="1274"/>
      <c r="N30" s="1274"/>
      <c r="O30" s="1274"/>
      <c r="P30" s="1274"/>
      <c r="Q30" s="1274"/>
      <c r="R30" s="1274"/>
      <c r="S30" s="1274"/>
      <c r="T30" s="1277"/>
    </row>
    <row r="31" spans="1:20" ht="28.5" customHeight="1">
      <c r="A31" s="2257" t="s">
        <v>46</v>
      </c>
      <c r="B31" s="2237"/>
      <c r="C31" s="2237"/>
      <c r="D31" s="2237"/>
      <c r="E31" s="2237"/>
      <c r="F31" s="2237"/>
      <c r="G31" s="2237"/>
      <c r="H31" s="2237"/>
      <c r="I31" s="2237"/>
      <c r="J31" s="2237"/>
      <c r="K31" s="2237"/>
      <c r="L31" s="2237"/>
      <c r="M31" s="2237"/>
      <c r="N31" s="2237"/>
      <c r="O31" s="2237"/>
      <c r="P31" s="2237"/>
      <c r="Q31" s="2237"/>
      <c r="R31" s="2237"/>
      <c r="S31" s="2237"/>
      <c r="T31" s="2238"/>
    </row>
    <row r="32" spans="1:20">
      <c r="A32" s="1278"/>
      <c r="B32" s="1279"/>
      <c r="C32" s="1279"/>
      <c r="D32" s="1279"/>
      <c r="E32" s="1279"/>
      <c r="F32" s="1279"/>
      <c r="G32" s="1279"/>
      <c r="H32" s="1279"/>
      <c r="I32" s="1279"/>
      <c r="J32" s="1279"/>
      <c r="K32" s="1279"/>
      <c r="L32" s="1279"/>
      <c r="M32" s="1279"/>
      <c r="N32" s="1279"/>
      <c r="O32" s="1279"/>
      <c r="P32" s="1279"/>
      <c r="Q32" s="1279"/>
      <c r="R32" s="1279"/>
      <c r="S32" s="1279"/>
      <c r="T32" s="1280"/>
    </row>
    <row r="33" spans="1:20" ht="9.75" customHeight="1">
      <c r="A33" s="856"/>
      <c r="B33" s="866"/>
      <c r="C33" s="866"/>
      <c r="D33" s="866"/>
      <c r="E33" s="866"/>
      <c r="F33" s="866"/>
      <c r="G33" s="866"/>
      <c r="H33" s="866"/>
      <c r="I33" s="866"/>
      <c r="J33" s="866" t="s">
        <v>342</v>
      </c>
      <c r="K33" s="866"/>
      <c r="L33" s="866"/>
      <c r="M33" s="866"/>
      <c r="N33" s="866"/>
      <c r="O33" s="866"/>
      <c r="P33" s="866"/>
      <c r="Q33" s="866"/>
      <c r="R33" s="866"/>
      <c r="S33" s="866"/>
      <c r="T33" s="867"/>
    </row>
    <row r="34" spans="1:20" ht="18.75" customHeight="1">
      <c r="A34" s="820"/>
      <c r="B34" s="2246"/>
      <c r="C34" s="2247"/>
      <c r="D34" s="2246"/>
      <c r="E34" s="2246"/>
      <c r="F34" s="2246"/>
      <c r="G34" s="2246"/>
      <c r="H34" s="822"/>
      <c r="I34" s="868"/>
      <c r="J34" s="882" t="s">
        <v>1032</v>
      </c>
      <c r="K34" s="821"/>
      <c r="L34" s="2246"/>
      <c r="M34" s="2247"/>
      <c r="N34" s="2246"/>
      <c r="O34" s="2246"/>
      <c r="P34" s="2246"/>
      <c r="Q34" s="2246"/>
      <c r="R34" s="2246"/>
      <c r="S34" s="2246"/>
      <c r="T34" s="2288"/>
    </row>
    <row r="35" spans="1:20">
      <c r="A35" s="989" t="s">
        <v>339</v>
      </c>
      <c r="B35" s="823"/>
      <c r="C35" s="823"/>
      <c r="D35" s="823"/>
      <c r="E35" s="823"/>
      <c r="F35" s="823"/>
      <c r="G35" s="823"/>
      <c r="H35" s="297"/>
      <c r="I35" s="823"/>
      <c r="J35" s="984"/>
      <c r="K35" s="823"/>
      <c r="L35" s="823"/>
      <c r="M35" s="823"/>
      <c r="N35" s="823"/>
      <c r="O35" s="823"/>
      <c r="P35" s="823"/>
      <c r="Q35" s="823"/>
      <c r="R35" s="823"/>
      <c r="S35" s="866"/>
      <c r="T35" s="867"/>
    </row>
    <row r="36" spans="1:20" ht="27" customHeight="1">
      <c r="A36" s="1275"/>
      <c r="B36" s="982"/>
      <c r="C36" s="982"/>
      <c r="D36" s="982"/>
      <c r="E36" s="982"/>
      <c r="F36" s="982"/>
      <c r="G36" s="982"/>
      <c r="H36" s="869"/>
      <c r="I36" s="870"/>
      <c r="J36" s="990"/>
      <c r="K36" s="2251" t="s">
        <v>161</v>
      </c>
      <c r="L36" s="2252"/>
      <c r="M36" s="2252"/>
      <c r="N36" s="2253"/>
      <c r="O36" s="963"/>
      <c r="P36" s="1219" t="s">
        <v>160</v>
      </c>
      <c r="Q36" s="1220"/>
      <c r="R36" s="1220"/>
      <c r="S36" s="1221"/>
      <c r="T36" s="829"/>
    </row>
    <row r="37" spans="1:20" ht="15.75" customHeight="1">
      <c r="A37" s="984"/>
      <c r="B37" s="815"/>
      <c r="C37" s="2254" t="s">
        <v>1033</v>
      </c>
      <c r="D37" s="2255"/>
      <c r="E37" s="2255"/>
      <c r="F37" s="2256"/>
      <c r="G37" s="825"/>
      <c r="H37" s="869"/>
      <c r="I37" s="870"/>
      <c r="J37" s="980" t="s">
        <v>692</v>
      </c>
      <c r="K37" s="979" t="s">
        <v>159</v>
      </c>
      <c r="L37" s="979" t="s">
        <v>520</v>
      </c>
      <c r="M37" s="979" t="s">
        <v>521</v>
      </c>
      <c r="N37" s="979" t="s">
        <v>522</v>
      </c>
      <c r="O37" s="963"/>
      <c r="P37" s="978" t="s">
        <v>159</v>
      </c>
      <c r="Q37" s="977" t="s">
        <v>520</v>
      </c>
      <c r="R37" s="977" t="s">
        <v>521</v>
      </c>
      <c r="S37" s="976" t="s">
        <v>522</v>
      </c>
      <c r="T37" s="967"/>
    </row>
    <row r="38" spans="1:20" ht="15.75" customHeight="1">
      <c r="A38" s="984"/>
      <c r="B38" s="815"/>
      <c r="C38" s="2240" t="s">
        <v>160</v>
      </c>
      <c r="D38" s="2241"/>
      <c r="E38" s="2241"/>
      <c r="F38" s="2242"/>
      <c r="G38" s="825"/>
      <c r="H38" s="826"/>
      <c r="I38" s="870"/>
      <c r="J38" s="966" t="s">
        <v>523</v>
      </c>
      <c r="K38" s="974">
        <f>'contract Monitoring Month 3'!C4</f>
        <v>43857.894348770053</v>
      </c>
      <c r="L38" s="974">
        <f>'contract Monitoring Month 3'!E4</f>
        <v>10705.470274109213</v>
      </c>
      <c r="M38" s="974">
        <f>'contract Monitoring Month 3'!H4</f>
        <v>9504</v>
      </c>
      <c r="N38" s="974">
        <f>M38-L38</f>
        <v>-1201.4702741092133</v>
      </c>
      <c r="O38" s="952"/>
      <c r="P38" s="973">
        <f>'contract Monitoring Month 3'!D4/1000</f>
        <v>33287.606332737385</v>
      </c>
      <c r="Q38" s="972">
        <f>'contract Monitoring Month 3'!F4/1000</f>
        <v>8125.3212308256534</v>
      </c>
      <c r="R38" s="972">
        <f>'contract Monitoring Month 3'!I4/1000</f>
        <v>8240.6522558018823</v>
      </c>
      <c r="S38" s="971">
        <f>R38-Q38</f>
        <v>115.33102497622895</v>
      </c>
      <c r="T38" s="967"/>
    </row>
    <row r="39" spans="1:20" ht="15.75" customHeight="1">
      <c r="A39" s="1247"/>
      <c r="B39" s="815"/>
      <c r="C39" s="1244" t="s">
        <v>159</v>
      </c>
      <c r="D39" s="1244" t="s">
        <v>520</v>
      </c>
      <c r="E39" s="1244" t="s">
        <v>521</v>
      </c>
      <c r="F39" s="1244" t="s">
        <v>522</v>
      </c>
      <c r="G39" s="825"/>
      <c r="H39" s="826"/>
      <c r="I39" s="870"/>
      <c r="J39" s="966" t="s">
        <v>524</v>
      </c>
      <c r="K39" s="964">
        <f>'contract Monitoring Month 3'!C5</f>
        <v>9637.4876252529939</v>
      </c>
      <c r="L39" s="964">
        <f>'contract Monitoring Month 3'!E5</f>
        <v>2352.4576093137262</v>
      </c>
      <c r="M39" s="964">
        <f>'contract Monitoring Month 3'!H5</f>
        <v>3270</v>
      </c>
      <c r="N39" s="964">
        <f t="shared" ref="N39:N52" si="0">M39-L39</f>
        <v>917.54239068627385</v>
      </c>
      <c r="O39" s="963"/>
      <c r="P39" s="943">
        <f>'contract Monitoring Month 3'!D5/1000</f>
        <v>26534.426017131245</v>
      </c>
      <c r="Q39" s="942">
        <f>'contract Monitoring Month 3'!F5/1000</f>
        <v>6476.9071380399182</v>
      </c>
      <c r="R39" s="942">
        <f>'contract Monitoring Month 3'!I5/1000</f>
        <v>8350.085833934525</v>
      </c>
      <c r="S39" s="941">
        <f t="shared" ref="S39:S52" si="1">R39-Q39</f>
        <v>1873.1786958946068</v>
      </c>
      <c r="T39" s="967"/>
    </row>
    <row r="40" spans="1:20" ht="15.75" customHeight="1">
      <c r="A40" s="975" t="s">
        <v>158</v>
      </c>
      <c r="B40" s="1005"/>
      <c r="C40" s="1255">
        <f>Finance!E20</f>
        <v>36373.022085227174</v>
      </c>
      <c r="D40" s="1255">
        <f>Finance!F20</f>
        <v>36373.022085227174</v>
      </c>
      <c r="E40" s="1255">
        <f>Finance!G20</f>
        <v>35274.074153185182</v>
      </c>
      <c r="F40" s="1255">
        <f>Finance!H20</f>
        <v>-1098.9479320419923</v>
      </c>
      <c r="G40" s="825"/>
      <c r="H40" s="827"/>
      <c r="I40" s="828"/>
      <c r="J40" s="970" t="s">
        <v>525</v>
      </c>
      <c r="K40" s="969">
        <f>'contract Monitoring Month 3'!C6</f>
        <v>3063.0800281940014</v>
      </c>
      <c r="L40" s="969">
        <f>'contract Monitoring Month 3'!E6</f>
        <v>747.68095176388954</v>
      </c>
      <c r="M40" s="969">
        <f>'contract Monitoring Month 3'!H6</f>
        <v>699</v>
      </c>
      <c r="N40" s="969">
        <f t="shared" si="0"/>
        <v>-48.680951763889539</v>
      </c>
      <c r="O40" s="968"/>
      <c r="P40" s="943">
        <f>'contract Monitoring Month 3'!D6/1000</f>
        <v>754.64521553186614</v>
      </c>
      <c r="Q40" s="942">
        <f>'contract Monitoring Month 3'!F6/1000</f>
        <v>184.20473764951055</v>
      </c>
      <c r="R40" s="942">
        <f>'contract Monitoring Month 3'!I6/1000</f>
        <v>174.36317324383998</v>
      </c>
      <c r="S40" s="941">
        <f t="shared" si="1"/>
        <v>-9.8415644056705673</v>
      </c>
      <c r="T40" s="967"/>
    </row>
    <row r="41" spans="1:20" ht="15.75" customHeight="1">
      <c r="A41" s="961" t="s">
        <v>157</v>
      </c>
      <c r="B41" s="1003"/>
      <c r="C41" s="1256">
        <f>Finance!E21</f>
        <v>15989.916139419553</v>
      </c>
      <c r="D41" s="1256">
        <f>Finance!F21</f>
        <v>15989.916139419553</v>
      </c>
      <c r="E41" s="1256">
        <f>Finance!G21</f>
        <v>14800.707023667692</v>
      </c>
      <c r="F41" s="1256">
        <f>Finance!H21</f>
        <v>-1189.2091157518607</v>
      </c>
      <c r="G41" s="825"/>
      <c r="H41" s="827"/>
      <c r="I41" s="828"/>
      <c r="J41" s="970" t="s">
        <v>526</v>
      </c>
      <c r="K41" s="969">
        <f>'contract Monitoring Month 3'!C7</f>
        <v>6925.1014362759915</v>
      </c>
      <c r="L41" s="969">
        <f>'contract Monitoring Month 3'!E7</f>
        <v>1726.532138907168</v>
      </c>
      <c r="M41" s="969">
        <f>'contract Monitoring Month 3'!H7</f>
        <v>1922</v>
      </c>
      <c r="N41" s="969">
        <f t="shared" si="0"/>
        <v>195.46786109283198</v>
      </c>
      <c r="O41" s="968"/>
      <c r="P41" s="943">
        <f>'contract Monitoring Month 3'!D7/1000</f>
        <v>5342.2445240211337</v>
      </c>
      <c r="Q41" s="942">
        <f>'contract Monitoring Month 3'!F7/1000</f>
        <v>1331.9020594134884</v>
      </c>
      <c r="R41" s="942">
        <f>'contract Monitoring Month 3'!I7/1000</f>
        <v>1486.9635903460012</v>
      </c>
      <c r="S41" s="941">
        <f t="shared" si="1"/>
        <v>155.06153093251282</v>
      </c>
      <c r="T41" s="967"/>
    </row>
    <row r="42" spans="1:20" ht="15.75" customHeight="1">
      <c r="A42" s="961" t="s">
        <v>60</v>
      </c>
      <c r="B42" s="1003"/>
      <c r="C42" s="1256">
        <f>Finance!E22</f>
        <v>11878.010129408754</v>
      </c>
      <c r="D42" s="1256">
        <f>Finance!F22</f>
        <v>11878.010129408754</v>
      </c>
      <c r="E42" s="1256">
        <f>Finance!G22</f>
        <v>10856.161292354673</v>
      </c>
      <c r="F42" s="1256">
        <f>Finance!H22</f>
        <v>-1021.8488370540817</v>
      </c>
      <c r="G42" s="825"/>
      <c r="H42" s="829"/>
      <c r="I42" s="828"/>
      <c r="J42" s="966" t="s">
        <v>527</v>
      </c>
      <c r="K42" s="965">
        <f>'contract Monitoring Month 3'!C8</f>
        <v>36608.090171827949</v>
      </c>
      <c r="L42" s="965">
        <f>'contract Monitoring Month 3'!E8</f>
        <v>9126.9485085927336</v>
      </c>
      <c r="M42" s="964">
        <f>'contract Monitoring Month 3'!H8</f>
        <v>9698</v>
      </c>
      <c r="N42" s="964">
        <f t="shared" si="0"/>
        <v>571.05149140726644</v>
      </c>
      <c r="O42" s="963"/>
      <c r="P42" s="943">
        <f>'contract Monitoring Month 3'!D8/1000</f>
        <v>80493.111635774432</v>
      </c>
      <c r="Q42" s="942">
        <f>'contract Monitoring Month 3'!F8/1000</f>
        <v>20068.145640699939</v>
      </c>
      <c r="R42" s="942">
        <f>'contract Monitoring Month 3'!I8/1000</f>
        <v>22820.648756822848</v>
      </c>
      <c r="S42" s="941">
        <f t="shared" si="1"/>
        <v>2752.503116122909</v>
      </c>
      <c r="T42" s="967"/>
    </row>
    <row r="43" spans="1:20" ht="15.75" customHeight="1">
      <c r="A43" s="961" t="s">
        <v>59</v>
      </c>
      <c r="B43" s="1003"/>
      <c r="C43" s="1256">
        <f>Finance!E23</f>
        <v>5718.4905389495643</v>
      </c>
      <c r="D43" s="1256">
        <f>Finance!F23</f>
        <v>5718.4905389495643</v>
      </c>
      <c r="E43" s="1256">
        <f>Finance!G23</f>
        <v>6406.3604935891572</v>
      </c>
      <c r="F43" s="1256">
        <f>Finance!H23</f>
        <v>687.86995463959283</v>
      </c>
      <c r="G43" s="825"/>
      <c r="H43" s="867"/>
      <c r="I43" s="866"/>
      <c r="J43" s="954" t="s">
        <v>528</v>
      </c>
      <c r="K43" s="953">
        <f>'contract Monitoring Month 3'!C9</f>
        <v>3453.0450470369979</v>
      </c>
      <c r="L43" s="953">
        <f>'contract Monitoring Month 3'!E9</f>
        <v>860.89616241196518</v>
      </c>
      <c r="M43" s="953">
        <f>'contract Monitoring Month 3'!H9</f>
        <v>1245</v>
      </c>
      <c r="N43" s="953">
        <f t="shared" si="0"/>
        <v>384.10383758803482</v>
      </c>
      <c r="O43" s="952"/>
      <c r="P43" s="943">
        <f>'contract Monitoring Month 3'!D9/1000</f>
        <v>2163.3078597551221</v>
      </c>
      <c r="Q43" s="942">
        <f>'contract Monitoring Month 3'!F9/1000</f>
        <v>539.34524722661888</v>
      </c>
      <c r="R43" s="942">
        <f>'contract Monitoring Month 3'!I9/1000</f>
        <v>797.72349919899989</v>
      </c>
      <c r="S43" s="941">
        <f t="shared" si="1"/>
        <v>258.37825197238101</v>
      </c>
      <c r="T43" s="962"/>
    </row>
    <row r="44" spans="1:20" ht="15.75" customHeight="1">
      <c r="A44" s="961" t="s">
        <v>58</v>
      </c>
      <c r="B44" s="1003"/>
      <c r="C44" s="1256">
        <f>Finance!E24</f>
        <v>3295.0058296915831</v>
      </c>
      <c r="D44" s="1256">
        <f>Finance!F24</f>
        <v>3295.0058296915831</v>
      </c>
      <c r="E44" s="1256">
        <f>Finance!G24</f>
        <v>3859.9355286350565</v>
      </c>
      <c r="F44" s="1256">
        <f>Finance!H24</f>
        <v>564.92969894347334</v>
      </c>
      <c r="G44" s="825"/>
      <c r="H44" s="831"/>
      <c r="I44" s="828"/>
      <c r="J44" s="951" t="s">
        <v>529</v>
      </c>
      <c r="K44" s="950">
        <f>'contract Monitoring Month 3'!C10</f>
        <v>28755.538533214003</v>
      </c>
      <c r="L44" s="950">
        <f>'contract Monitoring Month 3'!E10</f>
        <v>7169.1890589656841</v>
      </c>
      <c r="M44" s="950">
        <f>'contract Monitoring Month 3'!H10</f>
        <v>7793</v>
      </c>
      <c r="N44" s="950">
        <f t="shared" si="0"/>
        <v>623.81094103431587</v>
      </c>
      <c r="O44" s="958"/>
      <c r="P44" s="943">
        <f>'contract Monitoring Month 3'!D10/1000</f>
        <v>7047.7117592768918</v>
      </c>
      <c r="Q44" s="942">
        <f>'contract Monitoring Month 3'!F10/1000</f>
        <v>1757.1007399841005</v>
      </c>
      <c r="R44" s="942">
        <f>'contract Monitoring Month 3'!I10/1000</f>
        <v>1895.1517199479192</v>
      </c>
      <c r="S44" s="941">
        <f t="shared" si="1"/>
        <v>138.05097996381869</v>
      </c>
      <c r="T44" s="940"/>
    </row>
    <row r="45" spans="1:20" ht="15.75" customHeight="1">
      <c r="A45" s="961" t="s">
        <v>57</v>
      </c>
      <c r="B45" s="1003"/>
      <c r="C45" s="1256">
        <f>Finance!E25</f>
        <v>2183.6841526574208</v>
      </c>
      <c r="D45" s="1256">
        <f>Finance!F25</f>
        <v>2183.6841526574208</v>
      </c>
      <c r="E45" s="1256">
        <f>Finance!G25</f>
        <v>2283.263925423521</v>
      </c>
      <c r="F45" s="1256">
        <f>Finance!H25</f>
        <v>99.579772766100177</v>
      </c>
      <c r="G45" s="825"/>
      <c r="H45" s="833"/>
      <c r="I45" s="828"/>
      <c r="J45" s="954" t="s">
        <v>530</v>
      </c>
      <c r="K45" s="950">
        <f>'contract Monitoring Month 3'!C11</f>
        <v>160972.43747835324</v>
      </c>
      <c r="L45" s="950">
        <f>'contract Monitoring Month 3'!E11</f>
        <v>39292.484738767984</v>
      </c>
      <c r="M45" s="950">
        <f>'contract Monitoring Month 3'!H11</f>
        <v>39374</v>
      </c>
      <c r="N45" s="950">
        <f t="shared" si="0"/>
        <v>81.515261232016201</v>
      </c>
      <c r="O45" s="958"/>
      <c r="P45" s="943">
        <f>'contract Monitoring Month 3'!D11/1000</f>
        <v>21277.329342240133</v>
      </c>
      <c r="Q45" s="942">
        <f>'contract Monitoring Month 3'!F11/1000</f>
        <v>5195.3297244045489</v>
      </c>
      <c r="R45" s="942">
        <f>'contract Monitoring Month 3'!I11/1000</f>
        <v>5739.8864889239976</v>
      </c>
      <c r="S45" s="941">
        <f t="shared" si="1"/>
        <v>544.55676451944873</v>
      </c>
      <c r="T45" s="940"/>
    </row>
    <row r="46" spans="1:20" ht="15.75" customHeight="1">
      <c r="A46" s="961" t="s">
        <v>56</v>
      </c>
      <c r="B46" s="1003"/>
      <c r="C46" s="1256">
        <f>Finance!E26</f>
        <v>1080.5905015859571</v>
      </c>
      <c r="D46" s="1256">
        <f>Finance!F26</f>
        <v>1080.5905015859571</v>
      </c>
      <c r="E46" s="1256">
        <f>Finance!G26</f>
        <v>1223.0923356296585</v>
      </c>
      <c r="F46" s="1256">
        <f>Finance!H26</f>
        <v>142.50183404370136</v>
      </c>
      <c r="G46" s="825"/>
      <c r="H46" s="833"/>
      <c r="I46" s="171"/>
      <c r="J46" s="951" t="s">
        <v>531</v>
      </c>
      <c r="K46" s="950">
        <f>'contract Monitoring Month 3'!C12</f>
        <v>328385.17422043619</v>
      </c>
      <c r="L46" s="950">
        <f>'contract Monitoring Month 3'!E12</f>
        <v>80157.011030326816</v>
      </c>
      <c r="M46" s="950">
        <f>'contract Monitoring Month 3'!H12</f>
        <v>82775</v>
      </c>
      <c r="N46" s="950">
        <f t="shared" si="0"/>
        <v>2617.9889696731843</v>
      </c>
      <c r="O46" s="958"/>
      <c r="P46" s="943">
        <f>'contract Monitoring Month 3'!D12/1000</f>
        <v>27550.082436925451</v>
      </c>
      <c r="Q46" s="942">
        <f>'contract Monitoring Month 3'!F12/1000</f>
        <v>6725.8413138890437</v>
      </c>
      <c r="R46" s="942">
        <f>'contract Monitoring Month 3'!I12/1000</f>
        <v>7858.8554631230054</v>
      </c>
      <c r="S46" s="941">
        <f t="shared" si="1"/>
        <v>1133.0141492339617</v>
      </c>
      <c r="T46" s="940"/>
    </row>
    <row r="47" spans="1:20" ht="15.75" customHeight="1">
      <c r="A47" s="960" t="s">
        <v>55</v>
      </c>
      <c r="B47" s="855"/>
      <c r="C47" s="1257">
        <f>Finance!E27</f>
        <v>2008.7076230599766</v>
      </c>
      <c r="D47" s="1257">
        <f>Finance!F27</f>
        <v>2008.7076230599766</v>
      </c>
      <c r="E47" s="1257">
        <f>Finance!G27</f>
        <v>1851.8852475150509</v>
      </c>
      <c r="F47" s="1257">
        <f>Finance!H27</f>
        <v>-156.82237554492576</v>
      </c>
      <c r="G47" s="825"/>
      <c r="H47" s="833"/>
      <c r="I47" s="171"/>
      <c r="J47" s="951" t="s">
        <v>532</v>
      </c>
      <c r="K47" s="950">
        <f>'contract Monitoring Month 3'!C13</f>
        <v>48747.012691072996</v>
      </c>
      <c r="L47" s="950">
        <f>'contract Monitoring Month 3'!E13</f>
        <v>11898.877113533001</v>
      </c>
      <c r="M47" s="950">
        <f>'contract Monitoring Month 3'!H13</f>
        <v>15017</v>
      </c>
      <c r="N47" s="950">
        <f t="shared" si="0"/>
        <v>3118.1228864669993</v>
      </c>
      <c r="O47" s="958"/>
      <c r="P47" s="943">
        <f>'contract Monitoring Month 3'!D13/1000</f>
        <v>8385.0682524012973</v>
      </c>
      <c r="Q47" s="942">
        <f>'contract Monitoring Month 3'!F13/1000</f>
        <v>2046.748943510923</v>
      </c>
      <c r="R47" s="942">
        <f>'contract Monitoring Month 3'!I13/1000</f>
        <v>2226.0640190210001</v>
      </c>
      <c r="S47" s="941">
        <f t="shared" si="1"/>
        <v>179.31507551007712</v>
      </c>
      <c r="T47" s="940"/>
    </row>
    <row r="48" spans="1:20" ht="15.75" customHeight="1">
      <c r="A48" s="1247"/>
      <c r="B48" s="815"/>
      <c r="C48" s="994">
        <f>SUM(C40:C47)</f>
        <v>78527.426999999981</v>
      </c>
      <c r="D48" s="994">
        <f>SUM(D40:D47)</f>
        <v>78527.426999999981</v>
      </c>
      <c r="E48" s="994">
        <f>SUM(E40:E47)</f>
        <v>76555.48</v>
      </c>
      <c r="F48" s="994">
        <f>SUM(F40:F47)</f>
        <v>-1971.9469999999928</v>
      </c>
      <c r="G48" s="825"/>
      <c r="H48" s="834"/>
      <c r="I48" s="171"/>
      <c r="J48" s="951" t="s">
        <v>1034</v>
      </c>
      <c r="K48" s="950">
        <f>'contract Monitoring Month 3'!C14</f>
        <v>2108.5176116859998</v>
      </c>
      <c r="L48" s="950">
        <f>'contract Monitoring Month 3'!E14</f>
        <v>527.12940292149995</v>
      </c>
      <c r="M48" s="950">
        <f>'contract Monitoring Month 3'!H14</f>
        <v>14619</v>
      </c>
      <c r="N48" s="950">
        <f t="shared" si="0"/>
        <v>14091.870597078499</v>
      </c>
      <c r="O48" s="958"/>
      <c r="P48" s="943">
        <f>'contract Monitoring Month 3'!D14/1000</f>
        <v>2711.5790298725406</v>
      </c>
      <c r="Q48" s="942">
        <f>'contract Monitoring Month 3'!F14/1000</f>
        <v>677.89475746813514</v>
      </c>
      <c r="R48" s="942">
        <f>'contract Monitoring Month 3'!I14/1000</f>
        <v>1709.6010421479998</v>
      </c>
      <c r="S48" s="941">
        <f t="shared" si="1"/>
        <v>1031.7062846798647</v>
      </c>
      <c r="T48" s="957"/>
    </row>
    <row r="49" spans="1:28" ht="15.75" customHeight="1">
      <c r="A49" s="1247"/>
      <c r="B49" s="830"/>
      <c r="C49" s="825"/>
      <c r="D49" s="830"/>
      <c r="E49" s="825"/>
      <c r="F49" s="830"/>
      <c r="G49" s="825"/>
      <c r="H49" s="833"/>
      <c r="I49" s="871"/>
      <c r="J49" s="951" t="s">
        <v>872</v>
      </c>
      <c r="K49" s="953">
        <f>'contract Monitoring Month 3'!C15</f>
        <v>304362.33037819434</v>
      </c>
      <c r="L49" s="953">
        <f>'contract Monitoring Month 3'!E15</f>
        <v>75236.993447515284</v>
      </c>
      <c r="M49" s="953">
        <f>'contract Monitoring Month 3'!H15</f>
        <v>72220.889756216799</v>
      </c>
      <c r="N49" s="953">
        <f t="shared" si="0"/>
        <v>-3016.1036912984855</v>
      </c>
      <c r="O49" s="952"/>
      <c r="P49" s="943">
        <f>'contract Monitoring Month 3'!D15/1000</f>
        <v>84881.592321592761</v>
      </c>
      <c r="Q49" s="942">
        <f>'contract Monitoring Month 3'!F15/1000</f>
        <v>21098.084599803984</v>
      </c>
      <c r="R49" s="942">
        <f>'contract Monitoring Month 3'!I15/1000</f>
        <v>20717.185169016335</v>
      </c>
      <c r="S49" s="941">
        <f t="shared" si="1"/>
        <v>-380.89943078764918</v>
      </c>
      <c r="T49" s="957"/>
    </row>
    <row r="50" spans="1:28" ht="15.75" customHeight="1">
      <c r="A50" s="999" t="s">
        <v>408</v>
      </c>
      <c r="B50" s="956"/>
      <c r="C50" s="955"/>
      <c r="D50" s="956"/>
      <c r="E50" s="955"/>
      <c r="F50" s="956"/>
      <c r="G50" s="955"/>
      <c r="H50" s="833"/>
      <c r="I50" s="871"/>
      <c r="J50" s="954" t="s">
        <v>533</v>
      </c>
      <c r="K50" s="950">
        <f>'contract Monitoring Month 3'!C16</f>
        <v>2986454.9698524242</v>
      </c>
      <c r="L50" s="950">
        <f>'contract Monitoring Month 3'!E16</f>
        <v>744568.2098531808</v>
      </c>
      <c r="M50" s="950">
        <f>'contract Monitoring Month 3'!H16</f>
        <v>791743.2575094162</v>
      </c>
      <c r="N50" s="950">
        <f t="shared" si="0"/>
        <v>47175.047656235402</v>
      </c>
      <c r="O50" s="949"/>
      <c r="P50" s="943">
        <f>'contract Monitoring Month 3'!D16/1000</f>
        <v>10789.219246074203</v>
      </c>
      <c r="Q50" s="942">
        <f>'contract Monitoring Month 3'!F16/1000</f>
        <v>2689.9108242482375</v>
      </c>
      <c r="R50" s="942">
        <f>'contract Monitoring Month 3'!I16/1000</f>
        <v>3013.5530999028751</v>
      </c>
      <c r="S50" s="941">
        <f t="shared" si="1"/>
        <v>323.64227565463761</v>
      </c>
      <c r="T50" s="940"/>
    </row>
    <row r="51" spans="1:28" ht="15.75" customHeight="1">
      <c r="A51" s="999"/>
      <c r="B51" s="956"/>
      <c r="C51" s="955"/>
      <c r="D51" s="956"/>
      <c r="E51" s="955"/>
      <c r="F51" s="956"/>
      <c r="G51" s="955"/>
      <c r="H51" s="833"/>
      <c r="I51" s="871"/>
      <c r="J51" s="951" t="s">
        <v>358</v>
      </c>
      <c r="K51" s="950">
        <f>'contract Monitoring Month 3'!C17</f>
        <v>142591.91474491303</v>
      </c>
      <c r="L51" s="950">
        <f>'contract Monitoring Month 3'!E17</f>
        <v>35550.312990916995</v>
      </c>
      <c r="M51" s="950">
        <f>'contract Monitoring Month 3'!H17</f>
        <v>38124</v>
      </c>
      <c r="N51" s="950">
        <f t="shared" si="0"/>
        <v>2573.6870090830053</v>
      </c>
      <c r="O51" s="949"/>
      <c r="P51" s="943">
        <f>'contract Monitoring Month 3'!D17/1000</f>
        <v>14855.976502714235</v>
      </c>
      <c r="Q51" s="942">
        <f>'contract Monitoring Month 3'!F17/1000</f>
        <v>3703.8187992929875</v>
      </c>
      <c r="R51" s="942">
        <f>'contract Monitoring Month 3'!I17/1000</f>
        <v>4042.0888616740003</v>
      </c>
      <c r="S51" s="941">
        <f t="shared" si="1"/>
        <v>338.27006238101285</v>
      </c>
      <c r="T51" s="940"/>
    </row>
    <row r="52" spans="1:28" ht="15.75" customHeight="1">
      <c r="A52" s="856"/>
      <c r="B52" s="866"/>
      <c r="C52" s="866"/>
      <c r="D52" s="866"/>
      <c r="E52" s="866"/>
      <c r="F52" s="866"/>
      <c r="G52" s="866"/>
      <c r="H52" s="833"/>
      <c r="I52" s="871"/>
      <c r="J52" s="946" t="s">
        <v>534</v>
      </c>
      <c r="K52" s="945">
        <f>'contract Monitoring Month 3'!C18</f>
        <v>75440.620965386945</v>
      </c>
      <c r="L52" s="945">
        <f>'contract Monitoring Month 3'!E18</f>
        <v>18808.483583151286</v>
      </c>
      <c r="M52" s="945">
        <f>'contract Monitoring Month 3'!H18</f>
        <v>21069</v>
      </c>
      <c r="N52" s="945">
        <f t="shared" si="0"/>
        <v>2260.5164168487136</v>
      </c>
      <c r="O52" s="944"/>
      <c r="P52" s="943">
        <f>'contract Monitoring Month 3'!D18/1000</f>
        <v>36261.896194662462</v>
      </c>
      <c r="Q52" s="942">
        <f>'contract Monitoring Month 3'!F18/1000</f>
        <v>9040.6371334638006</v>
      </c>
      <c r="R52" s="942">
        <f>'contract Monitoring Month 3'!I18/1000</f>
        <v>10249.481410000017</v>
      </c>
      <c r="S52" s="941">
        <f t="shared" si="1"/>
        <v>1208.8442765362161</v>
      </c>
      <c r="T52" s="948"/>
    </row>
    <row r="53" spans="1:28" ht="30.75" customHeight="1">
      <c r="A53" s="916" t="s">
        <v>715</v>
      </c>
      <c r="B53" s="917"/>
      <c r="C53" s="917"/>
      <c r="D53" s="917"/>
      <c r="E53" s="947" t="s">
        <v>1035</v>
      </c>
      <c r="F53" s="914"/>
      <c r="G53" s="915" t="s">
        <v>1061</v>
      </c>
      <c r="H53" s="835"/>
      <c r="I53" s="871"/>
      <c r="J53" s="1243" t="s">
        <v>407</v>
      </c>
      <c r="K53" s="1241"/>
      <c r="L53" s="1241"/>
      <c r="M53" s="1241"/>
      <c r="N53" s="1241"/>
      <c r="O53" s="1241"/>
      <c r="P53" s="995">
        <f>SUM(P38:P52)</f>
        <v>362335.79667071113</v>
      </c>
      <c r="Q53" s="996">
        <f>SUM(Q38:Q52)</f>
        <v>89661.192889920887</v>
      </c>
      <c r="R53" s="996">
        <f>SUM(R38:R52)</f>
        <v>99322.304383105249</v>
      </c>
      <c r="S53" s="997">
        <f>SUM(S38:S52)</f>
        <v>9661.1114931843549</v>
      </c>
      <c r="T53" s="1242"/>
    </row>
    <row r="54" spans="1:28" ht="15" customHeight="1">
      <c r="A54" s="856"/>
      <c r="B54" s="866"/>
      <c r="C54" s="866"/>
      <c r="D54" s="866"/>
      <c r="E54" s="866"/>
      <c r="F54" s="866"/>
      <c r="G54" s="867"/>
      <c r="H54" s="836"/>
      <c r="I54" s="866"/>
      <c r="J54" s="1004"/>
      <c r="K54" s="818"/>
      <c r="L54" s="818"/>
      <c r="M54" s="818"/>
      <c r="N54" s="818"/>
      <c r="O54" s="818"/>
      <c r="P54" s="818"/>
      <c r="Q54" s="818"/>
      <c r="R54" s="818"/>
      <c r="S54" s="818"/>
      <c r="T54" s="1246"/>
    </row>
    <row r="55" spans="1:28" ht="15" customHeight="1">
      <c r="A55" s="832" t="s">
        <v>693</v>
      </c>
      <c r="B55" s="866"/>
      <c r="C55" s="866"/>
      <c r="D55" s="866"/>
      <c r="E55" s="874">
        <v>99322</v>
      </c>
      <c r="F55" s="874"/>
      <c r="G55" s="998">
        <v>132874</v>
      </c>
      <c r="H55" s="867"/>
      <c r="I55" s="871"/>
      <c r="J55" s="999"/>
      <c r="K55" s="938"/>
      <c r="L55" s="938"/>
      <c r="M55" s="938"/>
      <c r="N55" s="938"/>
      <c r="O55" s="938"/>
      <c r="P55" s="938"/>
      <c r="Q55" s="938"/>
      <c r="R55" s="938"/>
      <c r="S55" s="938"/>
      <c r="T55" s="869"/>
    </row>
    <row r="56" spans="1:28" ht="15" customHeight="1">
      <c r="A56" s="832" t="s">
        <v>694</v>
      </c>
      <c r="B56" s="866"/>
      <c r="C56" s="866"/>
      <c r="D56" s="866"/>
      <c r="E56" s="874">
        <v>4649</v>
      </c>
      <c r="F56" s="874"/>
      <c r="G56" s="998">
        <v>6198</v>
      </c>
      <c r="H56" s="867"/>
      <c r="I56" s="871"/>
      <c r="J56" s="911"/>
      <c r="K56" s="913"/>
      <c r="L56" s="912"/>
      <c r="M56" s="912"/>
      <c r="N56" s="171"/>
      <c r="O56" s="815"/>
      <c r="P56" s="171"/>
      <c r="Q56" s="171"/>
      <c r="R56" s="171"/>
      <c r="S56" s="176"/>
      <c r="T56" s="869"/>
    </row>
    <row r="57" spans="1:28" ht="15" customHeight="1">
      <c r="A57" s="838" t="s">
        <v>695</v>
      </c>
      <c r="B57" s="866"/>
      <c r="C57" s="866"/>
      <c r="D57" s="866"/>
      <c r="E57" s="875">
        <v>2599</v>
      </c>
      <c r="F57" s="875"/>
      <c r="G57" s="1000">
        <v>3108</v>
      </c>
      <c r="H57" s="867"/>
      <c r="I57" s="871"/>
      <c r="J57" s="984"/>
      <c r="K57" s="2240" t="s">
        <v>160</v>
      </c>
      <c r="L57" s="2241"/>
      <c r="M57" s="2241"/>
      <c r="N57" s="2242"/>
      <c r="O57" s="1245"/>
      <c r="P57" s="171"/>
      <c r="Q57" s="171"/>
      <c r="R57" s="171"/>
      <c r="S57" s="176"/>
      <c r="T57" s="869"/>
    </row>
    <row r="58" spans="1:28" s="840" customFormat="1" ht="15" customHeight="1">
      <c r="A58" s="838" t="s">
        <v>340</v>
      </c>
      <c r="B58" s="876"/>
      <c r="C58" s="876"/>
      <c r="D58" s="876"/>
      <c r="E58" s="875">
        <f>-638-812-130-15-60-18-90</f>
        <v>-1763</v>
      </c>
      <c r="F58" s="875"/>
      <c r="G58" s="1000">
        <f>-213-1083-33-27-25-7-120-1659+66+154+513</f>
        <v>-2434</v>
      </c>
      <c r="H58" s="872"/>
      <c r="I58" s="839"/>
      <c r="J58" s="1247"/>
      <c r="K58" s="981" t="s">
        <v>159</v>
      </c>
      <c r="L58" s="981" t="s">
        <v>520</v>
      </c>
      <c r="M58" s="981" t="s">
        <v>521</v>
      </c>
      <c r="N58" s="981" t="s">
        <v>522</v>
      </c>
      <c r="O58" s="1001"/>
      <c r="P58" s="171"/>
      <c r="Q58" s="171"/>
      <c r="R58" s="171"/>
      <c r="S58" s="176"/>
      <c r="T58" s="869"/>
    </row>
    <row r="59" spans="1:28" ht="15" customHeight="1">
      <c r="A59" s="1258"/>
      <c r="B59" s="1259"/>
      <c r="C59" s="1259"/>
      <c r="D59" s="1259"/>
      <c r="E59" s="1260">
        <f>SUM(E55:E58)</f>
        <v>104807</v>
      </c>
      <c r="F59" s="1260"/>
      <c r="G59" s="1261">
        <f>SUM(G55:G58)</f>
        <v>139746</v>
      </c>
      <c r="H59" s="867"/>
      <c r="I59" s="866"/>
      <c r="J59" s="1249" t="s">
        <v>158</v>
      </c>
      <c r="K59" s="1256">
        <f>'contract Monitoring Month 3'!C25/1000</f>
        <v>172956.33386819877</v>
      </c>
      <c r="L59" s="1256">
        <f>'contract Monitoring Month 3'!E25/1000</f>
        <v>42803.245335249674</v>
      </c>
      <c r="M59" s="1256">
        <f>'contract Monitoring Month 3'!G25/1000</f>
        <v>45698.967497115409</v>
      </c>
      <c r="N59" s="1255">
        <f>M59-L59</f>
        <v>2895.722161865735</v>
      </c>
      <c r="O59" s="815"/>
      <c r="P59" s="873"/>
      <c r="Q59" s="873"/>
      <c r="R59" s="873"/>
      <c r="S59" s="823"/>
      <c r="T59" s="841"/>
      <c r="U59" s="842"/>
      <c r="V59" s="842"/>
      <c r="W59" s="175"/>
      <c r="X59" s="842"/>
      <c r="Y59" s="842"/>
      <c r="Z59" s="175"/>
      <c r="AA59" s="171"/>
      <c r="AB59" s="843"/>
    </row>
    <row r="60" spans="1:28" ht="15" customHeight="1">
      <c r="A60" s="844" t="s">
        <v>696</v>
      </c>
      <c r="B60" s="866"/>
      <c r="C60" s="866"/>
      <c r="D60" s="866"/>
      <c r="E60" s="874"/>
      <c r="F60" s="874"/>
      <c r="G60" s="998"/>
      <c r="H60" s="867"/>
      <c r="I60" s="866"/>
      <c r="J60" s="1250" t="s">
        <v>157</v>
      </c>
      <c r="K60" s="1256">
        <f>'contract Monitoring Month 3'!C33/1000</f>
        <v>76077.286934911448</v>
      </c>
      <c r="L60" s="1256">
        <f>'contract Monitoring Month 3'!E33/1000</f>
        <v>18828.229398890235</v>
      </c>
      <c r="M60" s="1256">
        <f>'contract Monitoring Month 3'!G33/1000</f>
        <v>19021.409688864871</v>
      </c>
      <c r="N60" s="1256">
        <f t="shared" ref="N60:N66" si="2">M60-L60</f>
        <v>193.18028997463625</v>
      </c>
      <c r="O60" s="815"/>
      <c r="P60" s="171"/>
      <c r="Q60" s="171"/>
      <c r="R60" s="171"/>
      <c r="S60" s="171"/>
      <c r="T60" s="603"/>
      <c r="U60" s="187"/>
      <c r="V60" s="187"/>
      <c r="W60" s="187"/>
      <c r="X60" s="187"/>
      <c r="Y60" s="187"/>
      <c r="Z60" s="187"/>
      <c r="AA60" s="176"/>
      <c r="AB60" s="845"/>
    </row>
    <row r="61" spans="1:28" ht="15" customHeight="1">
      <c r="A61" s="832" t="s">
        <v>697</v>
      </c>
      <c r="B61" s="866"/>
      <c r="C61" s="866"/>
      <c r="D61" s="866"/>
      <c r="E61" s="874"/>
      <c r="F61" s="874"/>
      <c r="G61" s="998">
        <v>725</v>
      </c>
      <c r="H61" s="867"/>
      <c r="I61" s="866"/>
      <c r="J61" s="1250" t="s">
        <v>60</v>
      </c>
      <c r="K61" s="1256">
        <f>'contract Monitoring Month 3'!C32/1000</f>
        <v>56476.526247339752</v>
      </c>
      <c r="L61" s="1256">
        <f>'contract Monitoring Month 3'!E32/1000</f>
        <v>13974.53354043469</v>
      </c>
      <c r="M61" s="1256">
        <f>'contract Monitoring Month 3'!G32/1000</f>
        <v>14031.678749253526</v>
      </c>
      <c r="N61" s="1256">
        <f t="shared" si="2"/>
        <v>57.145208818836181</v>
      </c>
      <c r="O61" s="815"/>
      <c r="P61" s="171"/>
      <c r="Q61" s="171"/>
      <c r="R61" s="171"/>
      <c r="S61" s="171"/>
      <c r="T61" s="603"/>
      <c r="U61" s="845"/>
      <c r="V61" s="845"/>
      <c r="W61" s="845"/>
      <c r="X61" s="845"/>
      <c r="Y61" s="845"/>
      <c r="Z61" s="845"/>
      <c r="AA61" s="845"/>
    </row>
    <row r="62" spans="1:28" ht="15" customHeight="1">
      <c r="A62" s="832" t="s">
        <v>698</v>
      </c>
      <c r="B62" s="866"/>
      <c r="C62" s="866"/>
      <c r="D62" s="866"/>
      <c r="E62" s="874"/>
      <c r="F62" s="874"/>
      <c r="G62" s="998">
        <v>534</v>
      </c>
      <c r="H62" s="867"/>
      <c r="I62" s="866"/>
      <c r="J62" s="1250" t="s">
        <v>59</v>
      </c>
      <c r="K62" s="1256">
        <f>'contract Monitoring Month 3'!C26/1000</f>
        <v>27204.624040810784</v>
      </c>
      <c r="L62" s="1256">
        <f>'contract Monitoring Month 3'!E26/1000</f>
        <v>6726.5469960788905</v>
      </c>
      <c r="M62" s="1256">
        <f>'contract Monitoring Month 3'!G26/1000</f>
        <v>8228.55222509757</v>
      </c>
      <c r="N62" s="1256">
        <f t="shared" si="2"/>
        <v>1502.0052290186795</v>
      </c>
      <c r="O62" s="815"/>
      <c r="P62" s="171"/>
      <c r="Q62" s="171"/>
      <c r="R62" s="171"/>
      <c r="S62" s="171"/>
      <c r="T62" s="603"/>
      <c r="U62" s="187"/>
      <c r="V62" s="187"/>
      <c r="W62" s="187"/>
      <c r="X62" s="187"/>
      <c r="Y62" s="187"/>
      <c r="Z62" s="187"/>
      <c r="AA62" s="176"/>
      <c r="AB62" s="845"/>
    </row>
    <row r="63" spans="1:28" ht="15" customHeight="1">
      <c r="A63" s="832" t="s">
        <v>699</v>
      </c>
      <c r="B63" s="866"/>
      <c r="C63" s="866"/>
      <c r="D63" s="866"/>
      <c r="E63" s="874"/>
      <c r="F63" s="874"/>
      <c r="G63" s="998">
        <v>795</v>
      </c>
      <c r="H63" s="867"/>
      <c r="I63" s="866"/>
      <c r="J63" s="1250" t="s">
        <v>58</v>
      </c>
      <c r="K63" s="1256">
        <f>'contract Monitoring Month 3'!C29/1000</f>
        <v>13858.919591951881</v>
      </c>
      <c r="L63" s="1256">
        <f>'contract Monitoring Month 3'!E29/1000</f>
        <v>3425.3671438737083</v>
      </c>
      <c r="M63" s="1256">
        <f>'contract Monitoring Month 3'!G29/1000</f>
        <v>4885.5811369555686</v>
      </c>
      <c r="N63" s="1256">
        <f t="shared" si="2"/>
        <v>1460.2139930818603</v>
      </c>
      <c r="O63" s="815"/>
      <c r="P63" s="171"/>
      <c r="Q63" s="171"/>
      <c r="R63" s="171"/>
      <c r="S63" s="171"/>
      <c r="T63" s="603"/>
      <c r="U63" s="175"/>
      <c r="V63" s="175"/>
      <c r="W63" s="175"/>
      <c r="X63" s="175"/>
      <c r="Y63" s="175"/>
      <c r="Z63" s="175"/>
      <c r="AA63" s="171"/>
      <c r="AB63" s="845"/>
    </row>
    <row r="64" spans="1:28" ht="15" customHeight="1">
      <c r="A64" s="832" t="s">
        <v>700</v>
      </c>
      <c r="B64" s="866"/>
      <c r="C64" s="866"/>
      <c r="D64" s="866"/>
      <c r="E64" s="874"/>
      <c r="F64" s="874"/>
      <c r="G64" s="998">
        <f>2+80+17+282+18+776+4+145</f>
        <v>1324</v>
      </c>
      <c r="H64" s="867"/>
      <c r="I64" s="866"/>
      <c r="J64" s="1250" t="s">
        <v>57</v>
      </c>
      <c r="K64" s="1256">
        <f>'contract Monitoring Month 3'!C31/1000</f>
        <v>10370.166158225771</v>
      </c>
      <c r="L64" s="1256">
        <f>'contract Monitoring Month 3'!E31/1000</f>
        <v>2567.4720529773676</v>
      </c>
      <c r="M64" s="1256">
        <f>'contract Monitoring Month 3'!G31/1000</f>
        <v>3101.6520812308222</v>
      </c>
      <c r="N64" s="1256">
        <f t="shared" si="2"/>
        <v>534.18002825345457</v>
      </c>
      <c r="O64" s="815"/>
      <c r="P64" s="846"/>
      <c r="Q64" s="846"/>
      <c r="R64" s="846"/>
      <c r="S64" s="846"/>
      <c r="T64" s="847"/>
    </row>
    <row r="65" spans="1:28" ht="15" customHeight="1">
      <c r="A65" s="832"/>
      <c r="B65" s="866"/>
      <c r="C65" s="866"/>
      <c r="D65" s="866"/>
      <c r="E65" s="866"/>
      <c r="F65" s="866"/>
      <c r="G65" s="867"/>
      <c r="H65" s="867"/>
      <c r="I65" s="866"/>
      <c r="J65" s="1250" t="s">
        <v>56</v>
      </c>
      <c r="K65" s="1256">
        <f>'contract Monitoring Month 3'!C27/1000</f>
        <v>5141.939829272631</v>
      </c>
      <c r="L65" s="1256">
        <f>'contract Monitoring Month 3'!E27/1000</f>
        <v>1273.2984224163456</v>
      </c>
      <c r="M65" s="1256">
        <f>'contract Monitoring Month 3'!G27/1000</f>
        <v>1575.0026494546589</v>
      </c>
      <c r="N65" s="1256">
        <f t="shared" si="2"/>
        <v>301.70422703831332</v>
      </c>
      <c r="O65" s="815"/>
      <c r="P65" s="846"/>
      <c r="Q65" s="846"/>
      <c r="R65" s="846"/>
      <c r="S65" s="846"/>
      <c r="T65" s="847"/>
      <c r="U65" s="175"/>
      <c r="V65" s="175"/>
      <c r="W65" s="175"/>
      <c r="X65" s="175"/>
      <c r="Y65" s="175"/>
      <c r="Z65" s="175"/>
      <c r="AA65" s="171"/>
      <c r="AB65" s="845"/>
    </row>
    <row r="66" spans="1:28" ht="20.25" customHeight="1">
      <c r="A66" s="918" t="s">
        <v>1036</v>
      </c>
      <c r="B66" s="919"/>
      <c r="C66" s="919"/>
      <c r="D66" s="919"/>
      <c r="E66" s="919"/>
      <c r="F66" s="919"/>
      <c r="G66" s="920">
        <f>SUM(G59:G65)</f>
        <v>143124</v>
      </c>
      <c r="H66" s="1002"/>
      <c r="I66" s="862"/>
      <c r="J66" s="1251" t="s">
        <v>55</v>
      </c>
      <c r="K66" s="1256">
        <f>'contract Monitoring Month 3'!C38/1000</f>
        <v>249.99999999999596</v>
      </c>
      <c r="L66" s="1256">
        <f>'contract Monitoring Month 3'!E38/1000</f>
        <v>62.499999999999005</v>
      </c>
      <c r="M66" s="1256">
        <f>('contract Monitoring Month 3'!G28+'contract Monitoring Month 3'!G30+'contract Monitoring Month 3'!G34+'contract Monitoring Month 3'!G35+'contract Monitoring Month 3'!G36+'contract Monitoring Month 3'!G37+'contract Monitoring Month 3'!G38)/1000</f>
        <v>2779.460355132795</v>
      </c>
      <c r="N66" s="1257">
        <f t="shared" si="2"/>
        <v>2716.9603551327959</v>
      </c>
      <c r="O66" s="815"/>
      <c r="P66" s="854"/>
      <c r="Q66" s="853"/>
      <c r="R66" s="853"/>
      <c r="S66" s="853"/>
      <c r="T66" s="1248"/>
      <c r="U66" s="171"/>
      <c r="V66" s="171"/>
      <c r="W66" s="171"/>
      <c r="X66" s="171"/>
      <c r="Y66" s="171"/>
      <c r="Z66" s="171"/>
      <c r="AA66" s="171"/>
      <c r="AB66" s="845"/>
    </row>
    <row r="67" spans="1:28" ht="18.75" customHeight="1">
      <c r="A67" s="984"/>
      <c r="B67" s="815"/>
      <c r="C67" s="815"/>
      <c r="D67" s="815"/>
      <c r="E67" s="815"/>
      <c r="F67" s="815"/>
      <c r="G67" s="815"/>
      <c r="H67" s="815"/>
      <c r="I67" s="815"/>
      <c r="J67" s="1247"/>
      <c r="K67" s="994">
        <f>SUM(K59:K66)</f>
        <v>362335.79667071108</v>
      </c>
      <c r="L67" s="994">
        <f>SUM(L59:L66)</f>
        <v>89661.192889920902</v>
      </c>
      <c r="M67" s="994">
        <f>SUM(M59:M66)</f>
        <v>99322.30438310522</v>
      </c>
      <c r="N67" s="994">
        <f>SUM(N59:N66)</f>
        <v>9661.1114931843113</v>
      </c>
      <c r="O67" s="815"/>
      <c r="P67" s="815"/>
      <c r="Q67" s="815"/>
      <c r="R67" s="815"/>
      <c r="S67" s="815"/>
      <c r="T67" s="1003"/>
      <c r="U67" s="171"/>
      <c r="V67" s="171"/>
      <c r="W67" s="171"/>
      <c r="X67" s="171"/>
      <c r="Y67" s="171"/>
      <c r="Z67" s="171"/>
      <c r="AA67" s="171"/>
      <c r="AB67" s="845"/>
    </row>
    <row r="68" spans="1:28">
      <c r="A68" s="857"/>
      <c r="B68" s="817"/>
      <c r="C68" s="817"/>
      <c r="D68" s="817"/>
      <c r="E68" s="817"/>
      <c r="F68" s="817"/>
      <c r="G68" s="817"/>
      <c r="H68" s="817"/>
      <c r="I68" s="817"/>
      <c r="J68" s="857"/>
      <c r="K68" s="817"/>
      <c r="L68" s="817"/>
      <c r="M68" s="817"/>
      <c r="N68" s="817"/>
      <c r="O68" s="817"/>
      <c r="P68" s="817"/>
      <c r="Q68" s="817"/>
      <c r="R68" s="817"/>
      <c r="S68" s="817"/>
      <c r="T68" s="855"/>
      <c r="U68" s="171"/>
      <c r="V68" s="171"/>
      <c r="W68" s="171"/>
      <c r="X68" s="171"/>
      <c r="Y68" s="171"/>
      <c r="Z68" s="171"/>
      <c r="AA68" s="171"/>
      <c r="AB68" s="845"/>
    </row>
    <row r="69" spans="1:28" ht="19.5" customHeight="1">
      <c r="I69" s="848"/>
      <c r="J69" s="848"/>
      <c r="K69" s="848"/>
      <c r="L69" s="848"/>
      <c r="M69" s="848"/>
      <c r="N69" s="848"/>
      <c r="O69" s="848"/>
      <c r="P69" s="848"/>
      <c r="Q69" s="848"/>
      <c r="R69" s="848"/>
      <c r="S69" s="815"/>
      <c r="T69" s="815"/>
      <c r="U69" s="171"/>
      <c r="V69" s="171"/>
      <c r="W69" s="171"/>
      <c r="X69" s="171"/>
      <c r="Y69" s="171"/>
      <c r="Z69" s="171"/>
      <c r="AA69" s="171"/>
      <c r="AB69" s="845"/>
    </row>
    <row r="70" spans="1:28" ht="18" customHeight="1">
      <c r="I70" s="848"/>
      <c r="J70" s="849"/>
      <c r="K70" s="171"/>
      <c r="L70" s="171"/>
      <c r="M70" s="171"/>
      <c r="N70" s="171"/>
      <c r="O70" s="171"/>
      <c r="P70" s="171"/>
      <c r="Q70" s="848"/>
      <c r="R70" s="848"/>
      <c r="U70" s="171"/>
      <c r="V70" s="171"/>
      <c r="W70" s="171"/>
      <c r="X70" s="171"/>
      <c r="Y70" s="171"/>
      <c r="Z70" s="171"/>
      <c r="AA70" s="171"/>
      <c r="AB70" s="845"/>
    </row>
    <row r="71" spans="1:28">
      <c r="C71" s="850"/>
      <c r="E71" s="850"/>
      <c r="G71" s="850"/>
      <c r="I71" s="848"/>
      <c r="J71" s="174"/>
      <c r="K71" s="174"/>
      <c r="L71" s="171"/>
      <c r="M71" s="174"/>
      <c r="N71" s="171"/>
      <c r="O71" s="174"/>
      <c r="P71" s="171"/>
      <c r="Q71" s="848"/>
      <c r="R71" s="848"/>
      <c r="S71" s="851"/>
      <c r="T71" s="851"/>
      <c r="U71" s="851"/>
      <c r="V71" s="851"/>
      <c r="W71" s="851"/>
      <c r="X71" s="851"/>
      <c r="Y71" s="851"/>
      <c r="Z71" s="851"/>
      <c r="AA71" s="851"/>
      <c r="AB71" s="845"/>
    </row>
    <row r="72" spans="1:28">
      <c r="C72" s="850"/>
      <c r="E72" s="850"/>
      <c r="G72" s="850"/>
      <c r="I72" s="848"/>
      <c r="J72" s="852"/>
      <c r="K72" s="788"/>
      <c r="L72" s="171"/>
      <c r="M72" s="788"/>
      <c r="N72" s="171"/>
      <c r="O72" s="788"/>
      <c r="P72" s="171"/>
      <c r="Q72" s="848"/>
      <c r="R72" s="848"/>
      <c r="S72" s="853"/>
      <c r="T72" s="853"/>
      <c r="U72" s="853"/>
      <c r="V72" s="853"/>
      <c r="W72" s="853"/>
      <c r="X72" s="853"/>
      <c r="Y72" s="853"/>
      <c r="Z72" s="853"/>
      <c r="AA72" s="853"/>
    </row>
    <row r="73" spans="1:28">
      <c r="C73" s="850"/>
      <c r="E73" s="850"/>
      <c r="G73" s="850"/>
      <c r="I73" s="848"/>
      <c r="J73" s="852"/>
      <c r="K73" s="788"/>
      <c r="L73" s="171"/>
      <c r="M73" s="788"/>
      <c r="N73" s="171"/>
      <c r="O73" s="788"/>
      <c r="P73" s="171"/>
      <c r="Q73" s="848"/>
      <c r="R73" s="848"/>
      <c r="S73" s="851"/>
      <c r="T73" s="851"/>
      <c r="U73" s="851"/>
      <c r="V73" s="851"/>
      <c r="W73" s="851"/>
      <c r="X73" s="851"/>
      <c r="Y73" s="851"/>
      <c r="Z73" s="851"/>
      <c r="AA73" s="851"/>
      <c r="AB73" s="845"/>
    </row>
    <row r="74" spans="1:28">
      <c r="C74" s="850"/>
      <c r="E74" s="850"/>
      <c r="G74" s="850"/>
      <c r="I74" s="848"/>
      <c r="J74" s="852"/>
      <c r="K74" s="789"/>
      <c r="L74" s="171"/>
      <c r="M74" s="789"/>
      <c r="N74" s="171"/>
      <c r="O74" s="789"/>
      <c r="P74" s="171"/>
      <c r="Q74" s="848"/>
      <c r="R74" s="848"/>
      <c r="S74" s="853"/>
      <c r="T74" s="853"/>
      <c r="U74" s="853"/>
      <c r="V74" s="853"/>
      <c r="W74" s="853"/>
      <c r="X74" s="853"/>
      <c r="Y74" s="853"/>
      <c r="Z74" s="853"/>
      <c r="AA74" s="853"/>
    </row>
    <row r="75" spans="1:28">
      <c r="C75" s="850"/>
      <c r="E75" s="850"/>
      <c r="G75" s="850"/>
      <c r="I75" s="848"/>
      <c r="J75" s="852"/>
      <c r="K75" s="788"/>
      <c r="L75" s="171"/>
      <c r="M75" s="788"/>
      <c r="N75" s="171"/>
      <c r="O75" s="788"/>
      <c r="P75" s="171"/>
      <c r="Q75" s="848"/>
      <c r="R75" s="848"/>
    </row>
    <row r="76" spans="1:28">
      <c r="I76" s="848"/>
      <c r="J76" s="848"/>
      <c r="K76" s="848"/>
      <c r="L76" s="848"/>
      <c r="M76" s="848"/>
      <c r="N76" s="848"/>
      <c r="O76" s="848"/>
      <c r="P76" s="848"/>
      <c r="Q76" s="848"/>
      <c r="R76" s="848"/>
    </row>
    <row r="77" spans="1:28">
      <c r="I77" s="848"/>
      <c r="J77" s="848"/>
      <c r="K77" s="848"/>
      <c r="L77" s="848"/>
      <c r="M77" s="848"/>
      <c r="N77" s="848"/>
      <c r="O77" s="848"/>
      <c r="P77" s="848"/>
      <c r="Q77" s="848"/>
      <c r="R77" s="848"/>
    </row>
  </sheetData>
  <mergeCells count="16">
    <mergeCell ref="K57:N57"/>
    <mergeCell ref="A3:T4"/>
    <mergeCell ref="A6:T21"/>
    <mergeCell ref="B34:D34"/>
    <mergeCell ref="E34:G34"/>
    <mergeCell ref="L34:N34"/>
    <mergeCell ref="O34:R34"/>
    <mergeCell ref="S34:T34"/>
    <mergeCell ref="C37:F37"/>
    <mergeCell ref="C38:F38"/>
    <mergeCell ref="A25:T25"/>
    <mergeCell ref="A27:T27"/>
    <mergeCell ref="A23:T23"/>
    <mergeCell ref="K36:N36"/>
    <mergeCell ref="A29:T29"/>
    <mergeCell ref="A31:T31"/>
  </mergeCells>
  <phoneticPr fontId="122" type="noConversion"/>
  <printOptions horizontalCentered="1" verticalCentered="1"/>
  <pageMargins left="0.27559055118110237" right="0.23622047244094491" top="0.19685039370078741" bottom="0.39370078740157483" header="0" footer="0.19685039370078741"/>
  <pageSetup paperSize="9" scale="50" orientation="landscape" r:id="rId1"/>
  <headerFooter alignWithMargins="0">
    <oddFooter>&amp;CPage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C1:T36"/>
  <sheetViews>
    <sheetView workbookViewId="0">
      <selection activeCell="F30" sqref="F30"/>
    </sheetView>
  </sheetViews>
  <sheetFormatPr defaultRowHeight="13.2"/>
  <cols>
    <col min="3" max="3" width="33.5546875" customWidth="1"/>
    <col min="4" max="4" width="16.109375" customWidth="1"/>
    <col min="5" max="5" width="14.44140625" customWidth="1"/>
    <col min="6" max="7" width="11.6640625" customWidth="1"/>
    <col min="8" max="8" width="12.88671875" customWidth="1"/>
  </cols>
  <sheetData>
    <row r="1" spans="3:20">
      <c r="N1" t="s">
        <v>1069</v>
      </c>
    </row>
    <row r="2" spans="3:20">
      <c r="E2" t="s">
        <v>1070</v>
      </c>
      <c r="F2">
        <v>6</v>
      </c>
    </row>
    <row r="3" spans="3:20">
      <c r="C3" s="816"/>
      <c r="D3" s="816"/>
      <c r="E3" s="2254" t="s">
        <v>1068</v>
      </c>
      <c r="F3" s="2255"/>
      <c r="G3" s="2255"/>
      <c r="H3" s="2256"/>
      <c r="N3" t="s">
        <v>1053</v>
      </c>
      <c r="O3" t="s">
        <v>159</v>
      </c>
      <c r="P3" t="s">
        <v>1041</v>
      </c>
      <c r="Q3" t="s">
        <v>520</v>
      </c>
      <c r="R3" t="s">
        <v>1042</v>
      </c>
      <c r="S3" t="s">
        <v>521</v>
      </c>
      <c r="T3" t="s">
        <v>1044</v>
      </c>
    </row>
    <row r="4" spans="3:20">
      <c r="C4" s="816"/>
      <c r="D4" s="816"/>
      <c r="E4" s="2240" t="s">
        <v>160</v>
      </c>
      <c r="F4" s="2241"/>
      <c r="G4" s="2241"/>
      <c r="H4" s="2242"/>
      <c r="N4" t="s">
        <v>158</v>
      </c>
      <c r="O4">
        <v>2211160.993961276</v>
      </c>
      <c r="P4">
        <v>172555212.61030507</v>
      </c>
      <c r="Q4">
        <v>926164.5009399004</v>
      </c>
      <c r="R4">
        <v>72200650.329343617</v>
      </c>
      <c r="S4">
        <v>966456.83151488029</v>
      </c>
      <c r="T4">
        <v>77632849.272826374</v>
      </c>
    </row>
    <row r="5" spans="3:20">
      <c r="C5" s="959"/>
      <c r="D5" s="816"/>
      <c r="E5" s="1244" t="s">
        <v>159</v>
      </c>
      <c r="F5" s="1244" t="s">
        <v>520</v>
      </c>
      <c r="G5" s="1244" t="s">
        <v>521</v>
      </c>
      <c r="H5" s="1244" t="s">
        <v>522</v>
      </c>
      <c r="N5" t="s">
        <v>59</v>
      </c>
      <c r="O5">
        <v>281739.62254293839</v>
      </c>
      <c r="P5">
        <v>27128770.011090957</v>
      </c>
      <c r="Q5">
        <v>118028.16599257008</v>
      </c>
      <c r="R5">
        <v>11350974.088421905</v>
      </c>
      <c r="S5">
        <v>47976.523596200102</v>
      </c>
      <c r="T5">
        <v>14099420.906878354</v>
      </c>
    </row>
    <row r="6" spans="3:20">
      <c r="C6" s="975" t="s">
        <v>158</v>
      </c>
      <c r="D6" s="1005"/>
      <c r="E6" s="1255">
        <f>P4/1000</f>
        <v>172555.21261030508</v>
      </c>
      <c r="F6" s="1255">
        <f>E6/12*$F$2</f>
        <v>86277.606305152542</v>
      </c>
      <c r="G6" s="1255">
        <f>T4/1000</f>
        <v>77632.849272826366</v>
      </c>
      <c r="H6" s="1255">
        <f>F6-G6</f>
        <v>8644.7570323261752</v>
      </c>
      <c r="N6" t="s">
        <v>56</v>
      </c>
      <c r="O6">
        <v>59298.23514206789</v>
      </c>
      <c r="P6">
        <v>5126368.7495896025</v>
      </c>
      <c r="Q6">
        <v>24838.595784128473</v>
      </c>
      <c r="R6">
        <v>2144287.3763433718</v>
      </c>
      <c r="S6">
        <v>13065.107482004951</v>
      </c>
      <c r="T6">
        <v>2691839.4094863134</v>
      </c>
    </row>
    <row r="7" spans="3:20">
      <c r="C7" s="961" t="s">
        <v>157</v>
      </c>
      <c r="D7" s="1003"/>
      <c r="E7" s="1256">
        <f>P12/1000</f>
        <v>75856.863710511141</v>
      </c>
      <c r="F7" s="1256">
        <f t="shared" ref="F7:F13" si="0">E7/12*$F$2</f>
        <v>37928.431855255571</v>
      </c>
      <c r="G7" s="1256">
        <f>T12/1000</f>
        <v>32574.095425149582</v>
      </c>
      <c r="H7" s="1256">
        <v>-1637.0020695645871</v>
      </c>
      <c r="N7" t="s">
        <v>1054</v>
      </c>
      <c r="O7">
        <v>0</v>
      </c>
      <c r="P7">
        <v>0</v>
      </c>
      <c r="Q7">
        <v>0</v>
      </c>
      <c r="R7">
        <v>0</v>
      </c>
      <c r="S7">
        <v>5157</v>
      </c>
      <c r="T7">
        <v>553117.90637769154</v>
      </c>
    </row>
    <row r="8" spans="3:20">
      <c r="C8" s="961" t="s">
        <v>60</v>
      </c>
      <c r="D8" s="1003"/>
      <c r="E8" s="1256">
        <f>P11/1000</f>
        <v>56349.80119234939</v>
      </c>
      <c r="F8" s="1256">
        <f t="shared" si="0"/>
        <v>28174.900596174695</v>
      </c>
      <c r="G8" s="1256">
        <f>T11/1000</f>
        <v>23892.752780153678</v>
      </c>
      <c r="H8" s="1256">
        <v>-826.86580850288919</v>
      </c>
      <c r="N8" t="s">
        <v>58</v>
      </c>
      <c r="O8">
        <v>107496.90019675055</v>
      </c>
      <c r="P8">
        <v>13831652.221868843</v>
      </c>
      <c r="Q8">
        <v>45020.652335590879</v>
      </c>
      <c r="R8">
        <v>5786748.3882165635</v>
      </c>
      <c r="S8">
        <v>24107.07018179919</v>
      </c>
      <c r="T8">
        <v>8495128.5126868226</v>
      </c>
    </row>
    <row r="9" spans="3:20">
      <c r="C9" s="961" t="s">
        <v>59</v>
      </c>
      <c r="D9" s="1003"/>
      <c r="E9" s="1256">
        <f>P5/1000</f>
        <v>27128.770011090957</v>
      </c>
      <c r="F9" s="1256">
        <f t="shared" si="0"/>
        <v>13564.385005545479</v>
      </c>
      <c r="G9" s="1256">
        <f>T5/1000</f>
        <v>14099.420906878355</v>
      </c>
      <c r="H9" s="1256">
        <v>2370.764620463473</v>
      </c>
      <c r="N9" t="s">
        <v>1055</v>
      </c>
      <c r="O9">
        <v>0</v>
      </c>
      <c r="P9">
        <v>0</v>
      </c>
      <c r="Q9">
        <v>0</v>
      </c>
      <c r="R9">
        <v>0</v>
      </c>
      <c r="S9">
        <v>119</v>
      </c>
      <c r="T9">
        <v>49177.197202999982</v>
      </c>
    </row>
    <row r="10" spans="3:20">
      <c r="C10" s="961" t="s">
        <v>58</v>
      </c>
      <c r="D10" s="1003"/>
      <c r="E10" s="1256">
        <f>(P8/1000)+1800</f>
        <v>15631.652221868842</v>
      </c>
      <c r="F10" s="1256">
        <f t="shared" si="0"/>
        <v>7815.8261109344203</v>
      </c>
      <c r="G10" s="1256">
        <f>T8/1000</f>
        <v>8495.1285126868224</v>
      </c>
      <c r="H10" s="1256">
        <v>1451.9940841523544</v>
      </c>
      <c r="N10" t="s">
        <v>57</v>
      </c>
      <c r="O10">
        <v>29753.497979299944</v>
      </c>
      <c r="P10">
        <v>10359493.427646589</v>
      </c>
      <c r="Q10">
        <v>12453.79009130468</v>
      </c>
      <c r="R10">
        <v>4335583.9818766564</v>
      </c>
      <c r="S10">
        <v>12794.733271551226</v>
      </c>
      <c r="T10">
        <v>5025115.142716798</v>
      </c>
    </row>
    <row r="11" spans="3:20">
      <c r="C11" s="961" t="s">
        <v>57</v>
      </c>
      <c r="D11" s="1003"/>
      <c r="E11" s="1256">
        <f>P10/1000</f>
        <v>10359.493427646588</v>
      </c>
      <c r="F11" s="1256">
        <f t="shared" si="0"/>
        <v>5179.7467138232942</v>
      </c>
      <c r="G11" s="1256">
        <f>T10/1000</f>
        <v>5025.1151427167979</v>
      </c>
      <c r="H11" s="1256">
        <v>341.68289507886539</v>
      </c>
      <c r="N11" t="s">
        <v>60</v>
      </c>
      <c r="O11">
        <v>598435.39100768638</v>
      </c>
      <c r="P11">
        <v>56349801.192349389</v>
      </c>
      <c r="Q11">
        <v>250633.07385878751</v>
      </c>
      <c r="R11">
        <v>23575656.428523961</v>
      </c>
      <c r="S11">
        <v>293146.25400472526</v>
      </c>
      <c r="T11">
        <v>23892752.780153677</v>
      </c>
    </row>
    <row r="12" spans="3:20">
      <c r="C12" s="961" t="s">
        <v>56</v>
      </c>
      <c r="D12" s="1003"/>
      <c r="E12" s="1256">
        <f>P6/1000</f>
        <v>5126.3687495896029</v>
      </c>
      <c r="F12" s="1256">
        <f t="shared" si="0"/>
        <v>2563.1843747948014</v>
      </c>
      <c r="G12" s="1256">
        <f>T6/1000</f>
        <v>2691.8394094863133</v>
      </c>
      <c r="H12" s="1256">
        <v>281.83880301685349</v>
      </c>
      <c r="N12" t="s">
        <v>157</v>
      </c>
      <c r="O12">
        <v>893336.6669848829</v>
      </c>
      <c r="P12">
        <v>75856863.710511148</v>
      </c>
      <c r="Q12">
        <v>374159.29198979714</v>
      </c>
      <c r="R12">
        <v>31737948.36285251</v>
      </c>
      <c r="S12">
        <v>493336.52150531259</v>
      </c>
      <c r="T12">
        <v>32574095.425149582</v>
      </c>
    </row>
    <row r="13" spans="3:20">
      <c r="C13" s="960" t="s">
        <v>55</v>
      </c>
      <c r="D13" s="855"/>
      <c r="E13" s="1257">
        <v>9529.3970942774904</v>
      </c>
      <c r="F13" s="1257">
        <f t="shared" si="0"/>
        <v>4764.6985471387452</v>
      </c>
      <c r="G13" s="1257">
        <f>(T13+T14+T15+T16+T7+T9)/1000</f>
        <v>4075.7165635749166</v>
      </c>
      <c r="H13" s="1257">
        <v>-281.70955344957611</v>
      </c>
      <c r="N13" t="s">
        <v>1056</v>
      </c>
      <c r="O13">
        <v>0</v>
      </c>
      <c r="P13">
        <v>0</v>
      </c>
      <c r="Q13">
        <v>0</v>
      </c>
      <c r="R13">
        <v>0</v>
      </c>
      <c r="S13">
        <v>216</v>
      </c>
      <c r="T13">
        <v>200271.0958524</v>
      </c>
    </row>
    <row r="14" spans="3:20" ht="14.4">
      <c r="C14" s="959"/>
      <c r="D14" s="816"/>
      <c r="E14" s="994">
        <f>SUM(E6:E13)</f>
        <v>372537.55901763914</v>
      </c>
      <c r="F14" s="994">
        <f>SUM(F6:F13)</f>
        <v>186268.77950881957</v>
      </c>
      <c r="G14" s="994">
        <f>SUM(G6:G13)</f>
        <v>168486.91801347284</v>
      </c>
      <c r="H14" s="994">
        <f>SUM(H6:H13)</f>
        <v>10345.460003520669</v>
      </c>
      <c r="N14" t="s">
        <v>1057</v>
      </c>
      <c r="O14">
        <v>0</v>
      </c>
      <c r="P14">
        <v>0</v>
      </c>
      <c r="Q14">
        <v>0</v>
      </c>
      <c r="R14">
        <v>0</v>
      </c>
      <c r="S14">
        <v>1034</v>
      </c>
      <c r="T14">
        <v>169747.10309631415</v>
      </c>
    </row>
    <row r="15" spans="3:20">
      <c r="N15" t="s">
        <v>1058</v>
      </c>
      <c r="O15">
        <v>0</v>
      </c>
      <c r="P15">
        <v>0</v>
      </c>
      <c r="Q15">
        <v>0</v>
      </c>
      <c r="R15">
        <v>0</v>
      </c>
      <c r="S15">
        <v>10</v>
      </c>
      <c r="T15">
        <v>1113.555329</v>
      </c>
    </row>
    <row r="16" spans="3:20">
      <c r="N16" t="s">
        <v>1059</v>
      </c>
      <c r="O16">
        <v>0</v>
      </c>
      <c r="P16">
        <v>0</v>
      </c>
      <c r="Q16">
        <v>0</v>
      </c>
      <c r="R16">
        <v>0</v>
      </c>
      <c r="S16">
        <v>7950</v>
      </c>
      <c r="T16">
        <v>3102289.7057165112</v>
      </c>
    </row>
    <row r="17" spans="3:20">
      <c r="C17" s="816"/>
      <c r="D17" s="816"/>
      <c r="E17" s="2254" t="s">
        <v>62</v>
      </c>
      <c r="F17" s="2255"/>
      <c r="G17" s="2255"/>
      <c r="H17" s="2256"/>
      <c r="O17">
        <v>0.999999996</v>
      </c>
      <c r="P17">
        <v>249999.99999999595</v>
      </c>
      <c r="Q17">
        <v>0.41666666499999999</v>
      </c>
      <c r="R17">
        <v>104166.666666665</v>
      </c>
      <c r="S17">
        <v>7</v>
      </c>
      <c r="T17">
        <v>116673.62</v>
      </c>
    </row>
    <row r="18" spans="3:20">
      <c r="C18" s="816"/>
      <c r="D18" s="816"/>
      <c r="E18" s="2240" t="s">
        <v>160</v>
      </c>
      <c r="F18" s="2241"/>
      <c r="G18" s="2241"/>
      <c r="H18" s="2242"/>
    </row>
    <row r="19" spans="3:20">
      <c r="C19" s="959"/>
      <c r="D19" s="816"/>
      <c r="E19" s="1244" t="s">
        <v>159</v>
      </c>
      <c r="F19" s="1262" t="s">
        <v>520</v>
      </c>
      <c r="G19" s="1262" t="s">
        <v>521</v>
      </c>
      <c r="H19" s="1262" t="s">
        <v>522</v>
      </c>
    </row>
    <row r="20" spans="3:20" ht="14.25" customHeight="1">
      <c r="C20" s="975" t="s">
        <v>158</v>
      </c>
      <c r="D20" s="1005"/>
      <c r="E20" s="1263">
        <f>F20</f>
        <v>36373.022085227174</v>
      </c>
      <c r="F20" s="1263">
        <f>$F$30/$F$14*F6</f>
        <v>36373.022085227174</v>
      </c>
      <c r="G20" s="1263">
        <f>$G$30/$G$14*G6</f>
        <v>35274.074153185182</v>
      </c>
      <c r="H20" s="1255">
        <f>G20-F20</f>
        <v>-1098.9479320419923</v>
      </c>
    </row>
    <row r="21" spans="3:20" ht="14.25" customHeight="1">
      <c r="C21" s="961" t="s">
        <v>157</v>
      </c>
      <c r="D21" s="1003"/>
      <c r="E21" s="1264">
        <f t="shared" ref="E21:E27" si="1">F21</f>
        <v>15989.916139419553</v>
      </c>
      <c r="F21" s="1264">
        <f t="shared" ref="F21:F27" si="2">$F$30/$F$14*F7</f>
        <v>15989.916139419553</v>
      </c>
      <c r="G21" s="1264">
        <f t="shared" ref="G21:G27" si="3">$G$30/$G$14*G7</f>
        <v>14800.707023667692</v>
      </c>
      <c r="H21" s="1256">
        <f t="shared" ref="H21:H27" si="4">G21-F21</f>
        <v>-1189.2091157518607</v>
      </c>
    </row>
    <row r="22" spans="3:20" ht="14.25" customHeight="1">
      <c r="C22" s="961" t="s">
        <v>60</v>
      </c>
      <c r="D22" s="1003"/>
      <c r="E22" s="1264">
        <f t="shared" si="1"/>
        <v>11878.010129408754</v>
      </c>
      <c r="F22" s="1264">
        <f t="shared" si="2"/>
        <v>11878.010129408754</v>
      </c>
      <c r="G22" s="1264">
        <f t="shared" si="3"/>
        <v>10856.161292354673</v>
      </c>
      <c r="H22" s="1256">
        <f t="shared" si="4"/>
        <v>-1021.8488370540817</v>
      </c>
    </row>
    <row r="23" spans="3:20" ht="14.25" customHeight="1">
      <c r="C23" s="961" t="s">
        <v>59</v>
      </c>
      <c r="D23" s="1003"/>
      <c r="E23" s="1264">
        <f t="shared" si="1"/>
        <v>5718.4905389495643</v>
      </c>
      <c r="F23" s="1264">
        <f t="shared" si="2"/>
        <v>5718.4905389495643</v>
      </c>
      <c r="G23" s="1264">
        <f t="shared" si="3"/>
        <v>6406.3604935891572</v>
      </c>
      <c r="H23" s="1256">
        <f t="shared" si="4"/>
        <v>687.86995463959283</v>
      </c>
    </row>
    <row r="24" spans="3:20" ht="14.25" customHeight="1">
      <c r="C24" s="961" t="s">
        <v>58</v>
      </c>
      <c r="D24" s="1003"/>
      <c r="E24" s="1264">
        <f t="shared" si="1"/>
        <v>3295.0058296915831</v>
      </c>
      <c r="F24" s="1264">
        <f t="shared" si="2"/>
        <v>3295.0058296915831</v>
      </c>
      <c r="G24" s="1264">
        <f t="shared" si="3"/>
        <v>3859.9355286350565</v>
      </c>
      <c r="H24" s="1256">
        <f t="shared" si="4"/>
        <v>564.92969894347334</v>
      </c>
    </row>
    <row r="25" spans="3:20" ht="14.25" customHeight="1">
      <c r="C25" s="961" t="s">
        <v>57</v>
      </c>
      <c r="D25" s="1003"/>
      <c r="E25" s="1264">
        <f t="shared" si="1"/>
        <v>2183.6841526574208</v>
      </c>
      <c r="F25" s="1264">
        <f t="shared" si="2"/>
        <v>2183.6841526574208</v>
      </c>
      <c r="G25" s="1264">
        <f t="shared" si="3"/>
        <v>2283.263925423521</v>
      </c>
      <c r="H25" s="1256">
        <f t="shared" si="4"/>
        <v>99.579772766100177</v>
      </c>
    </row>
    <row r="26" spans="3:20" ht="14.25" customHeight="1">
      <c r="C26" s="961" t="s">
        <v>56</v>
      </c>
      <c r="D26" s="1003"/>
      <c r="E26" s="1264">
        <f t="shared" si="1"/>
        <v>1080.5905015859571</v>
      </c>
      <c r="F26" s="1264">
        <f t="shared" si="2"/>
        <v>1080.5905015859571</v>
      </c>
      <c r="G26" s="1264">
        <f t="shared" si="3"/>
        <v>1223.0923356296585</v>
      </c>
      <c r="H26" s="1256">
        <f t="shared" si="4"/>
        <v>142.50183404370136</v>
      </c>
    </row>
    <row r="27" spans="3:20" ht="14.25" customHeight="1">
      <c r="C27" s="960" t="s">
        <v>55</v>
      </c>
      <c r="D27" s="855"/>
      <c r="E27" s="1265">
        <f t="shared" si="1"/>
        <v>2008.7076230599766</v>
      </c>
      <c r="F27" s="1265">
        <f t="shared" si="2"/>
        <v>2008.7076230599766</v>
      </c>
      <c r="G27" s="1265">
        <f t="shared" si="3"/>
        <v>1851.8852475150509</v>
      </c>
      <c r="H27" s="1257">
        <f t="shared" si="4"/>
        <v>-156.82237554492576</v>
      </c>
    </row>
    <row r="28" spans="3:20" ht="14.4">
      <c r="C28" s="959"/>
      <c r="D28" s="816"/>
      <c r="E28" s="994">
        <f>SUM(E20:E27)</f>
        <v>78527.426999999981</v>
      </c>
      <c r="F28" s="1266">
        <f>SUM(F20:F27)</f>
        <v>78527.426999999981</v>
      </c>
      <c r="G28" s="1266">
        <f>SUM(G20:G27)</f>
        <v>76555.48</v>
      </c>
      <c r="H28" s="1266">
        <f>SUM(H20:H27)</f>
        <v>-1971.9469999999928</v>
      </c>
    </row>
    <row r="30" spans="3:20">
      <c r="C30" s="1267" t="s">
        <v>63</v>
      </c>
      <c r="E30" s="1268">
        <f>F30</f>
        <v>78527.426999999996</v>
      </c>
      <c r="F30" s="1268">
        <f>F32</f>
        <v>78527.426999999996</v>
      </c>
      <c r="G30" s="1268">
        <f>G32</f>
        <v>76555.48</v>
      </c>
    </row>
    <row r="32" spans="3:20">
      <c r="C32" t="s">
        <v>1071</v>
      </c>
      <c r="E32" s="1269">
        <f>Income!G22*-1</f>
        <v>470460.46199999994</v>
      </c>
      <c r="F32" s="1273">
        <f>Income!B22*-1</f>
        <v>78527.426999999996</v>
      </c>
      <c r="G32" s="1273">
        <f>Income!C22*-1</f>
        <v>76555.48</v>
      </c>
    </row>
    <row r="34" spans="3:6">
      <c r="F34" s="1273">
        <f>E28/12*7</f>
        <v>45807.665749999986</v>
      </c>
    </row>
    <row r="35" spans="3:6">
      <c r="C35" s="816"/>
    </row>
    <row r="36" spans="3:6">
      <c r="F36" s="1273"/>
    </row>
  </sheetData>
  <mergeCells count="4">
    <mergeCell ref="E3:H3"/>
    <mergeCell ref="E4:H4"/>
    <mergeCell ref="E17:H17"/>
    <mergeCell ref="E18:H18"/>
  </mergeCells>
  <phoneticPr fontId="12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A39"/>
  <sheetViews>
    <sheetView topLeftCell="A19" workbookViewId="0">
      <selection activeCell="E36" sqref="E36:G36"/>
    </sheetView>
  </sheetViews>
  <sheetFormatPr defaultRowHeight="13.2"/>
  <cols>
    <col min="1" max="1" width="28.88671875" customWidth="1"/>
    <col min="2" max="2" width="12.88671875" bestFit="1" customWidth="1"/>
    <col min="3" max="3" width="15" bestFit="1" customWidth="1"/>
    <col min="4" max="4" width="15.109375" bestFit="1" customWidth="1"/>
    <col min="5" max="5" width="14" bestFit="1" customWidth="1"/>
    <col min="6" max="6" width="14.109375" bestFit="1" customWidth="1"/>
    <col min="7" max="7" width="14" bestFit="1" customWidth="1"/>
    <col min="8" max="8" width="13" bestFit="1" customWidth="1"/>
    <col min="9" max="9" width="14.109375" bestFit="1" customWidth="1"/>
    <col min="10" max="10" width="10.44140625" bestFit="1" customWidth="1"/>
    <col min="11" max="11" width="13" bestFit="1" customWidth="1"/>
    <col min="12" max="12" width="15" bestFit="1" customWidth="1"/>
    <col min="13" max="13" width="13" bestFit="1" customWidth="1"/>
    <col min="14" max="14" width="15.109375" bestFit="1" customWidth="1"/>
    <col min="15" max="15" width="12.88671875" bestFit="1" customWidth="1"/>
    <col min="16" max="16" width="15" bestFit="1" customWidth="1"/>
    <col min="17" max="17" width="11.33203125" bestFit="1" customWidth="1"/>
    <col min="18" max="18" width="14" bestFit="1" customWidth="1"/>
    <col min="19" max="19" width="11.33203125" bestFit="1" customWidth="1"/>
    <col min="20" max="20" width="14" bestFit="1" customWidth="1"/>
    <col min="21" max="21" width="10.33203125" bestFit="1" customWidth="1"/>
    <col min="22" max="22" width="12.88671875" bestFit="1" customWidth="1"/>
    <col min="23" max="23" width="9.33203125" bestFit="1" customWidth="1"/>
    <col min="24" max="24" width="12.88671875" bestFit="1" customWidth="1"/>
    <col min="25" max="25" width="15" bestFit="1" customWidth="1"/>
    <col min="26" max="26" width="11.33203125" bestFit="1" customWidth="1"/>
    <col min="27" max="27" width="14" bestFit="1" customWidth="1"/>
  </cols>
  <sheetData>
    <row r="1" spans="1:16">
      <c r="C1" t="s">
        <v>1037</v>
      </c>
      <c r="D1" t="s">
        <v>1038</v>
      </c>
    </row>
    <row r="2" spans="1:16">
      <c r="C2" t="s">
        <v>1039</v>
      </c>
    </row>
    <row r="3" spans="1:16" ht="36.75" customHeight="1">
      <c r="B3" t="s">
        <v>1040</v>
      </c>
      <c r="C3" s="1270" t="s">
        <v>159</v>
      </c>
      <c r="D3" s="1271" t="s">
        <v>1041</v>
      </c>
      <c r="E3" s="1272" t="s">
        <v>520</v>
      </c>
      <c r="F3" s="1271" t="s">
        <v>1042</v>
      </c>
      <c r="G3" s="1271" t="s">
        <v>1043</v>
      </c>
      <c r="H3" s="1271" t="s">
        <v>521</v>
      </c>
      <c r="I3" s="1271" t="s">
        <v>1044</v>
      </c>
      <c r="J3" s="1271" t="s">
        <v>522</v>
      </c>
      <c r="K3" s="1271" t="s">
        <v>1045</v>
      </c>
      <c r="L3" s="1271" t="s">
        <v>1046</v>
      </c>
      <c r="M3" s="1271" t="s">
        <v>1047</v>
      </c>
      <c r="N3" s="1271" t="s">
        <v>1048</v>
      </c>
      <c r="O3" s="1271" t="s">
        <v>1049</v>
      </c>
      <c r="P3" s="1271" t="s">
        <v>1050</v>
      </c>
    </row>
    <row r="4" spans="1:16">
      <c r="A4" t="s">
        <v>523</v>
      </c>
      <c r="B4" t="s">
        <v>523</v>
      </c>
      <c r="C4" s="1273">
        <v>43857.894348770053</v>
      </c>
      <c r="D4" s="1273">
        <v>33287606.332737386</v>
      </c>
      <c r="E4" s="1273">
        <v>10705.470274109213</v>
      </c>
      <c r="F4" s="1273">
        <v>8125321.2308256533</v>
      </c>
      <c r="G4" s="1273">
        <v>9415</v>
      </c>
      <c r="H4" s="1273">
        <v>9504</v>
      </c>
      <c r="I4" s="1273">
        <v>8240652.2558018817</v>
      </c>
      <c r="J4" s="1273">
        <v>-1201.4702741092137</v>
      </c>
      <c r="K4" s="1273">
        <v>115331.0249762227</v>
      </c>
      <c r="L4" s="1273">
        <v>-0.11222956519854391</v>
      </c>
      <c r="M4" s="1273">
        <v>38801.516129032287</v>
      </c>
      <c r="N4" s="1273">
        <v>33618795.433395043</v>
      </c>
      <c r="O4" s="1273">
        <v>-5056.3782197377368</v>
      </c>
      <c r="P4" s="1273">
        <v>331189.10065766709</v>
      </c>
    </row>
    <row r="5" spans="1:16">
      <c r="A5" t="s">
        <v>524</v>
      </c>
      <c r="B5" t="s">
        <v>524</v>
      </c>
      <c r="C5" s="1273">
        <v>9637.4876252529939</v>
      </c>
      <c r="D5" s="1273">
        <v>26534426.017131247</v>
      </c>
      <c r="E5" s="1273">
        <v>2352.4576093137262</v>
      </c>
      <c r="F5" s="1273">
        <v>6476907.1380399186</v>
      </c>
      <c r="G5" s="1273">
        <v>3189</v>
      </c>
      <c r="H5" s="1273">
        <v>3270</v>
      </c>
      <c r="I5" s="1273">
        <v>8350085.8339345241</v>
      </c>
      <c r="J5" s="1273">
        <v>917.54239068627692</v>
      </c>
      <c r="K5" s="1273">
        <v>1873178.6958946141</v>
      </c>
      <c r="L5" s="1273">
        <v>0.39003567462962624</v>
      </c>
      <c r="M5" s="1273">
        <v>13281.677419354859</v>
      </c>
      <c r="N5" s="1273">
        <v>33902035.448242895</v>
      </c>
      <c r="O5" s="1273">
        <v>3644.1897941018347</v>
      </c>
      <c r="P5" s="1273">
        <v>7367609.4311116179</v>
      </c>
    </row>
    <row r="6" spans="1:16">
      <c r="A6" t="s">
        <v>525</v>
      </c>
      <c r="B6" t="s">
        <v>525</v>
      </c>
      <c r="C6" s="1273">
        <v>3063.0800281940014</v>
      </c>
      <c r="D6" s="1273">
        <v>754645.21553186618</v>
      </c>
      <c r="E6" s="1273">
        <v>747.68095176388954</v>
      </c>
      <c r="F6" s="1273">
        <v>184204.73764951056</v>
      </c>
      <c r="G6" s="1273">
        <v>976</v>
      </c>
      <c r="H6" s="1273">
        <v>699</v>
      </c>
      <c r="I6" s="1273">
        <v>174363.17324383999</v>
      </c>
      <c r="J6" s="1273">
        <v>-48.680951763889752</v>
      </c>
      <c r="K6" s="1273">
        <v>-9841.5644056705951</v>
      </c>
      <c r="L6" s="1273">
        <v>-6.5109257697476733E-2</v>
      </c>
      <c r="M6" s="1273">
        <v>2804.8064516129029</v>
      </c>
      <c r="N6" s="1273">
        <v>699653.91218771471</v>
      </c>
      <c r="O6" s="1273">
        <v>-258.27357658109668</v>
      </c>
      <c r="P6" s="1273">
        <v>-54991.3033441511</v>
      </c>
    </row>
    <row r="7" spans="1:16">
      <c r="A7" t="s">
        <v>526</v>
      </c>
      <c r="B7" t="s">
        <v>526</v>
      </c>
      <c r="C7" s="1273">
        <v>6925.1014362759915</v>
      </c>
      <c r="D7" s="1273">
        <v>5342244.5240211338</v>
      </c>
      <c r="E7" s="1273">
        <v>1726.532138907168</v>
      </c>
      <c r="F7" s="1273">
        <v>1331902.0594134883</v>
      </c>
      <c r="G7" s="1273">
        <v>1579</v>
      </c>
      <c r="H7" s="1273">
        <v>1922</v>
      </c>
      <c r="I7" s="1273">
        <v>1486963.5903460011</v>
      </c>
      <c r="J7" s="1273">
        <v>195.46786109283298</v>
      </c>
      <c r="K7" s="1273">
        <v>155061.53093251199</v>
      </c>
      <c r="L7" s="1273">
        <v>0.11321414567849111</v>
      </c>
      <c r="M7" s="1273">
        <v>7698.3296703296692</v>
      </c>
      <c r="N7" s="1273">
        <v>5955390.8954736544</v>
      </c>
      <c r="O7" s="1273">
        <v>773.22823405367001</v>
      </c>
      <c r="P7" s="1273">
        <v>613146.37145251455</v>
      </c>
    </row>
    <row r="8" spans="1:16">
      <c r="A8" t="s">
        <v>527</v>
      </c>
      <c r="B8" t="s">
        <v>527</v>
      </c>
      <c r="C8" s="1273">
        <v>36608.090171827949</v>
      </c>
      <c r="D8" s="1273">
        <v>80493111.635774434</v>
      </c>
      <c r="E8" s="1273">
        <v>9126.9485085927336</v>
      </c>
      <c r="F8" s="1273">
        <v>20068145.640699938</v>
      </c>
      <c r="G8" s="1273">
        <v>10535</v>
      </c>
      <c r="H8" s="1273">
        <v>9698</v>
      </c>
      <c r="I8" s="1273">
        <v>22820648.756822847</v>
      </c>
      <c r="J8" s="1273">
        <v>571.05149140726553</v>
      </c>
      <c r="K8" s="1273">
        <v>2752503.1161229135</v>
      </c>
      <c r="L8" s="1273">
        <v>6.2567624970124303E-2</v>
      </c>
      <c r="M8" s="1273">
        <v>38841.153846153793</v>
      </c>
      <c r="N8" s="1273">
        <v>91420362.956189543</v>
      </c>
      <c r="O8" s="1273">
        <v>2233.0636743258447</v>
      </c>
      <c r="P8" s="1273">
        <v>10927251.320415078</v>
      </c>
    </row>
    <row r="9" spans="1:16">
      <c r="A9" t="s">
        <v>528</v>
      </c>
      <c r="B9" t="s">
        <v>528</v>
      </c>
      <c r="C9" s="1273">
        <v>3453.0450470369979</v>
      </c>
      <c r="D9" s="1273">
        <v>2163307.8597551221</v>
      </c>
      <c r="E9" s="1273">
        <v>860.89616241196518</v>
      </c>
      <c r="F9" s="1273">
        <v>539345.24722661893</v>
      </c>
      <c r="G9" s="1273">
        <v>1424</v>
      </c>
      <c r="H9" s="1273">
        <v>1245</v>
      </c>
      <c r="I9" s="1273">
        <v>797723.49919899984</v>
      </c>
      <c r="J9" s="1273">
        <v>384.10383758803556</v>
      </c>
      <c r="K9" s="1273">
        <v>258378.25197238126</v>
      </c>
      <c r="L9" s="1273">
        <v>0.44616744081178761</v>
      </c>
      <c r="M9" s="1273">
        <v>4987.3296703296664</v>
      </c>
      <c r="N9" s="1273">
        <v>3195299.9089960754</v>
      </c>
      <c r="O9" s="1273">
        <v>1534.2846232926677</v>
      </c>
      <c r="P9" s="1273">
        <v>1031992.049240957</v>
      </c>
    </row>
    <row r="10" spans="1:16">
      <c r="A10" t="s">
        <v>529</v>
      </c>
      <c r="B10" t="s">
        <v>529</v>
      </c>
      <c r="C10" s="1273">
        <v>28755.538533214003</v>
      </c>
      <c r="D10" s="1273">
        <v>7047711.7592768921</v>
      </c>
      <c r="E10" s="1273">
        <v>7169.1890589656841</v>
      </c>
      <c r="F10" s="1273">
        <v>1757100.7399841005</v>
      </c>
      <c r="G10" s="1273">
        <v>5991</v>
      </c>
      <c r="H10" s="1273">
        <v>7793</v>
      </c>
      <c r="I10" s="1273">
        <v>1895151.7199479192</v>
      </c>
      <c r="J10" s="1273">
        <v>623.81094103431803</v>
      </c>
      <c r="K10" s="1273">
        <v>138050.97996381883</v>
      </c>
      <c r="L10" s="1273">
        <v>8.7012761960041929E-2</v>
      </c>
      <c r="M10" s="1273">
        <v>31203.02197802197</v>
      </c>
      <c r="N10" s="1273">
        <v>7587773.9768617535</v>
      </c>
      <c r="O10" s="1273">
        <v>2447.483444807975</v>
      </c>
      <c r="P10" s="1273">
        <v>540062.21758486831</v>
      </c>
    </row>
    <row r="11" spans="1:16">
      <c r="A11" t="s">
        <v>530</v>
      </c>
      <c r="B11" t="s">
        <v>530</v>
      </c>
      <c r="C11" s="1273">
        <v>160972.43747835324</v>
      </c>
      <c r="D11" s="1273">
        <v>21277329.342240132</v>
      </c>
      <c r="E11" s="1273">
        <v>39292.484738767984</v>
      </c>
      <c r="F11" s="1273">
        <v>5195329.7244045492</v>
      </c>
      <c r="G11" s="1273">
        <v>38254</v>
      </c>
      <c r="H11" s="1273">
        <v>39374</v>
      </c>
      <c r="I11" s="1273">
        <v>5739886.4889239976</v>
      </c>
      <c r="J11" s="1273">
        <v>81.515261231999432</v>
      </c>
      <c r="K11" s="1273">
        <v>544556.76451945235</v>
      </c>
      <c r="L11" s="1273">
        <v>2.0745763922527475E-3</v>
      </c>
      <c r="M11" s="1273">
        <v>160420.8064513779</v>
      </c>
      <c r="N11" s="1273">
        <v>23365647.624713652</v>
      </c>
      <c r="O11" s="1273">
        <v>-551.63102697484578</v>
      </c>
      <c r="P11" s="1273">
        <v>2088318.2824734952</v>
      </c>
    </row>
    <row r="12" spans="1:16">
      <c r="A12" t="s">
        <v>531</v>
      </c>
      <c r="B12" t="s">
        <v>531</v>
      </c>
      <c r="C12" s="1273">
        <v>328385.17422043619</v>
      </c>
      <c r="D12" s="1273">
        <v>27550082.436925452</v>
      </c>
      <c r="E12" s="1273">
        <v>80157.011030326816</v>
      </c>
      <c r="F12" s="1273">
        <v>6725841.3138890434</v>
      </c>
      <c r="G12" s="1273">
        <v>73918</v>
      </c>
      <c r="H12" s="1273">
        <v>82775</v>
      </c>
      <c r="I12" s="1273">
        <v>7858855.4631230058</v>
      </c>
      <c r="J12" s="1273">
        <v>2617.9889696729906</v>
      </c>
      <c r="K12" s="1273">
        <v>1133014.1492339591</v>
      </c>
      <c r="L12" s="1273">
        <v>3.2660760874460425E-2</v>
      </c>
      <c r="M12" s="1273">
        <v>337536.06451315846</v>
      </c>
      <c r="N12" s="1273">
        <v>31997816.498547751</v>
      </c>
      <c r="O12" s="1273">
        <v>9150.8902927226118</v>
      </c>
      <c r="P12" s="1273">
        <v>4447734.0616222704</v>
      </c>
    </row>
    <row r="13" spans="1:16">
      <c r="A13" t="s">
        <v>532</v>
      </c>
      <c r="B13" t="s">
        <v>532</v>
      </c>
      <c r="C13" s="1273">
        <v>48747.012691072996</v>
      </c>
      <c r="D13" s="1273">
        <v>8385068.2524012979</v>
      </c>
      <c r="E13" s="1273">
        <v>11898.877113533001</v>
      </c>
      <c r="F13" s="1273">
        <v>2046748.9435109231</v>
      </c>
      <c r="G13" s="1273">
        <v>13620</v>
      </c>
      <c r="H13" s="1273">
        <v>15017</v>
      </c>
      <c r="I13" s="1273">
        <v>2226064.0190210002</v>
      </c>
      <c r="J13" s="1273">
        <v>3118.1228864669988</v>
      </c>
      <c r="K13" s="1273">
        <v>179315.07551007622</v>
      </c>
      <c r="L13" s="1273">
        <v>0.26205186058444546</v>
      </c>
      <c r="M13" s="1273">
        <v>60068</v>
      </c>
      <c r="N13" s="1273">
        <v>8904256.076084001</v>
      </c>
      <c r="O13" s="1273">
        <v>11320.987308926997</v>
      </c>
      <c r="P13" s="1273">
        <v>519187.82368270541</v>
      </c>
    </row>
    <row r="14" spans="1:16">
      <c r="B14" t="s">
        <v>1051</v>
      </c>
      <c r="C14" s="1273">
        <v>2108.5176116859998</v>
      </c>
      <c r="D14" s="1273">
        <v>2711579.0298725404</v>
      </c>
      <c r="E14" s="1273">
        <v>527.12940292149995</v>
      </c>
      <c r="F14" s="1273">
        <v>677894.7574681351</v>
      </c>
      <c r="G14" s="1273">
        <v>0</v>
      </c>
      <c r="H14" s="1273">
        <v>14619</v>
      </c>
      <c r="I14" s="1273">
        <v>1709601.0421479999</v>
      </c>
      <c r="J14" s="1273">
        <v>14091.870597078499</v>
      </c>
      <c r="K14" s="1273">
        <v>1031706.2846798656</v>
      </c>
      <c r="L14" s="1273">
        <v>26.733228157976722</v>
      </c>
      <c r="M14" s="1273">
        <v>58476</v>
      </c>
      <c r="N14" s="1273">
        <v>6838404.1685919994</v>
      </c>
      <c r="O14" s="1273">
        <v>56367.482388313998</v>
      </c>
      <c r="P14" s="1273">
        <v>4126825.1387194623</v>
      </c>
    </row>
    <row r="15" spans="1:16">
      <c r="A15" t="s">
        <v>872</v>
      </c>
      <c r="B15" t="s">
        <v>872</v>
      </c>
      <c r="C15" s="1273">
        <v>304362.33037819434</v>
      </c>
      <c r="D15" s="1273">
        <v>84881592.321592763</v>
      </c>
      <c r="E15" s="1273">
        <v>75236.993447515284</v>
      </c>
      <c r="F15" s="1273">
        <v>21098084.599803984</v>
      </c>
      <c r="G15" s="1273">
        <v>70860.412419642991</v>
      </c>
      <c r="H15" s="1273">
        <v>72220.889756216799</v>
      </c>
      <c r="I15" s="1273">
        <v>20717185.169016335</v>
      </c>
      <c r="J15" s="1273">
        <v>-3016.1036912984878</v>
      </c>
      <c r="K15" s="1273">
        <v>-380899.43078765151</v>
      </c>
      <c r="L15" s="1273">
        <v>-4.0088041176213361E-2</v>
      </c>
      <c r="M15" s="1273">
        <v>291920.5592312736</v>
      </c>
      <c r="N15" s="1273">
        <v>83316938.586327851</v>
      </c>
      <c r="O15" s="1273">
        <v>-12441.771146920721</v>
      </c>
      <c r="P15" s="1273">
        <v>-1564653.7352649637</v>
      </c>
    </row>
    <row r="16" spans="1:16">
      <c r="A16" t="s">
        <v>533</v>
      </c>
      <c r="B16" t="s">
        <v>533</v>
      </c>
      <c r="C16" s="1273">
        <v>2986454.9698524242</v>
      </c>
      <c r="D16" s="1273">
        <v>10789219.246074203</v>
      </c>
      <c r="E16" s="1273">
        <v>744568.2098531808</v>
      </c>
      <c r="F16" s="1273">
        <v>2689910.8242482375</v>
      </c>
      <c r="G16" s="1273">
        <v>719204.25506101886</v>
      </c>
      <c r="H16" s="1273">
        <v>791743.2575094162</v>
      </c>
      <c r="I16" s="1273">
        <v>3013553.0999028753</v>
      </c>
      <c r="J16" s="1273">
        <v>47175.047656235125</v>
      </c>
      <c r="K16" s="1273">
        <v>323642.27565463813</v>
      </c>
      <c r="L16" s="1273">
        <v>6.3358933448874263E-2</v>
      </c>
      <c r="M16" s="1273">
        <v>3175596.1757245823</v>
      </c>
      <c r="N16" s="1273">
        <v>12086507.227940949</v>
      </c>
      <c r="O16" s="1273">
        <v>189141.20587215666</v>
      </c>
      <c r="P16" s="1273">
        <v>1297287.9818667499</v>
      </c>
    </row>
    <row r="17" spans="1:27">
      <c r="A17" t="s">
        <v>358</v>
      </c>
      <c r="B17" t="s">
        <v>358</v>
      </c>
      <c r="C17" s="1273">
        <v>142591.91474491303</v>
      </c>
      <c r="D17" s="1273">
        <v>14855976.502714235</v>
      </c>
      <c r="E17" s="1273">
        <v>35550.312990916995</v>
      </c>
      <c r="F17" s="1273">
        <v>3703818.7992929877</v>
      </c>
      <c r="G17" s="1273">
        <v>40120</v>
      </c>
      <c r="H17" s="1273">
        <v>38124</v>
      </c>
      <c r="I17" s="1273">
        <v>4042088.8616740005</v>
      </c>
      <c r="J17" s="1273">
        <v>2573.6870090830002</v>
      </c>
      <c r="K17" s="1273">
        <v>338270.06238101242</v>
      </c>
      <c r="L17" s="1273">
        <v>7.2395621657130566E-2</v>
      </c>
      <c r="M17" s="1273">
        <v>152896.15384818637</v>
      </c>
      <c r="N17" s="1273">
        <v>16210835.414615957</v>
      </c>
      <c r="O17" s="1273">
        <v>10304.239103273394</v>
      </c>
      <c r="P17" s="1273">
        <v>1354858.9119017203</v>
      </c>
    </row>
    <row r="18" spans="1:27">
      <c r="A18" t="s">
        <v>534</v>
      </c>
      <c r="B18" t="s">
        <v>534</v>
      </c>
      <c r="C18" s="1273">
        <v>75440.620965386945</v>
      </c>
      <c r="D18" s="1273">
        <v>36261896.194662459</v>
      </c>
      <c r="E18" s="1273">
        <v>18808.483583151286</v>
      </c>
      <c r="F18" s="1273">
        <v>9040637.1334638</v>
      </c>
      <c r="G18" s="1273">
        <v>18731</v>
      </c>
      <c r="H18" s="1273">
        <v>21069</v>
      </c>
      <c r="I18" s="1273">
        <v>10249481.410000017</v>
      </c>
      <c r="J18" s="1273">
        <v>2260.5164168487217</v>
      </c>
      <c r="K18" s="1273">
        <v>1208844.2765362174</v>
      </c>
      <c r="L18" s="1273">
        <v>0.12018600047447213</v>
      </c>
      <c r="M18" s="1273">
        <v>84395.285714285652</v>
      </c>
      <c r="N18" s="1273">
        <v>41069355.998131931</v>
      </c>
      <c r="O18" s="1273">
        <v>8954.6647488987182</v>
      </c>
      <c r="P18" s="1273">
        <v>4807459.8034694437</v>
      </c>
    </row>
    <row r="19" spans="1:27">
      <c r="B19" t="s">
        <v>1031</v>
      </c>
      <c r="C19" s="1273">
        <v>4181363.2151330388</v>
      </c>
      <c r="D19" s="1273">
        <v>362335796.6707111</v>
      </c>
      <c r="E19" s="1273">
        <v>1038728.676864378</v>
      </c>
      <c r="F19" s="1273">
        <v>89661192.889920875</v>
      </c>
      <c r="G19" s="1273">
        <v>1007816.6674806619</v>
      </c>
      <c r="H19" s="1273">
        <v>1109073.1472656331</v>
      </c>
      <c r="I19" s="1273">
        <v>99322304.383105233</v>
      </c>
      <c r="J19" s="1273">
        <v>70344.470401254483</v>
      </c>
      <c r="K19" s="1273">
        <v>9661111.4931843597</v>
      </c>
      <c r="L19" s="1273">
        <v>6.7721698618742471E-2</v>
      </c>
      <c r="M19" s="1273">
        <v>4458926.8806476984</v>
      </c>
      <c r="N19" s="1273">
        <v>400169074.12630075</v>
      </c>
      <c r="O19" s="1273">
        <v>277563.66551465995</v>
      </c>
      <c r="P19" s="1273">
        <v>37833277.455589436</v>
      </c>
    </row>
    <row r="23" spans="1:27">
      <c r="B23" t="s">
        <v>1039</v>
      </c>
      <c r="O23" t="s">
        <v>1052</v>
      </c>
    </row>
    <row r="24" spans="1:27">
      <c r="A24" t="s">
        <v>1053</v>
      </c>
      <c r="B24" t="s">
        <v>159</v>
      </c>
      <c r="C24" t="s">
        <v>1041</v>
      </c>
      <c r="D24" t="s">
        <v>520</v>
      </c>
      <c r="E24" t="s">
        <v>1042</v>
      </c>
      <c r="F24" t="s">
        <v>521</v>
      </c>
      <c r="G24" t="s">
        <v>1044</v>
      </c>
      <c r="H24" t="s">
        <v>522</v>
      </c>
      <c r="I24" t="s">
        <v>1045</v>
      </c>
      <c r="J24" t="s">
        <v>1046</v>
      </c>
      <c r="K24" t="s">
        <v>1047</v>
      </c>
      <c r="L24" t="s">
        <v>1048</v>
      </c>
      <c r="M24" t="s">
        <v>1049</v>
      </c>
      <c r="N24" t="s">
        <v>1050</v>
      </c>
      <c r="O24" t="s">
        <v>159</v>
      </c>
      <c r="P24" t="s">
        <v>1041</v>
      </c>
      <c r="Q24" t="s">
        <v>520</v>
      </c>
      <c r="R24" t="s">
        <v>1042</v>
      </c>
      <c r="S24" t="s">
        <v>521</v>
      </c>
      <c r="T24" t="s">
        <v>1044</v>
      </c>
      <c r="U24" t="s">
        <v>522</v>
      </c>
      <c r="V24" t="s">
        <v>1045</v>
      </c>
      <c r="W24" t="s">
        <v>1046</v>
      </c>
      <c r="X24" t="s">
        <v>1047</v>
      </c>
      <c r="Y24" t="s">
        <v>1048</v>
      </c>
      <c r="Z24" t="s">
        <v>1049</v>
      </c>
      <c r="AA24" t="s">
        <v>1050</v>
      </c>
    </row>
    <row r="25" spans="1:27">
      <c r="A25" t="s">
        <v>158</v>
      </c>
      <c r="B25" s="1273">
        <v>2211301.9012794271</v>
      </c>
      <c r="C25" s="1273">
        <v>172956333.86819875</v>
      </c>
      <c r="D25" s="1273">
        <v>549377.73684977624</v>
      </c>
      <c r="E25" s="1273">
        <v>42803245.335249677</v>
      </c>
      <c r="F25" s="1273">
        <v>575319.23802520812</v>
      </c>
      <c r="G25" s="1273">
        <v>45698967.497115411</v>
      </c>
      <c r="H25" s="1273">
        <v>25941.501175430752</v>
      </c>
      <c r="I25" s="1273">
        <v>2895722.1618657648</v>
      </c>
      <c r="J25" s="1273">
        <v>4.7219789655444822E-2</v>
      </c>
      <c r="K25" s="1273">
        <v>2312572.604129768</v>
      </c>
      <c r="L25" s="1273">
        <v>184127245.631412</v>
      </c>
      <c r="M25" s="1273">
        <v>101270.70285034704</v>
      </c>
      <c r="N25" s="1273">
        <v>11170911.763212752</v>
      </c>
      <c r="O25" s="1273">
        <v>2211301.9012794234</v>
      </c>
      <c r="P25" s="1273">
        <v>172645401.63179892</v>
      </c>
      <c r="Q25" s="1273">
        <v>368900.26025006769</v>
      </c>
      <c r="R25" s="1273">
        <v>28740976.829697706</v>
      </c>
      <c r="S25" s="1273">
        <v>383192.82988502953</v>
      </c>
      <c r="T25" s="1273">
        <v>30346688.597429935</v>
      </c>
      <c r="U25" s="1273">
        <v>14292.569634962056</v>
      </c>
      <c r="V25" s="1273">
        <v>1605711.7677322594</v>
      </c>
      <c r="W25" s="1273">
        <v>3.8743723371931216E-2</v>
      </c>
      <c r="X25" s="1273">
        <v>2296178.4951404943</v>
      </c>
      <c r="Y25" s="1273">
        <v>182249584.55546227</v>
      </c>
      <c r="Z25" s="1273">
        <v>84876.59386107263</v>
      </c>
      <c r="AA25" s="1273">
        <v>9604182.9236634057</v>
      </c>
    </row>
    <row r="26" spans="1:27">
      <c r="A26" t="s">
        <v>59</v>
      </c>
      <c r="B26" s="1273">
        <v>281739.62254293862</v>
      </c>
      <c r="C26" s="1273">
        <v>27204624.040810782</v>
      </c>
      <c r="D26" s="1273">
        <v>70044.94997160502</v>
      </c>
      <c r="E26" s="1273">
        <v>6726546.9960788907</v>
      </c>
      <c r="F26" s="1273">
        <v>28033.311419962152</v>
      </c>
      <c r="G26" s="1273">
        <v>8228552.2250975696</v>
      </c>
      <c r="H26" s="1273">
        <v>-42011.638551642813</v>
      </c>
      <c r="I26" s="1273">
        <v>1502005.2290186791</v>
      </c>
      <c r="J26" s="1273">
        <v>-0.59978112010464113</v>
      </c>
      <c r="K26" s="1273">
        <v>113068.01443373504</v>
      </c>
      <c r="L26" s="1273">
        <v>33154423.426118497</v>
      </c>
      <c r="M26" s="1273">
        <v>-168671.60810920325</v>
      </c>
      <c r="N26" s="1273">
        <v>5949799.3853077115</v>
      </c>
      <c r="O26" s="1273">
        <v>281739.62254293857</v>
      </c>
      <c r="P26" s="1273">
        <v>27166025.056210756</v>
      </c>
      <c r="Q26" s="1273">
        <v>47018.278991010615</v>
      </c>
      <c r="R26" s="1273">
        <v>4520878.5685881898</v>
      </c>
      <c r="S26" s="1273">
        <v>19203.208754040566</v>
      </c>
      <c r="T26" s="1273">
        <v>5745467.33254648</v>
      </c>
      <c r="U26" s="1273">
        <v>-27815.070236970183</v>
      </c>
      <c r="V26" s="1273">
        <v>1224588.7639582888</v>
      </c>
      <c r="W26" s="1273">
        <v>-0.59157993090917094</v>
      </c>
      <c r="X26" s="1273">
        <v>115308.32560511713</v>
      </c>
      <c r="Y26" s="1273">
        <v>34504628.225585647</v>
      </c>
      <c r="Z26" s="1273">
        <v>-166431.296937821</v>
      </c>
      <c r="AA26" s="1273">
        <v>7338603.169374872</v>
      </c>
    </row>
    <row r="27" spans="1:27">
      <c r="A27" t="s">
        <v>56</v>
      </c>
      <c r="B27" s="1273">
        <v>59298.235142057914</v>
      </c>
      <c r="C27" s="1273">
        <v>5141939.8292726306</v>
      </c>
      <c r="D27" s="1273">
        <v>14737.822236437825</v>
      </c>
      <c r="E27" s="1273">
        <v>1273298.4224163457</v>
      </c>
      <c r="F27" s="1273">
        <v>7848.0639272055578</v>
      </c>
      <c r="G27" s="1273">
        <v>1575002.6494546589</v>
      </c>
      <c r="H27" s="1273">
        <v>-6889.7583092322539</v>
      </c>
      <c r="I27" s="1273">
        <v>301704.22703831171</v>
      </c>
      <c r="J27" s="1273">
        <v>-0.46748822171283894</v>
      </c>
      <c r="K27" s="1273">
        <v>31706.102565079156</v>
      </c>
      <c r="L27" s="1273">
        <v>6335354.9679635009</v>
      </c>
      <c r="M27" s="1273">
        <v>-27592.132576978747</v>
      </c>
      <c r="N27" s="1273">
        <v>1193415.1386908717</v>
      </c>
      <c r="O27" s="1273">
        <v>59298.235142057885</v>
      </c>
      <c r="P27" s="1273">
        <v>5134016.3495696224</v>
      </c>
      <c r="Q27" s="1273">
        <v>9894.1045051638048</v>
      </c>
      <c r="R27" s="1273">
        <v>854704.01554084802</v>
      </c>
      <c r="S27" s="1273">
        <v>5400.0428523026267</v>
      </c>
      <c r="T27" s="1273">
        <v>1086572.1260565347</v>
      </c>
      <c r="U27" s="1273">
        <v>-4494.0616528611718</v>
      </c>
      <c r="V27" s="1273">
        <v>231868.11051568502</v>
      </c>
      <c r="W27" s="1273">
        <v>-0.45421610925129086</v>
      </c>
      <c r="X27" s="1273">
        <v>32445.030025517637</v>
      </c>
      <c r="Y27" s="1273">
        <v>6521193.7930091331</v>
      </c>
      <c r="Z27" s="1273">
        <v>-26853.205116540244</v>
      </c>
      <c r="AA27" s="1273">
        <v>1387177.4434395027</v>
      </c>
    </row>
    <row r="28" spans="1:27">
      <c r="A28" t="s">
        <v>1054</v>
      </c>
      <c r="B28" s="1273">
        <v>0</v>
      </c>
      <c r="C28" s="1273">
        <v>0</v>
      </c>
      <c r="D28" s="1273">
        <v>0</v>
      </c>
      <c r="E28" s="1273">
        <v>0</v>
      </c>
      <c r="F28" s="1273">
        <v>3087</v>
      </c>
      <c r="G28" s="1273">
        <v>270515.8693569543</v>
      </c>
      <c r="H28" s="1273">
        <v>3087</v>
      </c>
      <c r="I28" s="1273">
        <v>270515.8693569543</v>
      </c>
      <c r="J28" s="1273" t="e">
        <v>#DIV/0!</v>
      </c>
      <c r="K28" s="1273">
        <v>12348</v>
      </c>
      <c r="L28" s="1273">
        <v>1082063.4774278172</v>
      </c>
      <c r="M28" s="1273">
        <v>12348</v>
      </c>
      <c r="N28" s="1273">
        <v>1082063.4774278172</v>
      </c>
      <c r="O28" s="1273">
        <v>0</v>
      </c>
      <c r="P28" s="1273">
        <v>0</v>
      </c>
      <c r="Q28" s="1273">
        <v>0</v>
      </c>
      <c r="R28" s="1273">
        <v>0</v>
      </c>
      <c r="S28" s="1273">
        <v>2069</v>
      </c>
      <c r="T28" s="1273">
        <v>160568.69730067992</v>
      </c>
      <c r="U28" s="1273">
        <v>2069</v>
      </c>
      <c r="V28" s="1273">
        <v>160568.69730067992</v>
      </c>
      <c r="W28" s="1273" t="e">
        <v>#DIV/0!</v>
      </c>
      <c r="X28" s="1273">
        <v>12414</v>
      </c>
      <c r="Y28" s="1273">
        <v>963412.18380407977</v>
      </c>
      <c r="Z28" s="1273">
        <v>12414</v>
      </c>
      <c r="AA28" s="1273">
        <v>963412.18380407977</v>
      </c>
    </row>
    <row r="29" spans="1:27">
      <c r="A29" t="s">
        <v>58</v>
      </c>
      <c r="B29" s="1273">
        <v>107496.90019675139</v>
      </c>
      <c r="C29" s="1273">
        <v>13858919.591951881</v>
      </c>
      <c r="D29" s="1273">
        <v>26690.242213266891</v>
      </c>
      <c r="E29" s="1273">
        <v>3425367.1438737083</v>
      </c>
      <c r="F29" s="1273">
        <v>14064.041742115858</v>
      </c>
      <c r="G29" s="1273">
        <v>4885581.1369555686</v>
      </c>
      <c r="H29" s="1273">
        <v>-12626.200471151067</v>
      </c>
      <c r="I29" s="1273">
        <v>1460213.99308186</v>
      </c>
      <c r="J29" s="1273">
        <v>-0.4730642895730251</v>
      </c>
      <c r="K29" s="1273">
        <v>56832.864697815086</v>
      </c>
      <c r="L29" s="1273">
        <v>19683312.370555218</v>
      </c>
      <c r="M29" s="1273">
        <v>-50664.035498936268</v>
      </c>
      <c r="N29" s="1273">
        <v>5824392.7786033414</v>
      </c>
      <c r="O29" s="1273">
        <v>107496.90019675152</v>
      </c>
      <c r="P29" s="1273">
        <v>13851833.853828901</v>
      </c>
      <c r="Q29" s="1273">
        <v>17927.723637207251</v>
      </c>
      <c r="R29" s="1273">
        <v>2304702.1621426656</v>
      </c>
      <c r="S29" s="1273">
        <v>9429.0279809787626</v>
      </c>
      <c r="T29" s="1273">
        <v>3322936.8830644479</v>
      </c>
      <c r="U29" s="1273">
        <v>-8498.6956562285177</v>
      </c>
      <c r="V29" s="1273">
        <v>1018234.7209217782</v>
      </c>
      <c r="W29" s="1273">
        <v>-0.47405325005068122</v>
      </c>
      <c r="X29" s="1273">
        <v>56673.918403104406</v>
      </c>
      <c r="Y29" s="1273">
        <v>19958253.792922713</v>
      </c>
      <c r="Z29" s="1273">
        <v>-50822.981793646883</v>
      </c>
      <c r="AA29" s="1273">
        <v>6106419.939093817</v>
      </c>
    </row>
    <row r="30" spans="1:27">
      <c r="A30" t="s">
        <v>1055</v>
      </c>
      <c r="B30" s="1273">
        <v>0</v>
      </c>
      <c r="C30" s="1273">
        <v>0</v>
      </c>
      <c r="D30" s="1273">
        <v>0</v>
      </c>
      <c r="E30" s="1273">
        <v>0</v>
      </c>
      <c r="F30" s="1273">
        <v>77</v>
      </c>
      <c r="G30" s="1273">
        <v>38809.207494999995</v>
      </c>
      <c r="H30" s="1273">
        <v>77</v>
      </c>
      <c r="I30" s="1273">
        <v>38809.207494999995</v>
      </c>
      <c r="J30" s="1273" t="e">
        <v>#DIV/0!</v>
      </c>
      <c r="K30" s="1273">
        <v>308</v>
      </c>
      <c r="L30" s="1273">
        <v>155236.82997999998</v>
      </c>
      <c r="M30" s="1273">
        <v>308</v>
      </c>
      <c r="N30" s="1273">
        <v>155236.82997999998</v>
      </c>
      <c r="O30" s="1273">
        <v>0</v>
      </c>
      <c r="P30" s="1273">
        <v>0</v>
      </c>
      <c r="Q30" s="1273">
        <v>0</v>
      </c>
      <c r="R30" s="1273">
        <v>0</v>
      </c>
      <c r="S30" s="1273">
        <v>59</v>
      </c>
      <c r="T30" s="1273">
        <v>34112.974307999983</v>
      </c>
      <c r="U30" s="1273">
        <v>59</v>
      </c>
      <c r="V30" s="1273">
        <v>34112.974307999983</v>
      </c>
      <c r="W30" s="1273" t="e">
        <v>#DIV/0!</v>
      </c>
      <c r="X30" s="1273">
        <v>354</v>
      </c>
      <c r="Y30" s="1273">
        <v>204677.84584799988</v>
      </c>
      <c r="Z30" s="1273">
        <v>354</v>
      </c>
      <c r="AA30" s="1273">
        <v>204677.84584799988</v>
      </c>
    </row>
    <row r="31" spans="1:27">
      <c r="A31" t="s">
        <v>57</v>
      </c>
      <c r="B31" s="1273">
        <v>29753.49797930097</v>
      </c>
      <c r="C31" s="1273">
        <v>10370166.158225771</v>
      </c>
      <c r="D31" s="1273">
        <v>7366.9477384183165</v>
      </c>
      <c r="E31" s="1273">
        <v>2567472.0529773678</v>
      </c>
      <c r="F31" s="1273">
        <v>7757.4361288311211</v>
      </c>
      <c r="G31" s="1273">
        <v>3101652.081230822</v>
      </c>
      <c r="H31" s="1273">
        <v>390.48839041280189</v>
      </c>
      <c r="I31" s="1273">
        <v>534180.02825345262</v>
      </c>
      <c r="J31" s="1273">
        <v>5.3005451413266E-2</v>
      </c>
      <c r="K31" s="1273">
        <v>31270.7220126828</v>
      </c>
      <c r="L31" s="1273">
        <v>12473513.270004049</v>
      </c>
      <c r="M31" s="1273">
        <v>1517.2240333818002</v>
      </c>
      <c r="N31" s="1273">
        <v>2103347.1117782611</v>
      </c>
      <c r="O31" s="1273">
        <v>29753.497979300944</v>
      </c>
      <c r="P31" s="1273">
        <v>10368565.477548787</v>
      </c>
      <c r="Q31" s="1273">
        <v>4955.1844574300776</v>
      </c>
      <c r="R31" s="1273">
        <v>1726614.9413822449</v>
      </c>
      <c r="S31" s="1273">
        <v>5335.2923500955867</v>
      </c>
      <c r="T31" s="1273">
        <v>2115050.6679584002</v>
      </c>
      <c r="U31" s="1273">
        <v>380.10789266551251</v>
      </c>
      <c r="V31" s="1273">
        <v>388435.72657615697</v>
      </c>
      <c r="W31" s="1273">
        <v>7.6709130796444466E-2</v>
      </c>
      <c r="X31" s="1273">
        <v>32026.161485995977</v>
      </c>
      <c r="Y31" s="1273">
        <v>12694524.77892844</v>
      </c>
      <c r="Z31" s="1273">
        <v>2272.663506694978</v>
      </c>
      <c r="AA31" s="1273">
        <v>2325959.3013796662</v>
      </c>
    </row>
    <row r="32" spans="1:27">
      <c r="A32" t="s">
        <v>60</v>
      </c>
      <c r="B32" s="1273">
        <v>598435.39100768743</v>
      </c>
      <c r="C32" s="1273">
        <v>56476526.247339755</v>
      </c>
      <c r="D32" s="1273">
        <v>148625.99557667889</v>
      </c>
      <c r="E32" s="1273">
        <v>13974533.54043469</v>
      </c>
      <c r="F32" s="1273">
        <v>171558.15107470585</v>
      </c>
      <c r="G32" s="1273">
        <v>14031678.749253526</v>
      </c>
      <c r="H32" s="1273">
        <v>22932.155498026801</v>
      </c>
      <c r="I32" s="1273">
        <v>57145.208818832136</v>
      </c>
      <c r="J32" s="1273">
        <v>0.15429437770323079</v>
      </c>
      <c r="K32" s="1273">
        <v>689828.25005615398</v>
      </c>
      <c r="L32" s="1273">
        <v>56581741.150128469</v>
      </c>
      <c r="M32" s="1273">
        <v>91392.859048464699</v>
      </c>
      <c r="N32" s="1273">
        <v>105214.90278878828</v>
      </c>
      <c r="O32" s="1273">
        <v>598435.39100768871</v>
      </c>
      <c r="P32" s="1273">
        <v>56443595.291749738</v>
      </c>
      <c r="Q32" s="1273">
        <v>99814.767358728306</v>
      </c>
      <c r="R32" s="1273">
        <v>9395324.0540450253</v>
      </c>
      <c r="S32" s="1273">
        <v>115868.10126985775</v>
      </c>
      <c r="T32" s="1273">
        <v>9689273.0186202805</v>
      </c>
      <c r="U32" s="1273">
        <v>16053.333911129263</v>
      </c>
      <c r="V32" s="1273">
        <v>293948.96457524248</v>
      </c>
      <c r="W32" s="1273">
        <v>0.16083125108566892</v>
      </c>
      <c r="X32" s="1273">
        <v>694398.99393818993</v>
      </c>
      <c r="Y32" s="1273">
        <v>58207979.462052628</v>
      </c>
      <c r="Z32" s="1273">
        <v>95963.602930502806</v>
      </c>
      <c r="AA32" s="1273">
        <v>1764384.1703028968</v>
      </c>
    </row>
    <row r="33" spans="1:27">
      <c r="A33" t="s">
        <v>157</v>
      </c>
      <c r="B33" s="1273">
        <v>893336.66698488069</v>
      </c>
      <c r="C33" s="1273">
        <v>76077286.934911445</v>
      </c>
      <c r="D33" s="1273">
        <v>221884.73227819492</v>
      </c>
      <c r="E33" s="1273">
        <v>18828229.398890235</v>
      </c>
      <c r="F33" s="1273">
        <v>294861.90494760417</v>
      </c>
      <c r="G33" s="1273">
        <v>19021409.688864872</v>
      </c>
      <c r="H33" s="1273">
        <v>72977.172669409396</v>
      </c>
      <c r="I33" s="1273">
        <v>193180.2899746669</v>
      </c>
      <c r="J33" s="1273">
        <v>0.32889677410481755</v>
      </c>
      <c r="K33" s="1273">
        <v>1185124.3227524632</v>
      </c>
      <c r="L33" s="1273">
        <v>76695641.889587939</v>
      </c>
      <c r="M33" s="1273">
        <v>291787.65576758049</v>
      </c>
      <c r="N33" s="1273">
        <v>618354.95467654639</v>
      </c>
      <c r="O33" s="1273">
        <v>893336.66698488116</v>
      </c>
      <c r="P33" s="1273">
        <v>75965122.654711381</v>
      </c>
      <c r="Q33" s="1273">
        <v>149011.00606675082</v>
      </c>
      <c r="R33" s="1273">
        <v>12645898.32327237</v>
      </c>
      <c r="S33" s="1273">
        <v>196175.60661322917</v>
      </c>
      <c r="T33" s="1273">
        <v>12650126.414405141</v>
      </c>
      <c r="U33" s="1273">
        <v>47164.600546478214</v>
      </c>
      <c r="V33" s="1273">
        <v>4228.0911328010952</v>
      </c>
      <c r="W33" s="1273">
        <v>0.31651756330905118</v>
      </c>
      <c r="X33" s="1273">
        <v>1175340.5547946095</v>
      </c>
      <c r="Y33" s="1273">
        <v>75985716.89107804</v>
      </c>
      <c r="Z33" s="1273">
        <v>282003.88780972717</v>
      </c>
      <c r="AA33" s="1273">
        <v>20594.23636663345</v>
      </c>
    </row>
    <row r="34" spans="1:27">
      <c r="A34" t="s">
        <v>1056</v>
      </c>
      <c r="B34" s="1273">
        <v>0</v>
      </c>
      <c r="C34" s="1273">
        <v>0</v>
      </c>
      <c r="D34" s="1273">
        <v>0</v>
      </c>
      <c r="E34" s="1273">
        <v>0</v>
      </c>
      <c r="F34" s="1273">
        <v>127</v>
      </c>
      <c r="G34" s="1273">
        <v>136199.04421191997</v>
      </c>
      <c r="H34" s="1273">
        <v>127</v>
      </c>
      <c r="I34" s="1273">
        <v>136199.04421191997</v>
      </c>
      <c r="J34" s="1273" t="e">
        <v>#DIV/0!</v>
      </c>
      <c r="K34" s="1273">
        <v>508</v>
      </c>
      <c r="L34" s="1273">
        <v>544796.17684767989</v>
      </c>
      <c r="M34" s="1273">
        <v>508</v>
      </c>
      <c r="N34" s="1273">
        <v>544796.17684767989</v>
      </c>
      <c r="O34" s="1273">
        <v>0</v>
      </c>
      <c r="P34" s="1273">
        <v>0</v>
      </c>
      <c r="Q34" s="1273">
        <v>0</v>
      </c>
      <c r="R34" s="1273">
        <v>0</v>
      </c>
      <c r="S34" s="1273">
        <v>100</v>
      </c>
      <c r="T34" s="1273">
        <v>101646.04927444001</v>
      </c>
      <c r="U34" s="1273">
        <v>100</v>
      </c>
      <c r="V34" s="1273">
        <v>101646.04927444001</v>
      </c>
      <c r="W34" s="1273" t="e">
        <v>#DIV/0!</v>
      </c>
      <c r="X34" s="1273">
        <v>600</v>
      </c>
      <c r="Y34" s="1273">
        <v>609876.29564664001</v>
      </c>
      <c r="Z34" s="1273">
        <v>600</v>
      </c>
      <c r="AA34" s="1273">
        <v>609876.29564664001</v>
      </c>
    </row>
    <row r="35" spans="1:27">
      <c r="A35" t="s">
        <v>1057</v>
      </c>
      <c r="B35" s="1273">
        <v>0</v>
      </c>
      <c r="C35" s="1273">
        <v>0</v>
      </c>
      <c r="D35" s="1273">
        <v>0</v>
      </c>
      <c r="E35" s="1273">
        <v>0</v>
      </c>
      <c r="F35" s="1273">
        <v>578</v>
      </c>
      <c r="G35" s="1273">
        <v>88386.952165320006</v>
      </c>
      <c r="H35" s="1273">
        <v>578</v>
      </c>
      <c r="I35" s="1273">
        <v>88386.952165320006</v>
      </c>
      <c r="J35" s="1273" t="e">
        <v>#DIV/0!</v>
      </c>
      <c r="K35" s="1273">
        <v>2312</v>
      </c>
      <c r="L35" s="1273">
        <v>353547.80866128003</v>
      </c>
      <c r="M35" s="1273">
        <v>2312</v>
      </c>
      <c r="N35" s="1273">
        <v>353547.80866128003</v>
      </c>
      <c r="O35" s="1273">
        <v>0</v>
      </c>
      <c r="P35" s="1273">
        <v>0</v>
      </c>
      <c r="Q35" s="1273">
        <v>0</v>
      </c>
      <c r="R35" s="1273">
        <v>0</v>
      </c>
      <c r="S35" s="1273">
        <v>396</v>
      </c>
      <c r="T35" s="1273">
        <v>58413.381799914227</v>
      </c>
      <c r="U35" s="1273">
        <v>396</v>
      </c>
      <c r="V35" s="1273">
        <v>58413.381799914227</v>
      </c>
      <c r="W35" s="1273" t="e">
        <v>#DIV/0!</v>
      </c>
      <c r="X35" s="1273">
        <v>2376</v>
      </c>
      <c r="Y35" s="1273">
        <v>350480.2907994854</v>
      </c>
      <c r="Z35" s="1273">
        <v>2376</v>
      </c>
      <c r="AA35" s="1273">
        <v>350480.2907994854</v>
      </c>
    </row>
    <row r="36" spans="1:27">
      <c r="A36" t="s">
        <v>1058</v>
      </c>
      <c r="B36" s="1273">
        <v>0</v>
      </c>
      <c r="C36" s="1273">
        <v>0</v>
      </c>
      <c r="D36" s="1273">
        <v>0</v>
      </c>
      <c r="E36" s="1273">
        <v>0</v>
      </c>
      <c r="F36" s="1273">
        <v>10</v>
      </c>
      <c r="G36" s="1273">
        <v>1113.5553290000003</v>
      </c>
      <c r="H36" s="1273">
        <v>10</v>
      </c>
      <c r="I36" s="1273">
        <v>1113.5553290000003</v>
      </c>
      <c r="J36" s="1273" t="e">
        <v>#DIV/0!</v>
      </c>
      <c r="K36" s="1273">
        <v>40</v>
      </c>
      <c r="L36" s="1273">
        <v>4454.2213160000001</v>
      </c>
      <c r="M36" s="1273">
        <v>40</v>
      </c>
      <c r="N36" s="1273">
        <v>4454.2213160000001</v>
      </c>
      <c r="O36" s="1273">
        <v>0</v>
      </c>
      <c r="P36" s="1273">
        <v>0</v>
      </c>
      <c r="Q36" s="1273">
        <v>0</v>
      </c>
      <c r="R36" s="1273">
        <v>0</v>
      </c>
      <c r="S36" s="1273">
        <v>9</v>
      </c>
      <c r="T36" s="1273">
        <v>1029.752831</v>
      </c>
      <c r="U36" s="1273">
        <v>9</v>
      </c>
      <c r="V36" s="1273">
        <v>1029.752831</v>
      </c>
      <c r="W36" s="1273" t="e">
        <v>#DIV/0!</v>
      </c>
      <c r="X36" s="1273">
        <v>54</v>
      </c>
      <c r="Y36" s="1273">
        <v>6178.5169860000005</v>
      </c>
      <c r="Z36" s="1273">
        <v>54</v>
      </c>
      <c r="AA36" s="1273">
        <v>6178.5169860000005</v>
      </c>
    </row>
    <row r="37" spans="1:27">
      <c r="A37" t="s">
        <v>1059</v>
      </c>
      <c r="B37" s="1273">
        <v>0</v>
      </c>
      <c r="C37" s="1273">
        <v>0</v>
      </c>
      <c r="D37" s="1273">
        <v>0</v>
      </c>
      <c r="E37" s="1273">
        <v>0</v>
      </c>
      <c r="F37" s="1273">
        <v>5748</v>
      </c>
      <c r="G37" s="1273">
        <v>2177765.0865746005</v>
      </c>
      <c r="H37" s="1273">
        <v>5748</v>
      </c>
      <c r="I37" s="1273">
        <v>2177765.0865746005</v>
      </c>
      <c r="J37" s="1273" t="e">
        <v>#DIV/0!</v>
      </c>
      <c r="K37" s="1273">
        <v>22992</v>
      </c>
      <c r="L37" s="1273">
        <v>8711060.3462984022</v>
      </c>
      <c r="M37" s="1273">
        <v>22992</v>
      </c>
      <c r="N37" s="1273">
        <v>8711060.3462984022</v>
      </c>
      <c r="O37" s="1273">
        <v>0</v>
      </c>
      <c r="P37" s="1273">
        <v>0</v>
      </c>
      <c r="Q37" s="1273">
        <v>0</v>
      </c>
      <c r="R37" s="1273">
        <v>0</v>
      </c>
      <c r="S37" s="1273">
        <v>2756</v>
      </c>
      <c r="T37" s="1273">
        <v>974742.39334515983</v>
      </c>
      <c r="U37" s="1273">
        <v>2756</v>
      </c>
      <c r="V37" s="1273">
        <v>974742.39334515983</v>
      </c>
      <c r="W37" s="1273" t="e">
        <v>#DIV/0!</v>
      </c>
      <c r="X37" s="1273">
        <v>16536</v>
      </c>
      <c r="Y37" s="1273">
        <v>5848454.3600709625</v>
      </c>
      <c r="Z37" s="1273">
        <v>16536</v>
      </c>
      <c r="AA37" s="1273">
        <v>5848454.3600709625</v>
      </c>
    </row>
    <row r="38" spans="1:27">
      <c r="B38" s="1273">
        <v>0.999999996</v>
      </c>
      <c r="C38" s="1273">
        <v>249999.99999999595</v>
      </c>
      <c r="D38" s="1273">
        <v>0.24999999899999997</v>
      </c>
      <c r="E38" s="1273">
        <v>62499.999999999003</v>
      </c>
      <c r="F38" s="1273">
        <v>4</v>
      </c>
      <c r="G38" s="1273">
        <v>66670.64</v>
      </c>
      <c r="H38" s="1273">
        <v>3.7500000010000001</v>
      </c>
      <c r="I38" s="1273">
        <v>4170.6400000009962</v>
      </c>
      <c r="J38" s="1273">
        <v>15.000000064000002</v>
      </c>
      <c r="K38" s="1273">
        <v>16</v>
      </c>
      <c r="L38" s="1273">
        <v>266682.56</v>
      </c>
      <c r="M38" s="1273">
        <v>15.000000004000004</v>
      </c>
      <c r="N38" s="1273">
        <v>16682.560000003985</v>
      </c>
      <c r="O38" s="1273">
        <v>0.999999996</v>
      </c>
      <c r="P38" s="1273">
        <v>249999.99999999595</v>
      </c>
      <c r="Q38" s="1273">
        <v>0.16666666599999999</v>
      </c>
      <c r="R38" s="1273">
        <v>41666.666666666002</v>
      </c>
      <c r="S38" s="1273">
        <v>3</v>
      </c>
      <c r="T38" s="1273">
        <v>0</v>
      </c>
      <c r="U38" s="1273">
        <v>2.8333333340000002</v>
      </c>
      <c r="V38" s="1273">
        <v>-41666.666666666002</v>
      </c>
      <c r="W38" s="1273">
        <v>17.000000072000002</v>
      </c>
      <c r="X38" s="1273">
        <v>18</v>
      </c>
      <c r="Y38" s="1273">
        <v>0</v>
      </c>
      <c r="Z38" s="1273">
        <v>17.000000004000004</v>
      </c>
      <c r="AA38" s="1273">
        <v>-249999.99999999595</v>
      </c>
    </row>
    <row r="39" spans="1:27">
      <c r="A39" t="s">
        <v>1031</v>
      </c>
      <c r="B39" s="1273">
        <v>4181363.2151330402</v>
      </c>
      <c r="C39" s="1273">
        <v>362335796.67071098</v>
      </c>
      <c r="D39" s="1273">
        <v>1038728.6768643771</v>
      </c>
      <c r="E39" s="1273">
        <v>89661192.88992092</v>
      </c>
      <c r="F39" s="1273">
        <v>1109073.1472656329</v>
      </c>
      <c r="G39" s="1273">
        <v>99322304.383105218</v>
      </c>
      <c r="H39" s="1273">
        <v>70344.470401254628</v>
      </c>
      <c r="I39" s="1273">
        <v>9661111.4931843635</v>
      </c>
      <c r="J39" s="1273">
        <v>6.7721698618742138E-2</v>
      </c>
      <c r="K39" s="1273">
        <v>4458926.8806476966</v>
      </c>
      <c r="L39" s="1273">
        <v>400169074.12630081</v>
      </c>
      <c r="M39" s="1273">
        <v>277563.66551465978</v>
      </c>
      <c r="N39" s="1273">
        <v>37833277.455589451</v>
      </c>
      <c r="O39" s="1273">
        <v>4181363.2151330383</v>
      </c>
      <c r="P39" s="1273">
        <v>361824560.31541806</v>
      </c>
      <c r="Q39" s="1273">
        <v>697521.4919330246</v>
      </c>
      <c r="R39" s="1273">
        <v>60230765.561335713</v>
      </c>
      <c r="S39" s="1273">
        <v>739996.10970553395</v>
      </c>
      <c r="T39" s="1273">
        <v>66286628.288940415</v>
      </c>
      <c r="U39" s="1273">
        <v>42474.617772509169</v>
      </c>
      <c r="V39" s="1273">
        <v>6055862.7276047384</v>
      </c>
      <c r="W39" s="1273">
        <v>6.0893633047492131E-2</v>
      </c>
      <c r="X39" s="1273">
        <v>4434723.4793930296</v>
      </c>
      <c r="Y39" s="1273">
        <v>398104960.99219406</v>
      </c>
      <c r="Z39" s="1273">
        <v>253360.26425999348</v>
      </c>
      <c r="AA39" s="1273">
        <v>36280400.67677597</v>
      </c>
    </row>
  </sheetData>
  <phoneticPr fontId="12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fitToPage="1"/>
  </sheetPr>
  <dimension ref="A1:P58"/>
  <sheetViews>
    <sheetView showGridLines="0" topLeftCell="A27" workbookViewId="0">
      <selection activeCell="F12" sqref="F12:I13"/>
    </sheetView>
  </sheetViews>
  <sheetFormatPr defaultRowHeight="13.2"/>
  <cols>
    <col min="1" max="1" width="33.6640625" customWidth="1"/>
    <col min="2" max="4" width="14.33203125" customWidth="1"/>
    <col min="5" max="5" width="0.6640625" customWidth="1"/>
    <col min="6" max="6" width="33.6640625" customWidth="1"/>
    <col min="7" max="9" width="14.33203125" customWidth="1"/>
    <col min="11" max="11" width="23.109375" bestFit="1" customWidth="1"/>
  </cols>
  <sheetData>
    <row r="1" spans="1:11" ht="21.6" thickBot="1">
      <c r="A1" s="1896" t="str">
        <f>'Summary Page'!A1</f>
        <v xml:space="preserve">Finance Report Month 2 2016/17 </v>
      </c>
      <c r="B1" s="1897"/>
      <c r="C1" s="1897"/>
      <c r="D1" s="1897"/>
      <c r="E1" s="1894" t="s">
        <v>938</v>
      </c>
      <c r="F1" s="1897"/>
      <c r="G1" s="1897"/>
      <c r="H1" s="1897"/>
      <c r="I1" s="1871" t="s">
        <v>30</v>
      </c>
      <c r="J1" s="30"/>
    </row>
    <row r="2" spans="1:11" ht="7.5" customHeight="1">
      <c r="A2" s="295"/>
      <c r="B2" s="41"/>
      <c r="C2" s="41"/>
      <c r="D2" s="41"/>
      <c r="E2" s="41"/>
      <c r="F2" s="41"/>
      <c r="G2" s="41"/>
      <c r="H2" s="41"/>
      <c r="I2" s="296"/>
    </row>
    <row r="3" spans="1:11" ht="17.25" customHeight="1">
      <c r="A3" s="2129" t="s">
        <v>1371</v>
      </c>
      <c r="B3" s="2130"/>
      <c r="C3" s="2130"/>
      <c r="D3" s="2130"/>
      <c r="E3" s="2130"/>
      <c r="F3" s="2130"/>
      <c r="G3" s="2130"/>
      <c r="H3" s="2130"/>
      <c r="I3" s="2131"/>
    </row>
    <row r="4" spans="1:11" ht="39" customHeight="1">
      <c r="A4" s="2098"/>
      <c r="B4" s="2099"/>
      <c r="C4" s="2099"/>
      <c r="D4" s="2099"/>
      <c r="E4" s="2099"/>
      <c r="F4" s="2099"/>
      <c r="G4" s="2099"/>
      <c r="H4" s="2099"/>
      <c r="I4" s="2100"/>
    </row>
    <row r="5" spans="1:11" ht="4.5" customHeight="1"/>
    <row r="6" spans="1:11">
      <c r="A6" s="69"/>
      <c r="B6" s="48"/>
      <c r="C6" s="64"/>
      <c r="D6" s="49"/>
      <c r="F6" s="92" t="s">
        <v>944</v>
      </c>
      <c r="G6" s="83"/>
      <c r="H6" s="112"/>
      <c r="I6" s="88"/>
    </row>
    <row r="7" spans="1:11">
      <c r="A7" s="78"/>
      <c r="B7" s="50" t="s">
        <v>721</v>
      </c>
      <c r="C7" s="50" t="s">
        <v>722</v>
      </c>
      <c r="D7" s="51" t="s">
        <v>723</v>
      </c>
      <c r="F7" s="114"/>
      <c r="G7" s="33" t="s">
        <v>721</v>
      </c>
      <c r="H7" s="33" t="s">
        <v>834</v>
      </c>
      <c r="I7" s="89" t="s">
        <v>723</v>
      </c>
      <c r="K7" s="186"/>
    </row>
    <row r="8" spans="1:11">
      <c r="A8" s="78"/>
      <c r="B8" s="50" t="s">
        <v>948</v>
      </c>
      <c r="C8" s="50" t="s">
        <v>948</v>
      </c>
      <c r="D8" s="51" t="s">
        <v>948</v>
      </c>
      <c r="F8" s="114"/>
      <c r="G8" s="33" t="s">
        <v>948</v>
      </c>
      <c r="H8" s="33" t="s">
        <v>948</v>
      </c>
      <c r="I8" s="89" t="s">
        <v>948</v>
      </c>
    </row>
    <row r="9" spans="1:11">
      <c r="A9" s="78" t="s">
        <v>1212</v>
      </c>
      <c r="B9" s="196">
        <f>B33</f>
        <v>5849.590999999964</v>
      </c>
      <c r="C9" s="196">
        <f>C33</f>
        <v>11087.739000000043</v>
      </c>
      <c r="D9" s="1754">
        <f>D33</f>
        <v>5238.1480000000793</v>
      </c>
      <c r="F9" s="78" t="s">
        <v>1212</v>
      </c>
      <c r="G9" s="197">
        <f>G33</f>
        <v>15570.193000000188</v>
      </c>
      <c r="H9" s="197">
        <f>H33</f>
        <v>15570.190000000024</v>
      </c>
      <c r="I9" s="1754">
        <f>I33</f>
        <v>-3.0000001643202268E-3</v>
      </c>
      <c r="J9" s="186"/>
    </row>
    <row r="10" spans="1:11" ht="9.75" customHeight="1">
      <c r="A10" s="75"/>
      <c r="B10" s="133"/>
      <c r="C10" s="133"/>
      <c r="D10" s="134"/>
      <c r="F10" s="135"/>
      <c r="G10" s="136"/>
      <c r="H10" s="136"/>
      <c r="I10" s="137"/>
    </row>
    <row r="11" spans="1:11" ht="3.75" customHeight="1">
      <c r="A11" s="53"/>
      <c r="B11" s="57"/>
      <c r="C11" s="29"/>
      <c r="D11" s="57"/>
      <c r="F11" s="53"/>
      <c r="H11" s="57"/>
      <c r="I11" s="29"/>
    </row>
    <row r="12" spans="1:11" ht="12.75" customHeight="1">
      <c r="A12" s="2129" t="s">
        <v>1374</v>
      </c>
      <c r="B12" s="2132"/>
      <c r="C12" s="2132"/>
      <c r="D12" s="2133"/>
      <c r="F12" s="2129" t="s">
        <v>1399</v>
      </c>
      <c r="G12" s="2137"/>
      <c r="H12" s="2137"/>
      <c r="I12" s="2138"/>
    </row>
    <row r="13" spans="1:11" ht="92.25" customHeight="1">
      <c r="A13" s="2134"/>
      <c r="B13" s="2135"/>
      <c r="C13" s="2135"/>
      <c r="D13" s="2136"/>
      <c r="F13" s="2139"/>
      <c r="G13" s="2140"/>
      <c r="H13" s="2140"/>
      <c r="I13" s="2141"/>
    </row>
    <row r="14" spans="1:11" ht="4.5" customHeight="1"/>
    <row r="15" spans="1:11">
      <c r="A15" s="126"/>
      <c r="B15" s="127" t="s">
        <v>721</v>
      </c>
      <c r="C15" s="127" t="s">
        <v>722</v>
      </c>
      <c r="D15" s="128" t="s">
        <v>723</v>
      </c>
      <c r="E15" s="109"/>
      <c r="F15" s="126"/>
      <c r="G15" s="127" t="s">
        <v>721</v>
      </c>
      <c r="H15" s="127" t="s">
        <v>722</v>
      </c>
      <c r="I15" s="128" t="s">
        <v>723</v>
      </c>
      <c r="J15" s="95"/>
    </row>
    <row r="16" spans="1:11">
      <c r="A16" s="129"/>
      <c r="B16" s="124" t="s">
        <v>948</v>
      </c>
      <c r="C16" s="124" t="s">
        <v>948</v>
      </c>
      <c r="D16" s="130" t="s">
        <v>948</v>
      </c>
      <c r="E16" s="109"/>
      <c r="F16" s="129"/>
      <c r="G16" s="124" t="s">
        <v>948</v>
      </c>
      <c r="H16" s="124" t="s">
        <v>948</v>
      </c>
      <c r="I16" s="130" t="s">
        <v>948</v>
      </c>
      <c r="J16" s="95"/>
    </row>
    <row r="17" spans="1:16">
      <c r="A17" s="336" t="s">
        <v>862</v>
      </c>
      <c r="B17" s="337">
        <f>Income!B10</f>
        <v>-91461.99900000004</v>
      </c>
      <c r="C17" s="337">
        <f>Income!C10</f>
        <v>-88287.161999999968</v>
      </c>
      <c r="D17" s="200">
        <f>C17-B17</f>
        <v>3174.8370000000723</v>
      </c>
      <c r="E17" s="108"/>
      <c r="F17" s="129" t="s">
        <v>862</v>
      </c>
      <c r="G17" s="199">
        <f>Income!G10</f>
        <v>-549636.28699999989</v>
      </c>
      <c r="H17" s="199">
        <f>Income!H10</f>
        <v>-551852.978</v>
      </c>
      <c r="I17" s="200">
        <f>H17-G17</f>
        <v>-2216.691000000108</v>
      </c>
      <c r="J17" s="35"/>
      <c r="K17" s="35"/>
      <c r="L17" s="35"/>
      <c r="M17" s="35"/>
      <c r="O17" s="35"/>
    </row>
    <row r="18" spans="1:16">
      <c r="A18" s="129" t="s">
        <v>863</v>
      </c>
      <c r="B18" s="199">
        <f>'Operating Costs'!B10</f>
        <v>57618.003000000004</v>
      </c>
      <c r="C18" s="199">
        <f>'Operating Costs'!C10</f>
        <v>57592.546000000009</v>
      </c>
      <c r="D18" s="200">
        <f t="shared" ref="D18:D32" si="0">C18-B18</f>
        <v>-25.456999999994878</v>
      </c>
      <c r="E18" s="108"/>
      <c r="F18" s="129" t="s">
        <v>863</v>
      </c>
      <c r="G18" s="199">
        <f>'Operating Costs'!H10</f>
        <v>334279.13400000002</v>
      </c>
      <c r="H18" s="199">
        <f>'Operating Costs'!I10</f>
        <v>334341.28700000001</v>
      </c>
      <c r="I18" s="200">
        <f>H18-G18</f>
        <v>62.152999999991152</v>
      </c>
      <c r="J18" s="35"/>
      <c r="K18" s="35"/>
      <c r="L18" s="35"/>
      <c r="M18" s="35"/>
      <c r="O18" s="35"/>
    </row>
    <row r="19" spans="1:16" ht="14.25" customHeight="1">
      <c r="A19" s="129" t="s">
        <v>8</v>
      </c>
      <c r="B19" s="199">
        <f>'Operating Costs'!B11</f>
        <v>34055.587</v>
      </c>
      <c r="C19" s="199">
        <f>'Operating Costs'!C11</f>
        <v>36386.129000000001</v>
      </c>
      <c r="D19" s="200">
        <f t="shared" si="0"/>
        <v>2330.5420000000013</v>
      </c>
      <c r="E19" s="108"/>
      <c r="F19" s="129" t="s">
        <v>8</v>
      </c>
      <c r="G19" s="199">
        <f>'Operating Costs'!H11</f>
        <v>197197.34200000006</v>
      </c>
      <c r="H19" s="199">
        <f>'Operating Costs'!I11</f>
        <v>199563.65100000001</v>
      </c>
      <c r="I19" s="200">
        <f>H19-G19</f>
        <v>2366.3089999999502</v>
      </c>
      <c r="J19" s="35"/>
      <c r="K19" s="35"/>
      <c r="L19" s="35"/>
      <c r="M19" s="35"/>
      <c r="O19" s="35"/>
      <c r="P19" s="186"/>
    </row>
    <row r="20" spans="1:16">
      <c r="A20" s="131" t="s">
        <v>42</v>
      </c>
      <c r="B20" s="201">
        <f>SUM(B17:B19)</f>
        <v>211.59099999996397</v>
      </c>
      <c r="C20" s="201">
        <f>SUM(C17:C19)</f>
        <v>5691.5130000000427</v>
      </c>
      <c r="D20" s="202">
        <f t="shared" si="0"/>
        <v>5479.9220000000787</v>
      </c>
      <c r="E20" s="125"/>
      <c r="F20" s="131" t="s">
        <v>42</v>
      </c>
      <c r="G20" s="201">
        <f>SUM(G17:G19)</f>
        <v>-18159.810999999812</v>
      </c>
      <c r="H20" s="405">
        <f>SUM(H17:H19)</f>
        <v>-17948.039999999979</v>
      </c>
      <c r="I20" s="202">
        <f>H20-G20</f>
        <v>211.77099999983329</v>
      </c>
      <c r="J20" s="35"/>
      <c r="K20" s="35"/>
      <c r="L20" s="35"/>
      <c r="M20" s="35"/>
    </row>
    <row r="21" spans="1:16">
      <c r="A21" s="162" t="s">
        <v>866</v>
      </c>
      <c r="B21" s="232">
        <f>B20/B17*100</f>
        <v>-0.23134307396885551</v>
      </c>
      <c r="C21" s="232">
        <f>C20/C17*100</f>
        <v>-6.4465918612267155</v>
      </c>
      <c r="D21" s="242"/>
      <c r="E21" s="108"/>
      <c r="F21" s="162" t="s">
        <v>866</v>
      </c>
      <c r="G21" s="232">
        <f>G20/G17*100</f>
        <v>3.3039687206823403</v>
      </c>
      <c r="H21" s="1874">
        <f>H20/H17*100</f>
        <v>3.252322759051955</v>
      </c>
      <c r="I21" s="200"/>
      <c r="J21" s="35"/>
      <c r="K21" s="35"/>
      <c r="L21" s="35"/>
      <c r="M21" s="35"/>
    </row>
    <row r="22" spans="1:16">
      <c r="A22" s="161"/>
      <c r="B22" s="232"/>
      <c r="C22" s="232"/>
      <c r="D22" s="242"/>
      <c r="E22" s="108"/>
      <c r="F22" s="161"/>
      <c r="G22" s="232"/>
      <c r="H22" s="1874"/>
      <c r="I22" s="200"/>
      <c r="J22" s="35"/>
      <c r="K22" s="35"/>
      <c r="L22" s="35"/>
      <c r="M22" s="35"/>
    </row>
    <row r="23" spans="1:16">
      <c r="A23" s="129" t="s">
        <v>399</v>
      </c>
      <c r="B23" s="199">
        <f>'IncomeandExpenditure Data'!B57</f>
        <v>0</v>
      </c>
      <c r="C23" s="199">
        <f>'IncomeandExpenditure Data'!C57</f>
        <v>0</v>
      </c>
      <c r="D23" s="200">
        <f t="shared" si="0"/>
        <v>0</v>
      </c>
      <c r="E23" s="108"/>
      <c r="F23" s="129" t="s">
        <v>399</v>
      </c>
      <c r="G23" s="199">
        <f>'IncomeandExpenditure Data'!F57</f>
        <v>0</v>
      </c>
      <c r="H23" s="199">
        <f>'IncomeandExpenditure Data'!G57</f>
        <v>0</v>
      </c>
      <c r="I23" s="200">
        <f t="shared" ref="I23:I33" si="1">H23-G23</f>
        <v>0</v>
      </c>
      <c r="J23" s="35"/>
      <c r="K23" s="35"/>
      <c r="L23" s="35"/>
      <c r="M23" s="35"/>
    </row>
    <row r="24" spans="1:16">
      <c r="A24" s="129" t="s">
        <v>9</v>
      </c>
      <c r="B24" s="199">
        <f>'IncomeandExpenditure Data'!B55</f>
        <v>868</v>
      </c>
      <c r="C24" s="199">
        <f>'IncomeandExpenditure Data'!C55</f>
        <v>882.83500000000004</v>
      </c>
      <c r="D24" s="200">
        <f t="shared" si="0"/>
        <v>14.835000000000036</v>
      </c>
      <c r="E24" s="108"/>
      <c r="F24" s="129" t="s">
        <v>9</v>
      </c>
      <c r="G24" s="199">
        <f>'IncomeandExpenditure Data'!F55</f>
        <v>5617.0039999999999</v>
      </c>
      <c r="H24" s="199">
        <f>'IncomeandExpenditure Data'!G55</f>
        <v>5586.8389999999999</v>
      </c>
      <c r="I24" s="200">
        <f t="shared" si="1"/>
        <v>-30.164999999999964</v>
      </c>
      <c r="J24" s="35"/>
      <c r="K24" s="35"/>
      <c r="L24" s="35"/>
      <c r="M24" s="35"/>
    </row>
    <row r="25" spans="1:16">
      <c r="A25" s="129" t="s">
        <v>10</v>
      </c>
      <c r="B25" s="199">
        <f>'IncomeandExpenditure Data'!B56</f>
        <v>-8</v>
      </c>
      <c r="C25" s="199">
        <f>'IncomeandExpenditure Data'!C56</f>
        <v>-7.4809999999999999</v>
      </c>
      <c r="D25" s="200">
        <f t="shared" si="0"/>
        <v>0.51900000000000013</v>
      </c>
      <c r="E25" s="108"/>
      <c r="F25" s="129" t="s">
        <v>10</v>
      </c>
      <c r="G25" s="199">
        <f>'IncomeandExpenditure Data'!F56</f>
        <v>-48</v>
      </c>
      <c r="H25" s="199">
        <f>'IncomeandExpenditure Data'!G56</f>
        <v>-47.481000000000002</v>
      </c>
      <c r="I25" s="200">
        <f t="shared" si="1"/>
        <v>0.51899999999999835</v>
      </c>
      <c r="J25" s="35"/>
      <c r="K25" s="35"/>
      <c r="L25" s="35"/>
      <c r="M25" s="35"/>
    </row>
    <row r="26" spans="1:16">
      <c r="A26" s="129" t="s">
        <v>933</v>
      </c>
      <c r="B26" s="199">
        <f>'IncomeandExpenditure Data'!B54-'IncomeandExpenditure Data'!B63</f>
        <v>3664</v>
      </c>
      <c r="C26" s="199">
        <f>'IncomeandExpenditure Data'!C54-'IncomeandExpenditure Data'!C63</f>
        <v>3482.598</v>
      </c>
      <c r="D26" s="200">
        <f t="shared" si="0"/>
        <v>-181.40200000000004</v>
      </c>
      <c r="E26" s="108"/>
      <c r="F26" s="129" t="s">
        <v>933</v>
      </c>
      <c r="G26" s="199">
        <f>'IncomeandExpenditure Data'!F54-'IncomeandExpenditure Data'!F63</f>
        <v>20997</v>
      </c>
      <c r="H26" s="199">
        <f>'IncomeandExpenditure Data'!G54-'IncomeandExpenditure Data'!G63</f>
        <v>20814.872000000003</v>
      </c>
      <c r="I26" s="200">
        <f t="shared" si="1"/>
        <v>-182.12799999999697</v>
      </c>
      <c r="J26" s="35"/>
      <c r="K26" s="35"/>
      <c r="L26" s="35"/>
      <c r="M26" s="35"/>
    </row>
    <row r="27" spans="1:16">
      <c r="A27" s="129" t="s">
        <v>600</v>
      </c>
      <c r="B27" s="199">
        <f>'IncomeandExpenditure Data'!B63</f>
        <v>0</v>
      </c>
      <c r="C27" s="199">
        <f>'IncomeandExpenditure Data'!C63</f>
        <v>0</v>
      </c>
      <c r="D27" s="200">
        <f t="shared" si="0"/>
        <v>0</v>
      </c>
      <c r="E27" s="108"/>
      <c r="F27" s="129" t="s">
        <v>600</v>
      </c>
      <c r="G27" s="199">
        <f>'IncomeandExpenditure Data'!F63</f>
        <v>15500</v>
      </c>
      <c r="H27" s="199">
        <f>'IncomeandExpenditure Data'!G63</f>
        <v>15500</v>
      </c>
      <c r="I27" s="200">
        <f t="shared" si="1"/>
        <v>0</v>
      </c>
      <c r="J27" s="35"/>
      <c r="K27" s="35"/>
      <c r="L27" s="35"/>
      <c r="M27" s="35"/>
    </row>
    <row r="28" spans="1:16">
      <c r="A28" s="129" t="s">
        <v>934</v>
      </c>
      <c r="B28" s="199">
        <f>'IncomeandExpenditure Data'!B58</f>
        <v>1166</v>
      </c>
      <c r="C28" s="199">
        <f>'IncomeandExpenditure Data'!C58</f>
        <v>1166</v>
      </c>
      <c r="D28" s="200">
        <f t="shared" si="0"/>
        <v>0</v>
      </c>
      <c r="E28" s="108"/>
      <c r="F28" s="129" t="s">
        <v>934</v>
      </c>
      <c r="G28" s="199">
        <f>'IncomeandExpenditure Data'!F58</f>
        <v>7385</v>
      </c>
      <c r="H28" s="199">
        <f>'IncomeandExpenditure Data'!G58</f>
        <v>7385</v>
      </c>
      <c r="I28" s="200">
        <f t="shared" si="1"/>
        <v>0</v>
      </c>
      <c r="J28" s="35"/>
      <c r="K28" s="35"/>
      <c r="L28" s="35"/>
      <c r="M28" s="35"/>
    </row>
    <row r="29" spans="1:16">
      <c r="A29" s="131" t="s">
        <v>11</v>
      </c>
      <c r="B29" s="201">
        <f>SUM(B23:B28)+B20-1</f>
        <v>5900.590999999964</v>
      </c>
      <c r="C29" s="201">
        <f>SUM(C23:C28)+C20</f>
        <v>11215.465000000044</v>
      </c>
      <c r="D29" s="202">
        <f>C29-B29-1</f>
        <v>5313.8740000000798</v>
      </c>
      <c r="E29" s="108"/>
      <c r="F29" s="131" t="s">
        <v>11</v>
      </c>
      <c r="G29" s="201">
        <f>SUM(G23:G28)+G20</f>
        <v>31291.193000000188</v>
      </c>
      <c r="H29" s="201">
        <f>SUM(H23:H28)+H20</f>
        <v>31291.190000000024</v>
      </c>
      <c r="I29" s="202">
        <f>H29-G29</f>
        <v>-3.0000001643202268E-3</v>
      </c>
      <c r="J29" s="35"/>
      <c r="K29" s="35"/>
      <c r="L29" s="35"/>
      <c r="M29" s="35"/>
    </row>
    <row r="30" spans="1:16">
      <c r="A30" s="129" t="s">
        <v>12</v>
      </c>
      <c r="B30" s="199">
        <f>-'IncomeandExpenditure Data'!B63</f>
        <v>0</v>
      </c>
      <c r="C30" s="199">
        <f>-'IncomeandExpenditure Data'!C63</f>
        <v>0</v>
      </c>
      <c r="D30" s="200">
        <f t="shared" si="0"/>
        <v>0</v>
      </c>
      <c r="E30" s="108"/>
      <c r="F30" s="129" t="s">
        <v>12</v>
      </c>
      <c r="G30" s="199">
        <f>-'IncomeandExpenditure Data'!AJ63</f>
        <v>-15500</v>
      </c>
      <c r="H30" s="199">
        <f>-'IncomeandExpenditure Data'!G63</f>
        <v>-15500</v>
      </c>
      <c r="I30" s="200">
        <f t="shared" si="1"/>
        <v>0</v>
      </c>
      <c r="J30" s="35"/>
      <c r="K30" s="35"/>
      <c r="L30" s="35"/>
      <c r="M30" s="35"/>
    </row>
    <row r="31" spans="1:16">
      <c r="A31" s="129" t="s">
        <v>1094</v>
      </c>
      <c r="B31" s="199">
        <f>-'IncomeandExpenditure Data'!B61-'IncomeandExpenditure Data'!B62</f>
        <v>-51</v>
      </c>
      <c r="C31" s="199">
        <f>-'IncomeandExpenditure Data'!C61-'IncomeandExpenditure Data'!C62</f>
        <v>-126.726</v>
      </c>
      <c r="D31" s="200">
        <f t="shared" si="0"/>
        <v>-75.725999999999999</v>
      </c>
      <c r="E31" s="108"/>
      <c r="F31" s="129" t="s">
        <v>1092</v>
      </c>
      <c r="G31" s="199">
        <f>-'IncomeandExpenditure Data'!F61-'IncomeandExpenditure Data'!F62</f>
        <v>-221</v>
      </c>
      <c r="H31" s="199">
        <f>-'IncomeandExpenditure Data'!G61-'IncomeandExpenditure Data'!G62</f>
        <v>-221</v>
      </c>
      <c r="I31" s="200">
        <f t="shared" si="1"/>
        <v>0</v>
      </c>
      <c r="J31" s="35"/>
      <c r="K31" s="35"/>
      <c r="L31" s="35"/>
      <c r="M31" s="35"/>
    </row>
    <row r="32" spans="1:16">
      <c r="A32" s="129" t="s">
        <v>13</v>
      </c>
      <c r="B32" s="199">
        <f>-'IncomeandExpenditure Data'!B64</f>
        <v>0</v>
      </c>
      <c r="C32" s="199">
        <f>-'IncomeandExpenditure Data'!C64</f>
        <v>0</v>
      </c>
      <c r="D32" s="200">
        <f t="shared" si="0"/>
        <v>0</v>
      </c>
      <c r="E32" s="108"/>
      <c r="F32" s="129" t="s">
        <v>13</v>
      </c>
      <c r="G32" s="199">
        <f>-'IncomeandExpenditure Data'!F64</f>
        <v>0</v>
      </c>
      <c r="H32" s="199">
        <f>-'IncomeandExpenditure Data'!G64</f>
        <v>0</v>
      </c>
      <c r="I32" s="200">
        <f t="shared" si="1"/>
        <v>0</v>
      </c>
      <c r="J32" s="35"/>
      <c r="K32" s="35"/>
      <c r="L32" s="35"/>
      <c r="M32" s="35"/>
    </row>
    <row r="33" spans="1:13">
      <c r="A33" s="131" t="s">
        <v>14</v>
      </c>
      <c r="B33" s="201">
        <f>SUM(B29:B32)</f>
        <v>5849.590999999964</v>
      </c>
      <c r="C33" s="201">
        <f>SUM(C29:C32)-1</f>
        <v>11087.739000000043</v>
      </c>
      <c r="D33" s="202">
        <f>C33-B33</f>
        <v>5238.1480000000793</v>
      </c>
      <c r="E33" s="108"/>
      <c r="F33" s="131" t="s">
        <v>14</v>
      </c>
      <c r="G33" s="201">
        <f>SUM(G29:G32)</f>
        <v>15570.193000000188</v>
      </c>
      <c r="H33" s="201">
        <f>SUM(H29:H32)</f>
        <v>15570.190000000024</v>
      </c>
      <c r="I33" s="202">
        <f t="shared" si="1"/>
        <v>-3.0000001643202268E-3</v>
      </c>
      <c r="J33" s="35"/>
      <c r="K33" s="35"/>
      <c r="L33" s="35"/>
      <c r="M33" s="35"/>
    </row>
    <row r="34" spans="1:13">
      <c r="A34" s="233" t="s">
        <v>41</v>
      </c>
      <c r="B34" s="232">
        <f>B33/B17*100</f>
        <v>-6.395651816007172</v>
      </c>
      <c r="C34" s="232">
        <f>C33/C17*100</f>
        <v>-12.558721731252442</v>
      </c>
      <c r="D34" s="202"/>
      <c r="E34" s="108"/>
      <c r="F34" s="233" t="s">
        <v>41</v>
      </c>
      <c r="G34" s="232">
        <f>G33/G17*100</f>
        <v>-2.8328175137388976</v>
      </c>
      <c r="H34" s="232">
        <f>H33/H17*100</f>
        <v>-2.8214380678761191</v>
      </c>
      <c r="I34" s="202"/>
    </row>
    <row r="35" spans="1:13" ht="12" customHeight="1">
      <c r="A35" s="132" t="s">
        <v>48</v>
      </c>
      <c r="B35" s="41"/>
      <c r="C35" s="41"/>
      <c r="D35" s="60"/>
      <c r="E35" s="108"/>
      <c r="F35" s="38"/>
      <c r="G35" s="41"/>
      <c r="H35" s="41"/>
      <c r="I35" s="60"/>
    </row>
    <row r="36" spans="1:13" ht="4.5" customHeight="1"/>
    <row r="37" spans="1:13" ht="12.75" hidden="1" customHeight="1">
      <c r="A37" s="2142" t="s">
        <v>371</v>
      </c>
      <c r="B37" s="2143"/>
      <c r="C37" s="2143"/>
      <c r="D37" s="2143"/>
      <c r="E37" s="2143"/>
      <c r="F37" s="2143"/>
      <c r="G37" s="2143"/>
      <c r="H37" s="2143"/>
      <c r="I37" s="2144"/>
    </row>
    <row r="38" spans="1:13" ht="12.75" hidden="1" customHeight="1">
      <c r="A38" s="2145"/>
      <c r="B38" s="2146"/>
      <c r="C38" s="2146"/>
      <c r="D38" s="2146"/>
      <c r="E38" s="2146"/>
      <c r="F38" s="2146"/>
      <c r="G38" s="2146"/>
      <c r="H38" s="2146"/>
      <c r="I38" s="2147"/>
    </row>
    <row r="39" spans="1:13" ht="4.5" customHeight="1"/>
    <row r="40" spans="1:13" ht="8.25" customHeight="1">
      <c r="F40" s="30"/>
      <c r="G40" s="30"/>
      <c r="H40" s="30"/>
      <c r="I40" s="30"/>
    </row>
    <row r="41" spans="1:13">
      <c r="F41" s="153"/>
      <c r="G41" s="30"/>
      <c r="H41" s="30"/>
      <c r="I41" s="30"/>
    </row>
    <row r="42" spans="1:13" ht="4.5" customHeight="1">
      <c r="A42" s="241"/>
      <c r="F42" s="30"/>
      <c r="G42" s="116"/>
      <c r="H42" s="30"/>
      <c r="I42" s="30"/>
    </row>
    <row r="43" spans="1:13" ht="5.25" customHeight="1">
      <c r="F43" s="30"/>
      <c r="G43" s="30"/>
      <c r="H43" s="30"/>
      <c r="I43" s="30"/>
    </row>
    <row r="44" spans="1:13">
      <c r="F44" s="30"/>
      <c r="G44" s="30"/>
      <c r="H44" s="30"/>
      <c r="I44" s="30"/>
    </row>
    <row r="45" spans="1:13">
      <c r="F45" s="30"/>
      <c r="G45" s="30"/>
      <c r="H45" s="30"/>
      <c r="I45" s="30"/>
    </row>
    <row r="46" spans="1:13">
      <c r="A46" s="317"/>
      <c r="F46" s="30"/>
      <c r="G46" s="30"/>
      <c r="H46" s="30"/>
      <c r="I46" s="30"/>
    </row>
    <row r="47" spans="1:13">
      <c r="F47" s="30"/>
      <c r="G47" s="30"/>
      <c r="H47" s="30"/>
      <c r="I47" s="30"/>
    </row>
    <row r="48" spans="1:13">
      <c r="F48" s="30"/>
      <c r="G48" s="30"/>
      <c r="H48" s="30"/>
      <c r="I48" s="30"/>
    </row>
    <row r="49" spans="6:9">
      <c r="F49" s="30"/>
      <c r="G49" s="30"/>
      <c r="H49" s="30"/>
      <c r="I49" s="30"/>
    </row>
    <row r="50" spans="6:9">
      <c r="F50" s="30"/>
      <c r="G50" s="30"/>
      <c r="H50" s="30"/>
      <c r="I50" s="30"/>
    </row>
    <row r="51" spans="6:9">
      <c r="F51" s="30"/>
      <c r="G51" s="30"/>
      <c r="H51" s="30"/>
      <c r="I51" s="30"/>
    </row>
    <row r="52" spans="6:9">
      <c r="F52" s="30"/>
      <c r="G52" s="30"/>
      <c r="H52" s="30"/>
      <c r="I52" s="30"/>
    </row>
    <row r="53" spans="6:9">
      <c r="F53" s="30"/>
      <c r="G53" s="30"/>
      <c r="H53" s="30"/>
      <c r="I53" s="30"/>
    </row>
    <row r="54" spans="6:9">
      <c r="F54" s="30"/>
      <c r="G54" s="30"/>
      <c r="H54" s="30"/>
      <c r="I54" s="30"/>
    </row>
    <row r="55" spans="6:9">
      <c r="F55" s="30"/>
      <c r="G55" s="30"/>
      <c r="H55" s="30"/>
      <c r="I55" s="30"/>
    </row>
    <row r="56" spans="6:9">
      <c r="F56" s="30"/>
      <c r="G56" s="30"/>
      <c r="H56" s="30"/>
      <c r="I56" s="30"/>
    </row>
    <row r="57" spans="6:9">
      <c r="F57" s="30"/>
      <c r="G57" s="30"/>
      <c r="H57" s="30"/>
      <c r="I57" s="30"/>
    </row>
    <row r="58" spans="6:9">
      <c r="F58" s="30"/>
      <c r="G58" s="30"/>
      <c r="H58" s="30"/>
      <c r="I58" s="30"/>
    </row>
  </sheetData>
  <mergeCells count="4">
    <mergeCell ref="A3:I4"/>
    <mergeCell ref="A12:D13"/>
    <mergeCell ref="F12:I13"/>
    <mergeCell ref="A37:I38"/>
  </mergeCells>
  <phoneticPr fontId="8" type="noConversion"/>
  <printOptions horizontalCentered="1" verticalCentered="1"/>
  <pageMargins left="0.35433070866141736" right="0.35433070866141736" top="0.19685039370078741" bottom="0.39370078740157483" header="0" footer="0.19685039370078741"/>
  <pageSetup paperSize="9" scale="72" orientation="landscape" r:id="rId1"/>
  <headerFooter alignWithMargins="0">
    <oddFooter>&amp;CPage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AB78"/>
  <sheetViews>
    <sheetView showGridLines="0" zoomScale="85" workbookViewId="0">
      <selection activeCell="A23" sqref="A23:T34"/>
    </sheetView>
  </sheetViews>
  <sheetFormatPr defaultColWidth="9.109375" defaultRowHeight="13.2"/>
  <cols>
    <col min="1" max="1" width="40.44140625" style="816" customWidth="1"/>
    <col min="2" max="2" width="7.109375" style="816" customWidth="1"/>
    <col min="3" max="3" width="13.109375" style="816" customWidth="1"/>
    <col min="4" max="6" width="13.88671875" style="816" customWidth="1"/>
    <col min="7" max="8" width="9.88671875" style="816" customWidth="1"/>
    <col min="9" max="9" width="0.6640625" style="816" customWidth="1"/>
    <col min="10" max="10" width="52.88671875" style="816" customWidth="1"/>
    <col min="11" max="14" width="13" style="816" customWidth="1"/>
    <col min="15" max="15" width="4" style="816" customWidth="1"/>
    <col min="16" max="19" width="11.109375" style="816" customWidth="1"/>
    <col min="20" max="20" width="4.109375" style="816" customWidth="1"/>
    <col min="21" max="21" width="10.6640625" style="816" customWidth="1"/>
    <col min="22" max="23" width="9.109375" style="816"/>
    <col min="24" max="24" width="9.6640625" style="816" customWidth="1"/>
    <col min="25" max="26" width="9.109375" style="816"/>
    <col min="27" max="27" width="10.6640625" style="816" customWidth="1"/>
    <col min="28" max="28" width="11.109375" style="816" bestFit="1" customWidth="1"/>
    <col min="29" max="16384" width="9.109375" style="816"/>
  </cols>
  <sheetData>
    <row r="1" spans="1:21" ht="21.6" thickBot="1">
      <c r="A1" s="812" t="s">
        <v>1286</v>
      </c>
      <c r="B1" s="860"/>
      <c r="C1" s="860"/>
      <c r="D1" s="860"/>
      <c r="E1" s="860"/>
      <c r="F1" s="860"/>
      <c r="G1" s="860"/>
      <c r="H1" s="813"/>
      <c r="I1" s="813" t="s">
        <v>39</v>
      </c>
      <c r="J1" s="860"/>
      <c r="K1" s="860"/>
      <c r="L1" s="860"/>
      <c r="M1" s="860"/>
      <c r="N1" s="860"/>
      <c r="O1" s="860"/>
      <c r="P1" s="860"/>
      <c r="Q1" s="860"/>
      <c r="R1" s="860"/>
      <c r="S1" s="860"/>
      <c r="T1" s="814" t="s">
        <v>32</v>
      </c>
      <c r="U1" s="815"/>
    </row>
    <row r="2" spans="1:21" ht="7.5" customHeight="1">
      <c r="A2" s="861"/>
      <c r="B2" s="861"/>
      <c r="C2" s="861"/>
      <c r="D2" s="862"/>
      <c r="E2" s="862"/>
      <c r="F2" s="862"/>
      <c r="G2" s="861"/>
      <c r="H2" s="861"/>
      <c r="I2" s="862"/>
      <c r="J2" s="861"/>
      <c r="K2" s="862"/>
      <c r="L2" s="862"/>
      <c r="M2" s="861"/>
      <c r="N2" s="861"/>
      <c r="O2" s="861"/>
      <c r="P2" s="861"/>
      <c r="Q2" s="862"/>
      <c r="R2" s="861"/>
      <c r="S2" s="861"/>
      <c r="T2" s="861"/>
    </row>
    <row r="3" spans="1:21" ht="12.75" customHeight="1">
      <c r="A3" s="2260" t="s">
        <v>338</v>
      </c>
      <c r="B3" s="2261"/>
      <c r="C3" s="2261"/>
      <c r="D3" s="2261"/>
      <c r="E3" s="2261"/>
      <c r="F3" s="2261"/>
      <c r="G3" s="2261"/>
      <c r="H3" s="2261"/>
      <c r="I3" s="2261"/>
      <c r="J3" s="2261"/>
      <c r="K3" s="2261"/>
      <c r="L3" s="2261"/>
      <c r="M3" s="2261"/>
      <c r="N3" s="2261"/>
      <c r="O3" s="2261"/>
      <c r="P3" s="2261"/>
      <c r="Q3" s="2261"/>
      <c r="R3" s="2261"/>
      <c r="S3" s="2261"/>
      <c r="T3" s="2262"/>
    </row>
    <row r="4" spans="1:21">
      <c r="A4" s="2263"/>
      <c r="B4" s="2264"/>
      <c r="C4" s="2264"/>
      <c r="D4" s="2264"/>
      <c r="E4" s="2264"/>
      <c r="F4" s="2264"/>
      <c r="G4" s="2264"/>
      <c r="H4" s="2264"/>
      <c r="I4" s="2264"/>
      <c r="J4" s="2264"/>
      <c r="K4" s="2264"/>
      <c r="L4" s="2264"/>
      <c r="M4" s="2264"/>
      <c r="N4" s="2264"/>
      <c r="O4" s="2264"/>
      <c r="P4" s="2264"/>
      <c r="Q4" s="2264"/>
      <c r="R4" s="2264"/>
      <c r="S4" s="2264"/>
      <c r="T4" s="2265"/>
    </row>
    <row r="5" spans="1:21" ht="12" customHeight="1">
      <c r="A5" s="863"/>
      <c r="B5" s="864"/>
      <c r="C5" s="864"/>
      <c r="D5" s="864"/>
      <c r="E5" s="864"/>
      <c r="F5" s="864"/>
      <c r="G5" s="864"/>
      <c r="H5" s="864"/>
      <c r="I5" s="864"/>
      <c r="J5" s="864"/>
      <c r="K5" s="864"/>
      <c r="L5" s="864"/>
      <c r="M5" s="864"/>
      <c r="N5" s="864"/>
      <c r="O5" s="864"/>
      <c r="P5" s="864"/>
      <c r="Q5" s="864"/>
      <c r="R5" s="864"/>
      <c r="S5" s="864"/>
      <c r="T5" s="865"/>
    </row>
    <row r="6" spans="1:21" ht="12.75" customHeight="1">
      <c r="A6" s="2257" t="s">
        <v>341</v>
      </c>
      <c r="B6" s="2266"/>
      <c r="C6" s="2266"/>
      <c r="D6" s="2266"/>
      <c r="E6" s="2266"/>
      <c r="F6" s="2266"/>
      <c r="G6" s="2266"/>
      <c r="H6" s="2266"/>
      <c r="I6" s="2266"/>
      <c r="J6" s="2266"/>
      <c r="K6" s="2266"/>
      <c r="L6" s="2266"/>
      <c r="M6" s="2266"/>
      <c r="N6" s="2266"/>
      <c r="O6" s="2266"/>
      <c r="P6" s="2266"/>
      <c r="Q6" s="2266"/>
      <c r="R6" s="2266"/>
      <c r="S6" s="2266"/>
      <c r="T6" s="2267"/>
    </row>
    <row r="7" spans="1:21">
      <c r="A7" s="2257"/>
      <c r="B7" s="2266"/>
      <c r="C7" s="2266"/>
      <c r="D7" s="2266"/>
      <c r="E7" s="2266"/>
      <c r="F7" s="2266"/>
      <c r="G7" s="2266"/>
      <c r="H7" s="2266"/>
      <c r="I7" s="2266"/>
      <c r="J7" s="2266"/>
      <c r="K7" s="2266"/>
      <c r="L7" s="2266"/>
      <c r="M7" s="2266"/>
      <c r="N7" s="2266"/>
      <c r="O7" s="2266"/>
      <c r="P7" s="2266"/>
      <c r="Q7" s="2266"/>
      <c r="R7" s="2266"/>
      <c r="S7" s="2266"/>
      <c r="T7" s="2267"/>
    </row>
    <row r="8" spans="1:21">
      <c r="A8" s="2257"/>
      <c r="B8" s="2266"/>
      <c r="C8" s="2266"/>
      <c r="D8" s="2266"/>
      <c r="E8" s="2266"/>
      <c r="F8" s="2266"/>
      <c r="G8" s="2266"/>
      <c r="H8" s="2266"/>
      <c r="I8" s="2266"/>
      <c r="J8" s="2266"/>
      <c r="K8" s="2266"/>
      <c r="L8" s="2266"/>
      <c r="M8" s="2266"/>
      <c r="N8" s="2266"/>
      <c r="O8" s="2266"/>
      <c r="P8" s="2266"/>
      <c r="Q8" s="2266"/>
      <c r="R8" s="2266"/>
      <c r="S8" s="2266"/>
      <c r="T8" s="2267"/>
    </row>
    <row r="9" spans="1:21">
      <c r="A9" s="2257"/>
      <c r="B9" s="2266"/>
      <c r="C9" s="2266"/>
      <c r="D9" s="2266"/>
      <c r="E9" s="2266"/>
      <c r="F9" s="2266"/>
      <c r="G9" s="2266"/>
      <c r="H9" s="2266"/>
      <c r="I9" s="2266"/>
      <c r="J9" s="2266"/>
      <c r="K9" s="2266"/>
      <c r="L9" s="2266"/>
      <c r="M9" s="2266"/>
      <c r="N9" s="2266"/>
      <c r="O9" s="2266"/>
      <c r="P9" s="2266"/>
      <c r="Q9" s="2266"/>
      <c r="R9" s="2266"/>
      <c r="S9" s="2266"/>
      <c r="T9" s="2267"/>
    </row>
    <row r="10" spans="1:21">
      <c r="A10" s="2257"/>
      <c r="B10" s="2266"/>
      <c r="C10" s="2266"/>
      <c r="D10" s="2266"/>
      <c r="E10" s="2266"/>
      <c r="F10" s="2266"/>
      <c r="G10" s="2266"/>
      <c r="H10" s="2266"/>
      <c r="I10" s="2266"/>
      <c r="J10" s="2266"/>
      <c r="K10" s="2266"/>
      <c r="L10" s="2266"/>
      <c r="M10" s="2266"/>
      <c r="N10" s="2266"/>
      <c r="O10" s="2266"/>
      <c r="P10" s="2266"/>
      <c r="Q10" s="2266"/>
      <c r="R10" s="2266"/>
      <c r="S10" s="2266"/>
      <c r="T10" s="2267"/>
    </row>
    <row r="11" spans="1:21">
      <c r="A11" s="2257"/>
      <c r="B11" s="2266"/>
      <c r="C11" s="2266"/>
      <c r="D11" s="2266"/>
      <c r="E11" s="2266"/>
      <c r="F11" s="2266"/>
      <c r="G11" s="2266"/>
      <c r="H11" s="2266"/>
      <c r="I11" s="2266"/>
      <c r="J11" s="2266"/>
      <c r="K11" s="2266"/>
      <c r="L11" s="2266"/>
      <c r="M11" s="2266"/>
      <c r="N11" s="2266"/>
      <c r="O11" s="2266"/>
      <c r="P11" s="2266"/>
      <c r="Q11" s="2266"/>
      <c r="R11" s="2266"/>
      <c r="S11" s="2266"/>
      <c r="T11" s="2267"/>
    </row>
    <row r="12" spans="1:21">
      <c r="A12" s="2257"/>
      <c r="B12" s="2266"/>
      <c r="C12" s="2266"/>
      <c r="D12" s="2266"/>
      <c r="E12" s="2266"/>
      <c r="F12" s="2266"/>
      <c r="G12" s="2266"/>
      <c r="H12" s="2266"/>
      <c r="I12" s="2266"/>
      <c r="J12" s="2266"/>
      <c r="K12" s="2266"/>
      <c r="L12" s="2266"/>
      <c r="M12" s="2266"/>
      <c r="N12" s="2266"/>
      <c r="O12" s="2266"/>
      <c r="P12" s="2266"/>
      <c r="Q12" s="2266"/>
      <c r="R12" s="2266"/>
      <c r="S12" s="2266"/>
      <c r="T12" s="2267"/>
    </row>
    <row r="13" spans="1:21">
      <c r="A13" s="2257"/>
      <c r="B13" s="2266"/>
      <c r="C13" s="2266"/>
      <c r="D13" s="2266"/>
      <c r="E13" s="2266"/>
      <c r="F13" s="2266"/>
      <c r="G13" s="2266"/>
      <c r="H13" s="2266"/>
      <c r="I13" s="2266"/>
      <c r="J13" s="2266"/>
      <c r="K13" s="2266"/>
      <c r="L13" s="2266"/>
      <c r="M13" s="2266"/>
      <c r="N13" s="2266"/>
      <c r="O13" s="2266"/>
      <c r="P13" s="2266"/>
      <c r="Q13" s="2266"/>
      <c r="R13" s="2266"/>
      <c r="S13" s="2266"/>
      <c r="T13" s="2267"/>
    </row>
    <row r="14" spans="1:21" ht="1.5" customHeight="1">
      <c r="A14" s="2257"/>
      <c r="B14" s="2266"/>
      <c r="C14" s="2266"/>
      <c r="D14" s="2266"/>
      <c r="E14" s="2266"/>
      <c r="F14" s="2266"/>
      <c r="G14" s="2266"/>
      <c r="H14" s="2266"/>
      <c r="I14" s="2266"/>
      <c r="J14" s="2266"/>
      <c r="K14" s="2266"/>
      <c r="L14" s="2266"/>
      <c r="M14" s="2266"/>
      <c r="N14" s="2266"/>
      <c r="O14" s="2266"/>
      <c r="P14" s="2266"/>
      <c r="Q14" s="2266"/>
      <c r="R14" s="2266"/>
      <c r="S14" s="2266"/>
      <c r="T14" s="2267"/>
    </row>
    <row r="15" spans="1:21" ht="45.75" hidden="1" customHeight="1">
      <c r="A15" s="2257"/>
      <c r="B15" s="2266"/>
      <c r="C15" s="2266"/>
      <c r="D15" s="2266"/>
      <c r="E15" s="2266"/>
      <c r="F15" s="2266"/>
      <c r="G15" s="2266"/>
      <c r="H15" s="2266"/>
      <c r="I15" s="2266"/>
      <c r="J15" s="2266"/>
      <c r="K15" s="2266"/>
      <c r="L15" s="2266"/>
      <c r="M15" s="2266"/>
      <c r="N15" s="2266"/>
      <c r="O15" s="2266"/>
      <c r="P15" s="2266"/>
      <c r="Q15" s="2266"/>
      <c r="R15" s="2266"/>
      <c r="S15" s="2266"/>
      <c r="T15" s="2267"/>
    </row>
    <row r="16" spans="1:21" ht="3.75" hidden="1" customHeight="1">
      <c r="A16" s="2257"/>
      <c r="B16" s="2266"/>
      <c r="C16" s="2266"/>
      <c r="D16" s="2266"/>
      <c r="E16" s="2266"/>
      <c r="F16" s="2266"/>
      <c r="G16" s="2266"/>
      <c r="H16" s="2266"/>
      <c r="I16" s="2266"/>
      <c r="J16" s="2266"/>
      <c r="K16" s="2266"/>
      <c r="L16" s="2266"/>
      <c r="M16" s="2266"/>
      <c r="N16" s="2266"/>
      <c r="O16" s="2266"/>
      <c r="P16" s="2266"/>
      <c r="Q16" s="2266"/>
      <c r="R16" s="2266"/>
      <c r="S16" s="2266"/>
      <c r="T16" s="2267"/>
    </row>
    <row r="17" spans="1:20" ht="12.75" hidden="1" customHeight="1">
      <c r="A17" s="2257"/>
      <c r="B17" s="2266"/>
      <c r="C17" s="2266"/>
      <c r="D17" s="2266"/>
      <c r="E17" s="2266"/>
      <c r="F17" s="2266"/>
      <c r="G17" s="2266"/>
      <c r="H17" s="2266"/>
      <c r="I17" s="2266"/>
      <c r="J17" s="2266"/>
      <c r="K17" s="2266"/>
      <c r="L17" s="2266"/>
      <c r="M17" s="2266"/>
      <c r="N17" s="2266"/>
      <c r="O17" s="2266"/>
      <c r="P17" s="2266"/>
      <c r="Q17" s="2266"/>
      <c r="R17" s="2266"/>
      <c r="S17" s="2266"/>
      <c r="T17" s="2267"/>
    </row>
    <row r="18" spans="1:20" ht="12.75" hidden="1" customHeight="1">
      <c r="A18" s="2257"/>
      <c r="B18" s="2266"/>
      <c r="C18" s="2266"/>
      <c r="D18" s="2266"/>
      <c r="E18" s="2266"/>
      <c r="F18" s="2266"/>
      <c r="G18" s="2266"/>
      <c r="H18" s="2266"/>
      <c r="I18" s="2266"/>
      <c r="J18" s="2266"/>
      <c r="K18" s="2266"/>
      <c r="L18" s="2266"/>
      <c r="M18" s="2266"/>
      <c r="N18" s="2266"/>
      <c r="O18" s="2266"/>
      <c r="P18" s="2266"/>
      <c r="Q18" s="2266"/>
      <c r="R18" s="2266"/>
      <c r="S18" s="2266"/>
      <c r="T18" s="2267"/>
    </row>
    <row r="19" spans="1:20" ht="12.75" hidden="1" customHeight="1">
      <c r="A19" s="2257"/>
      <c r="B19" s="2266"/>
      <c r="C19" s="2266"/>
      <c r="D19" s="2266"/>
      <c r="E19" s="2266"/>
      <c r="F19" s="2266"/>
      <c r="G19" s="2266"/>
      <c r="H19" s="2266"/>
      <c r="I19" s="2266"/>
      <c r="J19" s="2266"/>
      <c r="K19" s="2266"/>
      <c r="L19" s="2266"/>
      <c r="M19" s="2266"/>
      <c r="N19" s="2266"/>
      <c r="O19" s="2266"/>
      <c r="P19" s="2266"/>
      <c r="Q19" s="2266"/>
      <c r="R19" s="2266"/>
      <c r="S19" s="2266"/>
      <c r="T19" s="2267"/>
    </row>
    <row r="20" spans="1:20" ht="12.75" hidden="1" customHeight="1">
      <c r="A20" s="2257"/>
      <c r="B20" s="2266"/>
      <c r="C20" s="2266"/>
      <c r="D20" s="2266"/>
      <c r="E20" s="2266"/>
      <c r="F20" s="2266"/>
      <c r="G20" s="2266"/>
      <c r="H20" s="2266"/>
      <c r="I20" s="2266"/>
      <c r="J20" s="2266"/>
      <c r="K20" s="2266"/>
      <c r="L20" s="2266"/>
      <c r="M20" s="2266"/>
      <c r="N20" s="2266"/>
      <c r="O20" s="2266"/>
      <c r="P20" s="2266"/>
      <c r="Q20" s="2266"/>
      <c r="R20" s="2266"/>
      <c r="S20" s="2266"/>
      <c r="T20" s="2267"/>
    </row>
    <row r="21" spans="1:20" ht="19.5" hidden="1" customHeight="1">
      <c r="A21" s="2257"/>
      <c r="B21" s="2266"/>
      <c r="C21" s="2266"/>
      <c r="D21" s="2266"/>
      <c r="E21" s="2266"/>
      <c r="F21" s="2266"/>
      <c r="G21" s="2266"/>
      <c r="H21" s="2266"/>
      <c r="I21" s="2266"/>
      <c r="J21" s="2266"/>
      <c r="K21" s="2266"/>
      <c r="L21" s="2266"/>
      <c r="M21" s="2266"/>
      <c r="N21" s="2266"/>
      <c r="O21" s="2266"/>
      <c r="P21" s="2266"/>
      <c r="Q21" s="2266"/>
      <c r="R21" s="2266"/>
      <c r="S21" s="2266"/>
      <c r="T21" s="2267"/>
    </row>
    <row r="22" spans="1:20" ht="4.5" hidden="1" customHeight="1">
      <c r="A22" s="856"/>
      <c r="B22" s="866"/>
      <c r="C22" s="866"/>
      <c r="D22" s="866"/>
      <c r="E22" s="866"/>
      <c r="F22" s="866"/>
      <c r="G22" s="866"/>
      <c r="H22" s="866"/>
      <c r="I22" s="866"/>
      <c r="J22" s="866" t="s">
        <v>342</v>
      </c>
      <c r="K22" s="866"/>
      <c r="L22" s="866"/>
      <c r="M22" s="866"/>
      <c r="N22" s="866"/>
      <c r="O22" s="866"/>
      <c r="P22" s="866"/>
      <c r="Q22" s="866"/>
      <c r="R22" s="866"/>
      <c r="S22" s="866"/>
      <c r="T22" s="867"/>
    </row>
    <row r="23" spans="1:20" ht="12.75" customHeight="1">
      <c r="A23" s="2268" t="s">
        <v>1022</v>
      </c>
      <c r="B23" s="2289"/>
      <c r="C23" s="2289"/>
      <c r="D23" s="2289"/>
      <c r="E23" s="2289"/>
      <c r="F23" s="2289"/>
      <c r="G23" s="2289"/>
      <c r="H23" s="2289"/>
      <c r="I23" s="2289"/>
      <c r="J23" s="2289"/>
      <c r="K23" s="2289"/>
      <c r="L23" s="2289"/>
      <c r="M23" s="2289"/>
      <c r="N23" s="2289"/>
      <c r="O23" s="2289"/>
      <c r="P23" s="2289"/>
      <c r="Q23" s="2289"/>
      <c r="R23" s="2289"/>
      <c r="S23" s="2289"/>
      <c r="T23" s="2290"/>
    </row>
    <row r="24" spans="1:20">
      <c r="A24" s="2291"/>
      <c r="B24" s="2292"/>
      <c r="C24" s="2292"/>
      <c r="D24" s="2292"/>
      <c r="E24" s="2292"/>
      <c r="F24" s="2292"/>
      <c r="G24" s="2292"/>
      <c r="H24" s="2292"/>
      <c r="I24" s="2292"/>
      <c r="J24" s="2292"/>
      <c r="K24" s="2292"/>
      <c r="L24" s="2292"/>
      <c r="M24" s="2292"/>
      <c r="N24" s="2292"/>
      <c r="O24" s="2292"/>
      <c r="P24" s="2292"/>
      <c r="Q24" s="2292"/>
      <c r="R24" s="2292"/>
      <c r="S24" s="2292"/>
      <c r="T24" s="2293"/>
    </row>
    <row r="25" spans="1:20">
      <c r="A25" s="2291"/>
      <c r="B25" s="2292"/>
      <c r="C25" s="2292"/>
      <c r="D25" s="2292"/>
      <c r="E25" s="2292"/>
      <c r="F25" s="2292"/>
      <c r="G25" s="2292"/>
      <c r="H25" s="2292"/>
      <c r="I25" s="2292"/>
      <c r="J25" s="2292"/>
      <c r="K25" s="2292"/>
      <c r="L25" s="2292"/>
      <c r="M25" s="2292"/>
      <c r="N25" s="2292"/>
      <c r="O25" s="2292"/>
      <c r="P25" s="2292"/>
      <c r="Q25" s="2292"/>
      <c r="R25" s="2292"/>
      <c r="S25" s="2292"/>
      <c r="T25" s="2293"/>
    </row>
    <row r="26" spans="1:20">
      <c r="A26" s="2291"/>
      <c r="B26" s="2292"/>
      <c r="C26" s="2292"/>
      <c r="D26" s="2292"/>
      <c r="E26" s="2292"/>
      <c r="F26" s="2292"/>
      <c r="G26" s="2292"/>
      <c r="H26" s="2292"/>
      <c r="I26" s="2292"/>
      <c r="J26" s="2292"/>
      <c r="K26" s="2292"/>
      <c r="L26" s="2292"/>
      <c r="M26" s="2292"/>
      <c r="N26" s="2292"/>
      <c r="O26" s="2292"/>
      <c r="P26" s="2292"/>
      <c r="Q26" s="2292"/>
      <c r="R26" s="2292"/>
      <c r="S26" s="2292"/>
      <c r="T26" s="2293"/>
    </row>
    <row r="27" spans="1:20">
      <c r="A27" s="2291"/>
      <c r="B27" s="2292"/>
      <c r="C27" s="2292"/>
      <c r="D27" s="2292"/>
      <c r="E27" s="2292"/>
      <c r="F27" s="2292"/>
      <c r="G27" s="2292"/>
      <c r="H27" s="2292"/>
      <c r="I27" s="2292"/>
      <c r="J27" s="2292"/>
      <c r="K27" s="2292"/>
      <c r="L27" s="2292"/>
      <c r="M27" s="2292"/>
      <c r="N27" s="2292"/>
      <c r="O27" s="2292"/>
      <c r="P27" s="2292"/>
      <c r="Q27" s="2292"/>
      <c r="R27" s="2292"/>
      <c r="S27" s="2292"/>
      <c r="T27" s="2293"/>
    </row>
    <row r="28" spans="1:20">
      <c r="A28" s="2291"/>
      <c r="B28" s="2292"/>
      <c r="C28" s="2292"/>
      <c r="D28" s="2292"/>
      <c r="E28" s="2292"/>
      <c r="F28" s="2292"/>
      <c r="G28" s="2292"/>
      <c r="H28" s="2292"/>
      <c r="I28" s="2292"/>
      <c r="J28" s="2292"/>
      <c r="K28" s="2292"/>
      <c r="L28" s="2292"/>
      <c r="M28" s="2292"/>
      <c r="N28" s="2292"/>
      <c r="O28" s="2292"/>
      <c r="P28" s="2292"/>
      <c r="Q28" s="2292"/>
      <c r="R28" s="2292"/>
      <c r="S28" s="2292"/>
      <c r="T28" s="2293"/>
    </row>
    <row r="29" spans="1:20">
      <c r="A29" s="2291"/>
      <c r="B29" s="2292"/>
      <c r="C29" s="2292"/>
      <c r="D29" s="2292"/>
      <c r="E29" s="2292"/>
      <c r="F29" s="2292"/>
      <c r="G29" s="2292"/>
      <c r="H29" s="2292"/>
      <c r="I29" s="2292"/>
      <c r="J29" s="2292"/>
      <c r="K29" s="2292"/>
      <c r="L29" s="2292"/>
      <c r="M29" s="2292"/>
      <c r="N29" s="2292"/>
      <c r="O29" s="2292"/>
      <c r="P29" s="2292"/>
      <c r="Q29" s="2292"/>
      <c r="R29" s="2292"/>
      <c r="S29" s="2292"/>
      <c r="T29" s="2293"/>
    </row>
    <row r="30" spans="1:20">
      <c r="A30" s="2291"/>
      <c r="B30" s="2292"/>
      <c r="C30" s="2292"/>
      <c r="D30" s="2292"/>
      <c r="E30" s="2292"/>
      <c r="F30" s="2292"/>
      <c r="G30" s="2292"/>
      <c r="H30" s="2292"/>
      <c r="I30" s="2292"/>
      <c r="J30" s="2292"/>
      <c r="K30" s="2292"/>
      <c r="L30" s="2292"/>
      <c r="M30" s="2292"/>
      <c r="N30" s="2292"/>
      <c r="O30" s="2292"/>
      <c r="P30" s="2292"/>
      <c r="Q30" s="2292"/>
      <c r="R30" s="2292"/>
      <c r="S30" s="2292"/>
      <c r="T30" s="2293"/>
    </row>
    <row r="31" spans="1:20">
      <c r="A31" s="2291"/>
      <c r="B31" s="2292"/>
      <c r="C31" s="2292"/>
      <c r="D31" s="2292"/>
      <c r="E31" s="2292"/>
      <c r="F31" s="2292"/>
      <c r="G31" s="2292"/>
      <c r="H31" s="2292"/>
      <c r="I31" s="2292"/>
      <c r="J31" s="2292"/>
      <c r="K31" s="2292"/>
      <c r="L31" s="2292"/>
      <c r="M31" s="2292"/>
      <c r="N31" s="2292"/>
      <c r="O31" s="2292"/>
      <c r="P31" s="2292"/>
      <c r="Q31" s="2292"/>
      <c r="R31" s="2292"/>
      <c r="S31" s="2292"/>
      <c r="T31" s="2293"/>
    </row>
    <row r="32" spans="1:20" ht="15" customHeight="1">
      <c r="A32" s="2291"/>
      <c r="B32" s="2292"/>
      <c r="C32" s="2292"/>
      <c r="D32" s="2292"/>
      <c r="E32" s="2292"/>
      <c r="F32" s="2292"/>
      <c r="G32" s="2292"/>
      <c r="H32" s="2292"/>
      <c r="I32" s="2292"/>
      <c r="J32" s="2292"/>
      <c r="K32" s="2292"/>
      <c r="L32" s="2292"/>
      <c r="M32" s="2292"/>
      <c r="N32" s="2292"/>
      <c r="O32" s="2292"/>
      <c r="P32" s="2292"/>
      <c r="Q32" s="2292"/>
      <c r="R32" s="2292"/>
      <c r="S32" s="2292"/>
      <c r="T32" s="2293"/>
    </row>
    <row r="33" spans="1:20">
      <c r="A33" s="2291"/>
      <c r="B33" s="2292"/>
      <c r="C33" s="2292"/>
      <c r="D33" s="2292"/>
      <c r="E33" s="2292"/>
      <c r="F33" s="2292"/>
      <c r="G33" s="2292"/>
      <c r="H33" s="2292"/>
      <c r="I33" s="2292"/>
      <c r="J33" s="2292"/>
      <c r="K33" s="2292"/>
      <c r="L33" s="2292"/>
      <c r="M33" s="2292"/>
      <c r="N33" s="2292"/>
      <c r="O33" s="2292"/>
      <c r="P33" s="2292"/>
      <c r="Q33" s="2292"/>
      <c r="R33" s="2292"/>
      <c r="S33" s="2292"/>
      <c r="T33" s="2293"/>
    </row>
    <row r="34" spans="1:20" ht="44.25" customHeight="1">
      <c r="A34" s="2294"/>
      <c r="B34" s="2295"/>
      <c r="C34" s="2295"/>
      <c r="D34" s="2295"/>
      <c r="E34" s="2295"/>
      <c r="F34" s="2295"/>
      <c r="G34" s="2295"/>
      <c r="H34" s="2295"/>
      <c r="I34" s="2295"/>
      <c r="J34" s="2295"/>
      <c r="K34" s="2295"/>
      <c r="L34" s="2295"/>
      <c r="M34" s="2295"/>
      <c r="N34" s="2295"/>
      <c r="O34" s="2295"/>
      <c r="P34" s="2295"/>
      <c r="Q34" s="2295"/>
      <c r="R34" s="2295"/>
      <c r="S34" s="2295"/>
      <c r="T34" s="2296"/>
    </row>
    <row r="35" spans="1:20" ht="9.75" customHeight="1">
      <c r="A35" s="856"/>
      <c r="B35" s="866"/>
      <c r="C35" s="866"/>
      <c r="D35" s="866"/>
      <c r="E35" s="866"/>
      <c r="F35" s="866"/>
      <c r="G35" s="866"/>
      <c r="H35" s="866"/>
      <c r="I35" s="866"/>
      <c r="J35" s="866" t="s">
        <v>342</v>
      </c>
      <c r="K35" s="866"/>
      <c r="L35" s="866"/>
      <c r="M35" s="866"/>
      <c r="N35" s="866"/>
      <c r="O35" s="866"/>
      <c r="P35" s="866"/>
      <c r="Q35" s="866"/>
      <c r="R35" s="866"/>
      <c r="S35" s="866"/>
      <c r="T35" s="867"/>
    </row>
    <row r="36" spans="1:20" ht="18.75" customHeight="1">
      <c r="A36" s="820"/>
      <c r="B36" s="2246"/>
      <c r="C36" s="2247"/>
      <c r="D36" s="2246"/>
      <c r="E36" s="2246"/>
      <c r="F36" s="2246"/>
      <c r="G36" s="2246"/>
      <c r="H36" s="822"/>
      <c r="I36" s="868"/>
      <c r="J36" s="882" t="s">
        <v>406</v>
      </c>
      <c r="K36" s="821"/>
      <c r="L36" s="2246"/>
      <c r="M36" s="2247"/>
      <c r="N36" s="2246"/>
      <c r="O36" s="2246"/>
      <c r="P36" s="2246"/>
      <c r="Q36" s="2246"/>
      <c r="R36" s="2246"/>
      <c r="S36" s="2246"/>
      <c r="T36" s="2288"/>
    </row>
    <row r="37" spans="1:20">
      <c r="A37" s="989" t="s">
        <v>339</v>
      </c>
      <c r="B37" s="823"/>
      <c r="C37" s="823"/>
      <c r="D37" s="823"/>
      <c r="E37" s="823"/>
      <c r="F37" s="823"/>
      <c r="G37" s="823"/>
      <c r="H37" s="297"/>
      <c r="I37" s="823"/>
      <c r="J37" s="984"/>
      <c r="K37" s="823"/>
      <c r="L37" s="823"/>
      <c r="M37" s="823"/>
      <c r="N37" s="823"/>
      <c r="O37" s="823"/>
      <c r="P37" s="823"/>
      <c r="Q37" s="823"/>
      <c r="R37" s="823"/>
      <c r="S37" s="866"/>
      <c r="T37" s="867"/>
    </row>
    <row r="38" spans="1:20" ht="27" customHeight="1">
      <c r="A38" s="983"/>
      <c r="B38" s="982"/>
      <c r="C38" s="982"/>
      <c r="D38" s="982"/>
      <c r="E38" s="982"/>
      <c r="F38" s="982"/>
      <c r="G38" s="982"/>
      <c r="H38" s="869"/>
      <c r="I38" s="870"/>
      <c r="J38" s="990"/>
      <c r="K38" s="2251" t="s">
        <v>161</v>
      </c>
      <c r="L38" s="2252"/>
      <c r="M38" s="2252"/>
      <c r="N38" s="2253"/>
      <c r="O38" s="963"/>
      <c r="P38" s="1219" t="s">
        <v>160</v>
      </c>
      <c r="Q38" s="1220"/>
      <c r="R38" s="1220"/>
      <c r="S38" s="1221"/>
      <c r="T38" s="829"/>
    </row>
    <row r="39" spans="1:20" ht="15.75" customHeight="1">
      <c r="C39" s="2254" t="s">
        <v>409</v>
      </c>
      <c r="D39" s="2255"/>
      <c r="E39" s="2255"/>
      <c r="F39" s="2256"/>
      <c r="G39" s="825"/>
      <c r="H39" s="869"/>
      <c r="I39" s="870"/>
      <c r="J39" s="980" t="s">
        <v>692</v>
      </c>
      <c r="K39" s="979" t="s">
        <v>159</v>
      </c>
      <c r="L39" s="979" t="s">
        <v>520</v>
      </c>
      <c r="M39" s="979" t="s">
        <v>521</v>
      </c>
      <c r="N39" s="979" t="s">
        <v>522</v>
      </c>
      <c r="O39" s="963"/>
      <c r="P39" s="978" t="s">
        <v>159</v>
      </c>
      <c r="Q39" s="977" t="s">
        <v>520</v>
      </c>
      <c r="R39" s="977" t="s">
        <v>521</v>
      </c>
      <c r="S39" s="976" t="s">
        <v>522</v>
      </c>
      <c r="T39" s="967"/>
    </row>
    <row r="40" spans="1:20" ht="15.75" customHeight="1">
      <c r="C40" s="2240" t="s">
        <v>160</v>
      </c>
      <c r="D40" s="2241"/>
      <c r="E40" s="2241"/>
      <c r="F40" s="2242"/>
      <c r="G40" s="825"/>
      <c r="H40" s="826"/>
      <c r="I40" s="870"/>
      <c r="J40" s="966" t="s">
        <v>523</v>
      </c>
      <c r="K40" s="974">
        <v>43857.894348770053</v>
      </c>
      <c r="L40" s="974">
        <v>7252.0927663320526</v>
      </c>
      <c r="M40" s="974">
        <v>6533</v>
      </c>
      <c r="N40" s="974">
        <v>-719.0927663320457</v>
      </c>
      <c r="O40" s="952"/>
      <c r="P40" s="973">
        <v>33287.60633273737</v>
      </c>
      <c r="Q40" s="972">
        <v>5504.2498660431784</v>
      </c>
      <c r="R40" s="972">
        <v>5606.9863375657305</v>
      </c>
      <c r="S40" s="971">
        <v>102.73647152254348</v>
      </c>
      <c r="T40" s="967"/>
    </row>
    <row r="41" spans="1:20" ht="15.75" customHeight="1">
      <c r="A41" s="959"/>
      <c r="C41" s="1244" t="s">
        <v>159</v>
      </c>
      <c r="D41" s="1244" t="s">
        <v>520</v>
      </c>
      <c r="E41" s="1244" t="s">
        <v>521</v>
      </c>
      <c r="F41" s="1244" t="s">
        <v>522</v>
      </c>
      <c r="G41" s="825"/>
      <c r="H41" s="826"/>
      <c r="I41" s="870"/>
      <c r="J41" s="966" t="s">
        <v>524</v>
      </c>
      <c r="K41" s="964">
        <v>9637.4876252529994</v>
      </c>
      <c r="L41" s="964">
        <v>1593.6003159867155</v>
      </c>
      <c r="M41" s="964">
        <v>2181</v>
      </c>
      <c r="N41" s="964">
        <v>587.39968401328417</v>
      </c>
      <c r="O41" s="963"/>
      <c r="P41" s="943">
        <v>26534.426017131253</v>
      </c>
      <c r="Q41" s="942">
        <v>4387.582254801232</v>
      </c>
      <c r="R41" s="942">
        <v>5475.7078142522214</v>
      </c>
      <c r="S41" s="941">
        <v>1088.1255594509887</v>
      </c>
      <c r="T41" s="967"/>
    </row>
    <row r="42" spans="1:20" ht="15.75" customHeight="1">
      <c r="A42" s="975" t="s">
        <v>158</v>
      </c>
      <c r="B42" s="1005"/>
      <c r="C42" s="991">
        <v>190715.85472920371</v>
      </c>
      <c r="D42" s="991">
        <v>47687.095642559565</v>
      </c>
      <c r="E42" s="991">
        <v>47235.305863602851</v>
      </c>
      <c r="F42" s="991">
        <v>-451.78977895671414</v>
      </c>
      <c r="G42" s="825"/>
      <c r="H42" s="827"/>
      <c r="I42" s="828"/>
      <c r="J42" s="970" t="s">
        <v>525</v>
      </c>
      <c r="K42" s="969">
        <v>3063.0800281939996</v>
      </c>
      <c r="L42" s="969">
        <v>506.49354796908671</v>
      </c>
      <c r="M42" s="969">
        <v>466</v>
      </c>
      <c r="N42" s="969">
        <v>-40.493547969086599</v>
      </c>
      <c r="O42" s="968"/>
      <c r="P42" s="943">
        <v>754.64521553186637</v>
      </c>
      <c r="Q42" s="942">
        <v>124.78385453676525</v>
      </c>
      <c r="R42" s="942">
        <v>113.84341582408003</v>
      </c>
      <c r="S42" s="941">
        <v>-10.940438712685232</v>
      </c>
      <c r="T42" s="967"/>
    </row>
    <row r="43" spans="1:20" ht="15.75" customHeight="1">
      <c r="A43" s="961" t="s">
        <v>157</v>
      </c>
      <c r="B43" s="1003"/>
      <c r="C43" s="992">
        <v>87931.864299617213</v>
      </c>
      <c r="D43" s="992">
        <v>21986.715414082046</v>
      </c>
      <c r="E43" s="992">
        <v>20349.713344517459</v>
      </c>
      <c r="F43" s="992">
        <v>-1637.0020695645871</v>
      </c>
      <c r="G43" s="825"/>
      <c r="H43" s="827"/>
      <c r="I43" s="828"/>
      <c r="J43" s="970" t="s">
        <v>526</v>
      </c>
      <c r="K43" s="969">
        <v>6925.1014362759906</v>
      </c>
      <c r="L43" s="969">
        <v>1157.3457194872221</v>
      </c>
      <c r="M43" s="969">
        <v>1268</v>
      </c>
      <c r="N43" s="969">
        <v>110.65428051277806</v>
      </c>
      <c r="O43" s="968"/>
      <c r="P43" s="943">
        <v>5342.2445240211346</v>
      </c>
      <c r="Q43" s="942">
        <v>892.81346839805235</v>
      </c>
      <c r="R43" s="942">
        <v>988.32798333599953</v>
      </c>
      <c r="S43" s="941">
        <v>95.514514937947595</v>
      </c>
      <c r="T43" s="967"/>
    </row>
    <row r="44" spans="1:20" ht="15.75" customHeight="1">
      <c r="A44" s="961" t="s">
        <v>60</v>
      </c>
      <c r="B44" s="1003"/>
      <c r="C44" s="992">
        <v>64394.312957945651</v>
      </c>
      <c r="D44" s="992">
        <v>16101.323957689026</v>
      </c>
      <c r="E44" s="992">
        <v>15274.458149186137</v>
      </c>
      <c r="F44" s="992">
        <v>-826.86580850288919</v>
      </c>
      <c r="G44" s="825"/>
      <c r="H44" s="829"/>
      <c r="I44" s="828"/>
      <c r="J44" s="966" t="s">
        <v>527</v>
      </c>
      <c r="K44" s="965">
        <v>36608.090171827971</v>
      </c>
      <c r="L44" s="965">
        <v>6118.0643848808613</v>
      </c>
      <c r="M44" s="964">
        <v>6481</v>
      </c>
      <c r="N44" s="964">
        <v>362.9356151191559</v>
      </c>
      <c r="O44" s="963"/>
      <c r="P44" s="943">
        <v>80493.111635774389</v>
      </c>
      <c r="Q44" s="942">
        <v>13452.273451458173</v>
      </c>
      <c r="R44" s="942">
        <v>15280.079451850273</v>
      </c>
      <c r="S44" s="941">
        <v>1827.8060003920887</v>
      </c>
      <c r="T44" s="967"/>
    </row>
    <row r="45" spans="1:20" ht="15.75" customHeight="1">
      <c r="A45" s="961" t="s">
        <v>59</v>
      </c>
      <c r="B45" s="1003"/>
      <c r="C45" s="992">
        <v>26501.165413230043</v>
      </c>
      <c r="D45" s="992">
        <v>6626.4213402414971</v>
      </c>
      <c r="E45" s="992">
        <v>8997.1859607049701</v>
      </c>
      <c r="F45" s="992">
        <v>2370.764620463473</v>
      </c>
      <c r="G45" s="825"/>
      <c r="H45" s="867"/>
      <c r="I45" s="866"/>
      <c r="J45" s="954" t="s">
        <v>528</v>
      </c>
      <c r="K45" s="953">
        <v>3453.0450470369988</v>
      </c>
      <c r="L45" s="953">
        <v>577.08424073769038</v>
      </c>
      <c r="M45" s="953">
        <v>818</v>
      </c>
      <c r="N45" s="953">
        <v>240.91575926230931</v>
      </c>
      <c r="O45" s="952"/>
      <c r="P45" s="943">
        <v>2163.3078597551207</v>
      </c>
      <c r="Q45" s="942">
        <v>361.5391217672942</v>
      </c>
      <c r="R45" s="942">
        <v>525.49967957400008</v>
      </c>
      <c r="S45" s="941">
        <v>163.96055780670594</v>
      </c>
      <c r="T45" s="962"/>
    </row>
    <row r="46" spans="1:20" ht="15.75" customHeight="1">
      <c r="A46" s="961" t="s">
        <v>58</v>
      </c>
      <c r="B46" s="1003"/>
      <c r="C46" s="992">
        <v>14319.361226063302</v>
      </c>
      <c r="D46" s="992">
        <v>3580.4508717810199</v>
      </c>
      <c r="E46" s="992">
        <v>5032.4449559333743</v>
      </c>
      <c r="F46" s="992">
        <v>1451.9940841523544</v>
      </c>
      <c r="G46" s="825"/>
      <c r="H46" s="831"/>
      <c r="I46" s="828"/>
      <c r="J46" s="951" t="s">
        <v>529</v>
      </c>
      <c r="K46" s="950">
        <v>28755.53853321401</v>
      </c>
      <c r="L46" s="950">
        <v>4805.7201384275495</v>
      </c>
      <c r="M46" s="950">
        <v>5952</v>
      </c>
      <c r="N46" s="950">
        <v>1146.279861572455</v>
      </c>
      <c r="O46" s="958"/>
      <c r="P46" s="943">
        <v>7047.7117592768882</v>
      </c>
      <c r="Q46" s="942">
        <v>1177.8367597695626</v>
      </c>
      <c r="R46" s="942">
        <v>1388.2454080442794</v>
      </c>
      <c r="S46" s="941">
        <v>210.40864827471773</v>
      </c>
      <c r="T46" s="940"/>
    </row>
    <row r="47" spans="1:20" ht="15.75" customHeight="1">
      <c r="A47" s="961" t="s">
        <v>57</v>
      </c>
      <c r="B47" s="1003"/>
      <c r="C47" s="992">
        <v>11345.56844687187</v>
      </c>
      <c r="D47" s="992">
        <v>2836.8758770129539</v>
      </c>
      <c r="E47" s="992">
        <v>3178.5587720918193</v>
      </c>
      <c r="F47" s="992">
        <v>341.68289507886539</v>
      </c>
      <c r="G47" s="825"/>
      <c r="H47" s="833"/>
      <c r="I47" s="828"/>
      <c r="J47" s="954" t="s">
        <v>530</v>
      </c>
      <c r="K47" s="950">
        <v>160972.43747835309</v>
      </c>
      <c r="L47" s="950">
        <v>26617.489662163978</v>
      </c>
      <c r="M47" s="950">
        <v>26452</v>
      </c>
      <c r="N47" s="950">
        <v>-165.4896621639989</v>
      </c>
      <c r="O47" s="958"/>
      <c r="P47" s="943">
        <v>21277.329342240129</v>
      </c>
      <c r="Q47" s="942">
        <v>3518.8579513968739</v>
      </c>
      <c r="R47" s="942">
        <v>3834.0380358990024</v>
      </c>
      <c r="S47" s="941">
        <v>315.18008450212761</v>
      </c>
      <c r="T47" s="940"/>
    </row>
    <row r="48" spans="1:20" ht="15.75" customHeight="1">
      <c r="A48" s="961" t="s">
        <v>56</v>
      </c>
      <c r="B48" s="1003"/>
      <c r="C48" s="992">
        <v>5677.6368327907239</v>
      </c>
      <c r="D48" s="992">
        <v>1419.6512977562697</v>
      </c>
      <c r="E48" s="992">
        <v>1701.4901007731232</v>
      </c>
      <c r="F48" s="992">
        <v>281.83880301685349</v>
      </c>
      <c r="G48" s="825"/>
      <c r="H48" s="833"/>
      <c r="I48" s="171"/>
      <c r="J48" s="951" t="s">
        <v>531</v>
      </c>
      <c r="K48" s="950">
        <v>328385.17422043619</v>
      </c>
      <c r="L48" s="950">
        <v>54299.91069855402</v>
      </c>
      <c r="M48" s="950">
        <v>55349</v>
      </c>
      <c r="N48" s="950">
        <v>1049.0893014459944</v>
      </c>
      <c r="O48" s="958"/>
      <c r="P48" s="943">
        <v>27550.082436925437</v>
      </c>
      <c r="Q48" s="942">
        <v>4555.8703986777737</v>
      </c>
      <c r="R48" s="942">
        <v>5266.9477942880067</v>
      </c>
      <c r="S48" s="941">
        <v>711.07739561022697</v>
      </c>
      <c r="T48" s="940"/>
    </row>
    <row r="49" spans="1:28" ht="15.75" customHeight="1">
      <c r="A49" s="960" t="s">
        <v>55</v>
      </c>
      <c r="B49" s="855"/>
      <c r="C49" s="993">
        <v>9529.3970942774922</v>
      </c>
      <c r="D49" s="993">
        <v>2382.7555988776153</v>
      </c>
      <c r="E49" s="993">
        <v>2101.0460454280392</v>
      </c>
      <c r="F49" s="993">
        <v>-281.70955344957611</v>
      </c>
      <c r="G49" s="825"/>
      <c r="H49" s="833"/>
      <c r="I49" s="171"/>
      <c r="J49" s="951" t="s">
        <v>532</v>
      </c>
      <c r="K49" s="950">
        <v>48616.314460952992</v>
      </c>
      <c r="L49" s="950">
        <v>8038.9181392660021</v>
      </c>
      <c r="M49" s="950">
        <v>10146</v>
      </c>
      <c r="N49" s="950">
        <v>2107.0818607339988</v>
      </c>
      <c r="O49" s="958"/>
      <c r="P49" s="943">
        <v>8358.5121542962152</v>
      </c>
      <c r="Q49" s="942">
        <v>1382.1161830078406</v>
      </c>
      <c r="R49" s="942">
        <v>1502.1382888299997</v>
      </c>
      <c r="S49" s="941">
        <v>120.02210582215967</v>
      </c>
      <c r="T49" s="940"/>
    </row>
    <row r="50" spans="1:28" ht="15.75" customHeight="1">
      <c r="A50" s="959"/>
      <c r="C50" s="994">
        <v>410415.16099999996</v>
      </c>
      <c r="D50" s="994">
        <v>102621.29000000001</v>
      </c>
      <c r="E50" s="994">
        <v>103870.20319223776</v>
      </c>
      <c r="F50" s="994">
        <v>1248.9131922377796</v>
      </c>
      <c r="G50" s="825"/>
      <c r="H50" s="834"/>
      <c r="I50" s="171"/>
      <c r="J50" s="951" t="s">
        <v>872</v>
      </c>
      <c r="K50" s="950">
        <v>304493.0286083144</v>
      </c>
      <c r="L50" s="950">
        <v>50658.870740945706</v>
      </c>
      <c r="M50" s="950">
        <v>48731.937089332139</v>
      </c>
      <c r="N50" s="950">
        <v>-1926.9336516135845</v>
      </c>
      <c r="O50" s="958"/>
      <c r="P50" s="943">
        <v>84396.912064404823</v>
      </c>
      <c r="Q50" s="942">
        <v>14074.797070427361</v>
      </c>
      <c r="R50" s="942">
        <v>13818.601736387345</v>
      </c>
      <c r="S50" s="941">
        <v>-256.19533404002726</v>
      </c>
      <c r="T50" s="957"/>
    </row>
    <row r="51" spans="1:28" ht="15.75" customHeight="1">
      <c r="A51" s="959"/>
      <c r="B51" s="830"/>
      <c r="C51" s="825"/>
      <c r="D51" s="830"/>
      <c r="E51" s="825"/>
      <c r="F51" s="830"/>
      <c r="G51" s="825"/>
      <c r="H51" s="833"/>
      <c r="I51" s="871"/>
      <c r="J51" s="954" t="s">
        <v>533</v>
      </c>
      <c r="K51" s="953">
        <v>2988563.4874641108</v>
      </c>
      <c r="L51" s="953">
        <v>499457.58739124233</v>
      </c>
      <c r="M51" s="953">
        <v>536865.17261620203</v>
      </c>
      <c r="N51" s="953">
        <v>37407.585224959621</v>
      </c>
      <c r="O51" s="952"/>
      <c r="P51" s="943">
        <v>13500.79827594674</v>
      </c>
      <c r="Q51" s="942">
        <v>2255.0582371130799</v>
      </c>
      <c r="R51" s="942">
        <v>3305.9868300344929</v>
      </c>
      <c r="S51" s="941">
        <v>1050.9285929214132</v>
      </c>
      <c r="T51" s="957"/>
    </row>
    <row r="52" spans="1:28" ht="15.75" customHeight="1">
      <c r="A52" s="939" t="s">
        <v>408</v>
      </c>
      <c r="B52" s="956"/>
      <c r="C52" s="955"/>
      <c r="D52" s="956"/>
      <c r="E52" s="955"/>
      <c r="F52" s="956"/>
      <c r="G52" s="955"/>
      <c r="H52" s="833"/>
      <c r="I52" s="871"/>
      <c r="J52" s="951" t="s">
        <v>358</v>
      </c>
      <c r="K52" s="950">
        <v>142591.914744913</v>
      </c>
      <c r="L52" s="950">
        <v>23830.429587336996</v>
      </c>
      <c r="M52" s="950">
        <v>25374</v>
      </c>
      <c r="N52" s="950">
        <v>1543.5704126629998</v>
      </c>
      <c r="O52" s="949"/>
      <c r="P52" s="943">
        <v>14855.976502714235</v>
      </c>
      <c r="Q52" s="942">
        <v>2482.7796346935015</v>
      </c>
      <c r="R52" s="942">
        <v>2693.5057577369989</v>
      </c>
      <c r="S52" s="941">
        <v>210.72612304349826</v>
      </c>
      <c r="T52" s="940"/>
    </row>
    <row r="53" spans="1:28">
      <c r="A53" s="856"/>
      <c r="B53" s="866"/>
      <c r="C53" s="866"/>
      <c r="D53" s="866"/>
      <c r="E53" s="866"/>
      <c r="F53" s="866"/>
      <c r="G53" s="866"/>
      <c r="H53" s="833"/>
      <c r="I53" s="871"/>
      <c r="J53" s="946" t="s">
        <v>534</v>
      </c>
      <c r="K53" s="945">
        <v>75440.620965386959</v>
      </c>
      <c r="L53" s="945">
        <v>12607.884599694822</v>
      </c>
      <c r="M53" s="945">
        <v>13379</v>
      </c>
      <c r="N53" s="945">
        <v>771.11540030518699</v>
      </c>
      <c r="O53" s="944"/>
      <c r="P53" s="943">
        <v>36261.896194662477</v>
      </c>
      <c r="Q53" s="942">
        <v>6060.2073092449637</v>
      </c>
      <c r="R53" s="942">
        <v>6564.992540000002</v>
      </c>
      <c r="S53" s="941">
        <v>504.78523075503523</v>
      </c>
      <c r="T53" s="948"/>
    </row>
    <row r="54" spans="1:28" ht="30.75" customHeight="1">
      <c r="A54" s="916" t="s">
        <v>715</v>
      </c>
      <c r="B54" s="917"/>
      <c r="C54" s="917"/>
      <c r="D54" s="917"/>
      <c r="E54" s="947" t="s">
        <v>701</v>
      </c>
      <c r="F54" s="914"/>
      <c r="G54" s="915" t="s">
        <v>405</v>
      </c>
      <c r="H54" s="835"/>
      <c r="I54" s="871"/>
      <c r="J54" s="1243" t="s">
        <v>407</v>
      </c>
      <c r="K54" s="1241"/>
      <c r="L54" s="1241"/>
      <c r="M54" s="1241"/>
      <c r="N54" s="1241"/>
      <c r="O54" s="1241"/>
      <c r="P54" s="995">
        <v>361824.56031541806</v>
      </c>
      <c r="Q54" s="996">
        <v>60230.765561335662</v>
      </c>
      <c r="R54" s="996">
        <v>66364.90107362243</v>
      </c>
      <c r="S54" s="997">
        <v>6134.1355122867408</v>
      </c>
      <c r="T54" s="1242"/>
    </row>
    <row r="55" spans="1:28" ht="15" customHeight="1">
      <c r="A55" s="856"/>
      <c r="B55" s="866"/>
      <c r="C55" s="866"/>
      <c r="D55" s="866"/>
      <c r="E55" s="866"/>
      <c r="F55" s="866"/>
      <c r="G55" s="867"/>
      <c r="H55" s="836"/>
      <c r="I55" s="866"/>
      <c r="J55" s="1004"/>
      <c r="K55" s="818"/>
      <c r="L55" s="818"/>
      <c r="M55" s="818"/>
      <c r="N55" s="818"/>
      <c r="O55" s="818"/>
      <c r="P55" s="818"/>
      <c r="Q55" s="818"/>
      <c r="R55" s="818"/>
      <c r="S55" s="818"/>
      <c r="T55" s="1246"/>
    </row>
    <row r="56" spans="1:28" ht="15" customHeight="1">
      <c r="A56" s="832" t="s">
        <v>693</v>
      </c>
      <c r="B56" s="866"/>
      <c r="C56" s="866"/>
      <c r="D56" s="866"/>
      <c r="E56" s="874">
        <f>M68</f>
        <v>66364.901073622401</v>
      </c>
      <c r="F56" s="874"/>
      <c r="G56" s="998">
        <f>E56/2*3</f>
        <v>99547.351610433601</v>
      </c>
      <c r="H56" s="867"/>
      <c r="I56" s="871"/>
      <c r="J56" s="999"/>
      <c r="K56" s="938"/>
      <c r="L56" s="938"/>
      <c r="M56" s="938"/>
      <c r="N56" s="938"/>
      <c r="O56" s="938"/>
      <c r="P56" s="938"/>
      <c r="Q56" s="938"/>
      <c r="R56" s="938"/>
      <c r="S56" s="938"/>
      <c r="T56" s="869"/>
    </row>
    <row r="57" spans="1:28" ht="15" customHeight="1">
      <c r="A57" s="832" t="s">
        <v>694</v>
      </c>
      <c r="B57" s="866"/>
      <c r="C57" s="866"/>
      <c r="D57" s="866"/>
      <c r="E57" s="874">
        <v>3073.27986441844</v>
      </c>
      <c r="F57" s="874"/>
      <c r="G57" s="998">
        <f>E57/2*3</f>
        <v>4609.9197966276597</v>
      </c>
      <c r="H57" s="867"/>
      <c r="I57" s="871"/>
      <c r="J57" s="911"/>
      <c r="K57" s="913"/>
      <c r="L57" s="912"/>
      <c r="M57" s="912"/>
      <c r="N57" s="171"/>
      <c r="O57" s="815"/>
      <c r="P57" s="171"/>
      <c r="Q57" s="171"/>
      <c r="R57" s="171"/>
      <c r="S57" s="176"/>
      <c r="T57" s="869"/>
    </row>
    <row r="58" spans="1:28" ht="15" customHeight="1">
      <c r="A58" s="838" t="s">
        <v>695</v>
      </c>
      <c r="B58" s="866"/>
      <c r="C58" s="866"/>
      <c r="D58" s="866"/>
      <c r="E58" s="875">
        <f>(G58/3*2)*95%</f>
        <v>1566.6989574145464</v>
      </c>
      <c r="F58" s="875"/>
      <c r="G58" s="1000">
        <v>2473.7351959177049</v>
      </c>
      <c r="H58" s="867"/>
      <c r="I58" s="871"/>
      <c r="J58" s="984"/>
      <c r="K58" s="2240" t="s">
        <v>160</v>
      </c>
      <c r="L58" s="2241"/>
      <c r="M58" s="2241"/>
      <c r="N58" s="2242"/>
      <c r="O58" s="1245"/>
      <c r="P58" s="171"/>
      <c r="Q58" s="171"/>
      <c r="R58" s="171"/>
      <c r="S58" s="176"/>
      <c r="T58" s="869"/>
    </row>
    <row r="59" spans="1:28" s="840" customFormat="1" ht="15" customHeight="1">
      <c r="A59" s="838" t="s">
        <v>340</v>
      </c>
      <c r="B59" s="876"/>
      <c r="C59" s="876"/>
      <c r="D59" s="876"/>
      <c r="E59" s="875">
        <v>-1927.3879999999999</v>
      </c>
      <c r="F59" s="875"/>
      <c r="G59" s="1000">
        <f>(E59/2*3)</f>
        <v>-2891.0819999999999</v>
      </c>
      <c r="H59" s="872"/>
      <c r="I59" s="839"/>
      <c r="J59" s="1247"/>
      <c r="K59" s="981" t="s">
        <v>159</v>
      </c>
      <c r="L59" s="981" t="s">
        <v>520</v>
      </c>
      <c r="M59" s="981" t="s">
        <v>521</v>
      </c>
      <c r="N59" s="981" t="s">
        <v>522</v>
      </c>
      <c r="O59" s="1001"/>
      <c r="P59" s="171"/>
      <c r="Q59" s="171"/>
      <c r="R59" s="171"/>
      <c r="S59" s="176"/>
      <c r="T59" s="869"/>
    </row>
    <row r="60" spans="1:28" ht="15" customHeight="1">
      <c r="A60" s="832"/>
      <c r="B60" s="866"/>
      <c r="C60" s="866"/>
      <c r="D60" s="866"/>
      <c r="E60" s="874"/>
      <c r="F60" s="874"/>
      <c r="G60" s="998"/>
      <c r="H60" s="867"/>
      <c r="I60" s="866"/>
      <c r="J60" s="1249" t="s">
        <v>158</v>
      </c>
      <c r="K60" s="992">
        <v>172645.40163179892</v>
      </c>
      <c r="L60" s="992">
        <v>28740.976829697705</v>
      </c>
      <c r="M60" s="991">
        <v>30345.764571839933</v>
      </c>
      <c r="N60" s="991">
        <v>1604.7877421422527</v>
      </c>
      <c r="O60" s="815"/>
      <c r="P60" s="873"/>
      <c r="Q60" s="873"/>
      <c r="R60" s="873"/>
      <c r="S60" s="823"/>
      <c r="T60" s="841"/>
      <c r="U60" s="842"/>
      <c r="V60" s="842"/>
      <c r="W60" s="175"/>
      <c r="X60" s="842"/>
      <c r="Y60" s="842"/>
      <c r="Z60" s="175"/>
      <c r="AA60" s="171"/>
      <c r="AB60" s="843"/>
    </row>
    <row r="61" spans="1:28" ht="15" customHeight="1">
      <c r="A61" s="844" t="s">
        <v>696</v>
      </c>
      <c r="B61" s="866"/>
      <c r="C61" s="866"/>
      <c r="D61" s="866"/>
      <c r="E61" s="874"/>
      <c r="F61" s="874"/>
      <c r="G61" s="998"/>
      <c r="H61" s="867"/>
      <c r="I61" s="866"/>
      <c r="J61" s="1250" t="s">
        <v>157</v>
      </c>
      <c r="K61" s="992">
        <v>75965.122654711406</v>
      </c>
      <c r="L61" s="992">
        <v>12645.898323272377</v>
      </c>
      <c r="M61" s="992">
        <v>12649.366660031139</v>
      </c>
      <c r="N61" s="992">
        <v>3.4683367588008576</v>
      </c>
      <c r="O61" s="815"/>
      <c r="P61" s="171"/>
      <c r="Q61" s="171"/>
      <c r="R61" s="171"/>
      <c r="S61" s="171"/>
      <c r="T61" s="603"/>
      <c r="U61" s="187"/>
      <c r="V61" s="187"/>
      <c r="W61" s="187"/>
      <c r="X61" s="187"/>
      <c r="Y61" s="187"/>
      <c r="Z61" s="187"/>
      <c r="AA61" s="176"/>
      <c r="AB61" s="845"/>
    </row>
    <row r="62" spans="1:28" ht="15" customHeight="1">
      <c r="A62" s="832" t="s">
        <v>697</v>
      </c>
      <c r="B62" s="866"/>
      <c r="C62" s="866"/>
      <c r="D62" s="866"/>
      <c r="E62" s="874"/>
      <c r="F62" s="874"/>
      <c r="G62" s="998">
        <v>523.83500000000004</v>
      </c>
      <c r="H62" s="867"/>
      <c r="I62" s="866"/>
      <c r="J62" s="1250" t="s">
        <v>60</v>
      </c>
      <c r="K62" s="992">
        <v>56443.595291749771</v>
      </c>
      <c r="L62" s="992">
        <v>9395.3240540450279</v>
      </c>
      <c r="M62" s="992">
        <v>9688.7802049722668</v>
      </c>
      <c r="N62" s="992">
        <v>293.45615092724341</v>
      </c>
      <c r="O62" s="815"/>
      <c r="P62" s="171"/>
      <c r="Q62" s="171"/>
      <c r="R62" s="171"/>
      <c r="S62" s="171"/>
      <c r="T62" s="603"/>
      <c r="U62" s="845"/>
      <c r="V62" s="845"/>
      <c r="W62" s="845"/>
      <c r="X62" s="845"/>
      <c r="Y62" s="845"/>
      <c r="Z62" s="845"/>
      <c r="AA62" s="845"/>
    </row>
    <row r="63" spans="1:28" ht="15" customHeight="1">
      <c r="A63" s="832" t="s">
        <v>698</v>
      </c>
      <c r="B63" s="866"/>
      <c r="C63" s="866"/>
      <c r="D63" s="866"/>
      <c r="E63" s="874"/>
      <c r="F63" s="874"/>
      <c r="G63" s="998">
        <v>485.21699999999998</v>
      </c>
      <c r="H63" s="867"/>
      <c r="I63" s="866"/>
      <c r="J63" s="1250" t="s">
        <v>59</v>
      </c>
      <c r="K63" s="992">
        <v>27166.025056210758</v>
      </c>
      <c r="L63" s="992">
        <v>4520.8785685881894</v>
      </c>
      <c r="M63" s="992">
        <v>5775.9547986444786</v>
      </c>
      <c r="N63" s="992">
        <v>1255.0762300562885</v>
      </c>
      <c r="O63" s="815"/>
      <c r="P63" s="171"/>
      <c r="Q63" s="171"/>
      <c r="R63" s="171"/>
      <c r="S63" s="171"/>
      <c r="T63" s="603"/>
      <c r="U63" s="187"/>
      <c r="V63" s="187"/>
      <c r="W63" s="187"/>
      <c r="X63" s="187"/>
      <c r="Y63" s="187"/>
      <c r="Z63" s="187"/>
      <c r="AA63" s="176"/>
      <c r="AB63" s="845"/>
    </row>
    <row r="64" spans="1:28" ht="15" customHeight="1">
      <c r="A64" s="832" t="s">
        <v>699</v>
      </c>
      <c r="B64" s="866"/>
      <c r="C64" s="866"/>
      <c r="D64" s="866"/>
      <c r="E64" s="874"/>
      <c r="F64" s="874"/>
      <c r="G64" s="998">
        <v>766.76599999999996</v>
      </c>
      <c r="H64" s="867"/>
      <c r="I64" s="866"/>
      <c r="J64" s="1250" t="s">
        <v>58</v>
      </c>
      <c r="K64" s="992">
        <v>13851.833853828897</v>
      </c>
      <c r="L64" s="992">
        <v>2304.7021621426661</v>
      </c>
      <c r="M64" s="992">
        <v>3322.9368830644485</v>
      </c>
      <c r="N64" s="992">
        <v>1018.2347209217787</v>
      </c>
      <c r="O64" s="815"/>
      <c r="P64" s="171"/>
      <c r="Q64" s="171"/>
      <c r="R64" s="171"/>
      <c r="S64" s="171"/>
      <c r="T64" s="603"/>
      <c r="U64" s="175"/>
      <c r="V64" s="175"/>
      <c r="W64" s="175"/>
      <c r="X64" s="175"/>
      <c r="Y64" s="175"/>
      <c r="Z64" s="175"/>
      <c r="AA64" s="171"/>
      <c r="AB64" s="845"/>
    </row>
    <row r="65" spans="1:28" ht="15" customHeight="1">
      <c r="A65" s="832" t="s">
        <v>700</v>
      </c>
      <c r="B65" s="866"/>
      <c r="C65" s="866"/>
      <c r="D65" s="866"/>
      <c r="E65" s="874"/>
      <c r="F65" s="874"/>
      <c r="G65" s="998">
        <f>619.556+13</f>
        <v>632.55600000000004</v>
      </c>
      <c r="H65" s="867"/>
      <c r="I65" s="866"/>
      <c r="J65" s="1250" t="s">
        <v>57</v>
      </c>
      <c r="K65" s="992">
        <v>10368.565477548787</v>
      </c>
      <c r="L65" s="992">
        <v>1726.6149413822445</v>
      </c>
      <c r="M65" s="992">
        <v>2115.0506679584009</v>
      </c>
      <c r="N65" s="992">
        <v>388.43572657615715</v>
      </c>
      <c r="O65" s="815"/>
      <c r="P65" s="846"/>
      <c r="Q65" s="846"/>
      <c r="R65" s="846"/>
      <c r="S65" s="846"/>
      <c r="T65" s="847"/>
    </row>
    <row r="66" spans="1:28" ht="15" customHeight="1">
      <c r="A66" s="832"/>
      <c r="B66" s="866"/>
      <c r="C66" s="866"/>
      <c r="D66" s="866"/>
      <c r="E66" s="866"/>
      <c r="F66" s="866"/>
      <c r="G66" s="867"/>
      <c r="H66" s="867"/>
      <c r="I66" s="866"/>
      <c r="J66" s="1250" t="s">
        <v>56</v>
      </c>
      <c r="K66" s="992">
        <v>5134.0163495696233</v>
      </c>
      <c r="L66" s="992">
        <v>854.70401554084845</v>
      </c>
      <c r="M66" s="992">
        <v>1086.551592154535</v>
      </c>
      <c r="N66" s="992">
        <v>231.84757661368477</v>
      </c>
      <c r="O66" s="815"/>
      <c r="P66" s="846"/>
      <c r="Q66" s="846"/>
      <c r="R66" s="846"/>
      <c r="S66" s="846"/>
      <c r="T66" s="847"/>
      <c r="U66" s="175"/>
      <c r="V66" s="175"/>
      <c r="W66" s="175"/>
      <c r="X66" s="175"/>
      <c r="Y66" s="175"/>
      <c r="Z66" s="175"/>
      <c r="AA66" s="171"/>
      <c r="AB66" s="845"/>
    </row>
    <row r="67" spans="1:28" ht="20.25" customHeight="1">
      <c r="A67" s="918" t="s">
        <v>54</v>
      </c>
      <c r="B67" s="919"/>
      <c r="C67" s="919"/>
      <c r="D67" s="919"/>
      <c r="E67" s="919"/>
      <c r="F67" s="919"/>
      <c r="G67" s="920">
        <f>SUM(G56:G66)</f>
        <v>106148.29860297898</v>
      </c>
      <c r="H67" s="1002"/>
      <c r="I67" s="862"/>
      <c r="J67" s="1251" t="s">
        <v>55</v>
      </c>
      <c r="K67" s="992">
        <v>249.99999999999596</v>
      </c>
      <c r="L67" s="992">
        <v>41.666666666666003</v>
      </c>
      <c r="M67" s="993">
        <v>1380.4956949571942</v>
      </c>
      <c r="N67" s="993">
        <v>1338.8290282905282</v>
      </c>
      <c r="O67" s="815"/>
      <c r="P67" s="854"/>
      <c r="Q67" s="853"/>
      <c r="R67" s="853"/>
      <c r="S67" s="853"/>
      <c r="T67" s="1248"/>
      <c r="U67" s="171"/>
      <c r="V67" s="171"/>
      <c r="W67" s="171"/>
      <c r="X67" s="171"/>
      <c r="Y67" s="171"/>
      <c r="Z67" s="171"/>
      <c r="AA67" s="171"/>
      <c r="AB67" s="845"/>
    </row>
    <row r="68" spans="1:28" ht="18.75" customHeight="1">
      <c r="J68" s="1247"/>
      <c r="K68" s="994">
        <v>361824.56031541812</v>
      </c>
      <c r="L68" s="994">
        <v>60230.76556133572</v>
      </c>
      <c r="M68" s="994">
        <v>66364.901073622401</v>
      </c>
      <c r="N68" s="994">
        <v>6134.1355122867344</v>
      </c>
      <c r="O68" s="815"/>
      <c r="P68" s="815"/>
      <c r="Q68" s="815"/>
      <c r="R68" s="815"/>
      <c r="S68" s="815"/>
      <c r="T68" s="1003"/>
      <c r="U68" s="171"/>
      <c r="V68" s="171"/>
      <c r="W68" s="171"/>
      <c r="X68" s="171"/>
      <c r="Y68" s="171"/>
      <c r="Z68" s="171"/>
      <c r="AA68" s="171"/>
      <c r="AB68" s="845"/>
    </row>
    <row r="69" spans="1:28">
      <c r="J69" s="857"/>
      <c r="K69" s="817"/>
      <c r="L69" s="817"/>
      <c r="M69" s="817"/>
      <c r="N69" s="817"/>
      <c r="O69" s="817"/>
      <c r="P69" s="817"/>
      <c r="Q69" s="817"/>
      <c r="R69" s="817"/>
      <c r="S69" s="817"/>
      <c r="T69" s="855"/>
      <c r="U69" s="171"/>
      <c r="V69" s="171"/>
      <c r="W69" s="171"/>
      <c r="X69" s="171"/>
      <c r="Y69" s="171"/>
      <c r="Z69" s="171"/>
      <c r="AA69" s="171"/>
      <c r="AB69" s="845"/>
    </row>
    <row r="70" spans="1:28" ht="19.5" customHeight="1">
      <c r="I70" s="848"/>
      <c r="J70" s="848"/>
      <c r="K70" s="848"/>
      <c r="L70" s="848"/>
      <c r="M70" s="848"/>
      <c r="N70" s="848"/>
      <c r="O70" s="848"/>
      <c r="P70" s="848"/>
      <c r="Q70" s="848"/>
      <c r="R70" s="848"/>
      <c r="S70" s="815"/>
      <c r="T70" s="815"/>
      <c r="U70" s="171"/>
      <c r="V70" s="171"/>
      <c r="W70" s="171"/>
      <c r="X70" s="171"/>
      <c r="Y70" s="171"/>
      <c r="Z70" s="171"/>
      <c r="AA70" s="171"/>
      <c r="AB70" s="845"/>
    </row>
    <row r="71" spans="1:28" ht="18" customHeight="1">
      <c r="I71" s="848"/>
      <c r="J71" s="849"/>
      <c r="K71" s="171"/>
      <c r="L71" s="171"/>
      <c r="M71" s="171"/>
      <c r="N71" s="171"/>
      <c r="O71" s="171"/>
      <c r="P71" s="171"/>
      <c r="Q71" s="848"/>
      <c r="R71" s="848"/>
      <c r="U71" s="171"/>
      <c r="V71" s="171"/>
      <c r="W71" s="171"/>
      <c r="X71" s="171"/>
      <c r="Y71" s="171"/>
      <c r="Z71" s="171"/>
      <c r="AA71" s="171"/>
      <c r="AB71" s="845"/>
    </row>
    <row r="72" spans="1:28">
      <c r="C72" s="850"/>
      <c r="E72" s="850"/>
      <c r="G72" s="850"/>
      <c r="I72" s="848"/>
      <c r="J72" s="174"/>
      <c r="K72" s="174"/>
      <c r="L72" s="171"/>
      <c r="M72" s="174"/>
      <c r="N72" s="171"/>
      <c r="O72" s="174"/>
      <c r="P72" s="171"/>
      <c r="Q72" s="848"/>
      <c r="R72" s="848"/>
      <c r="S72" s="851"/>
      <c r="T72" s="851"/>
      <c r="U72" s="851"/>
      <c r="V72" s="851"/>
      <c r="W72" s="851"/>
      <c r="X72" s="851"/>
      <c r="Y72" s="851"/>
      <c r="Z72" s="851"/>
      <c r="AA72" s="851"/>
      <c r="AB72" s="845"/>
    </row>
    <row r="73" spans="1:28">
      <c r="C73" s="850"/>
      <c r="E73" s="850"/>
      <c r="G73" s="850"/>
      <c r="I73" s="848"/>
      <c r="J73" s="852"/>
      <c r="K73" s="788"/>
      <c r="L73" s="171"/>
      <c r="M73" s="788"/>
      <c r="N73" s="171"/>
      <c r="O73" s="788"/>
      <c r="P73" s="171"/>
      <c r="Q73" s="848"/>
      <c r="R73" s="848"/>
      <c r="S73" s="853"/>
      <c r="T73" s="853"/>
      <c r="U73" s="853"/>
      <c r="V73" s="853"/>
      <c r="W73" s="853"/>
      <c r="X73" s="853"/>
      <c r="Y73" s="853"/>
      <c r="Z73" s="853"/>
      <c r="AA73" s="853"/>
    </row>
    <row r="74" spans="1:28">
      <c r="C74" s="850"/>
      <c r="E74" s="850"/>
      <c r="G74" s="850"/>
      <c r="I74" s="848"/>
      <c r="J74" s="852"/>
      <c r="K74" s="788"/>
      <c r="L74" s="171"/>
      <c r="M74" s="788"/>
      <c r="N74" s="171"/>
      <c r="O74" s="788"/>
      <c r="P74" s="171"/>
      <c r="Q74" s="848"/>
      <c r="R74" s="848"/>
      <c r="S74" s="851"/>
      <c r="T74" s="851"/>
      <c r="U74" s="851"/>
      <c r="V74" s="851"/>
      <c r="W74" s="851"/>
      <c r="X74" s="851"/>
      <c r="Y74" s="851"/>
      <c r="Z74" s="851"/>
      <c r="AA74" s="851"/>
      <c r="AB74" s="845"/>
    </row>
    <row r="75" spans="1:28">
      <c r="C75" s="850"/>
      <c r="E75" s="850"/>
      <c r="G75" s="850"/>
      <c r="I75" s="848"/>
      <c r="J75" s="852"/>
      <c r="K75" s="789"/>
      <c r="L75" s="171"/>
      <c r="M75" s="789"/>
      <c r="N75" s="171"/>
      <c r="O75" s="789"/>
      <c r="P75" s="171"/>
      <c r="Q75" s="848"/>
      <c r="R75" s="848"/>
      <c r="S75" s="853"/>
      <c r="T75" s="853"/>
      <c r="U75" s="853"/>
      <c r="V75" s="853"/>
      <c r="W75" s="853"/>
      <c r="X75" s="853"/>
      <c r="Y75" s="853"/>
      <c r="Z75" s="853"/>
      <c r="AA75" s="853"/>
    </row>
    <row r="76" spans="1:28">
      <c r="C76" s="850"/>
      <c r="E76" s="850"/>
      <c r="G76" s="850"/>
      <c r="I76" s="848"/>
      <c r="J76" s="852"/>
      <c r="K76" s="788"/>
      <c r="L76" s="171"/>
      <c r="M76" s="788"/>
      <c r="N76" s="171"/>
      <c r="O76" s="788"/>
      <c r="P76" s="171"/>
      <c r="Q76" s="848"/>
      <c r="R76" s="848"/>
    </row>
    <row r="77" spans="1:28">
      <c r="I77" s="848"/>
      <c r="J77" s="848"/>
      <c r="K77" s="848"/>
      <c r="L77" s="848"/>
      <c r="M77" s="848"/>
      <c r="N77" s="848"/>
      <c r="O77" s="848"/>
      <c r="P77" s="848"/>
      <c r="Q77" s="848"/>
      <c r="R77" s="848"/>
    </row>
    <row r="78" spans="1:28">
      <c r="I78" s="848"/>
      <c r="J78" s="848"/>
      <c r="K78" s="848"/>
      <c r="L78" s="848"/>
      <c r="M78" s="848"/>
      <c r="N78" s="848"/>
      <c r="O78" s="848"/>
      <c r="P78" s="848"/>
      <c r="Q78" s="848"/>
      <c r="R78" s="848"/>
    </row>
  </sheetData>
  <mergeCells count="12">
    <mergeCell ref="K38:N38"/>
    <mergeCell ref="C40:F40"/>
    <mergeCell ref="K58:N58"/>
    <mergeCell ref="C39:F39"/>
    <mergeCell ref="A3:T4"/>
    <mergeCell ref="A6:T21"/>
    <mergeCell ref="A23:T34"/>
    <mergeCell ref="B36:D36"/>
    <mergeCell ref="E36:G36"/>
    <mergeCell ref="L36:N36"/>
    <mergeCell ref="O36:R36"/>
    <mergeCell ref="S36:T36"/>
  </mergeCells>
  <phoneticPr fontId="8" type="noConversion"/>
  <printOptions horizontalCentered="1" verticalCentered="1"/>
  <pageMargins left="0.27559055118110237" right="0.23622047244094491" top="0.19685039370078741" bottom="0.39370078740157483" header="0" footer="0.19685039370078741"/>
  <pageSetup paperSize="9" scale="51" orientation="landscape" r:id="rId1"/>
  <headerFooter alignWithMargins="0">
    <oddFooter>&amp;CPage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I79"/>
  <sheetViews>
    <sheetView topLeftCell="A59" workbookViewId="0">
      <selection activeCell="C62" sqref="C62"/>
    </sheetView>
  </sheetViews>
  <sheetFormatPr defaultRowHeight="13.2"/>
  <cols>
    <col min="1" max="1" width="58.33203125" bestFit="1" customWidth="1"/>
    <col min="3" max="3" width="12.88671875" bestFit="1" customWidth="1"/>
    <col min="9" max="9" width="12.88671875" bestFit="1" customWidth="1"/>
  </cols>
  <sheetData>
    <row r="2" spans="1:9" ht="33.75" customHeight="1">
      <c r="A2" t="s">
        <v>554</v>
      </c>
      <c r="B2" t="s">
        <v>1095</v>
      </c>
      <c r="C2" t="s">
        <v>1095</v>
      </c>
      <c r="D2" t="s">
        <v>1095</v>
      </c>
      <c r="E2" t="s">
        <v>1095</v>
      </c>
      <c r="F2" t="s">
        <v>1095</v>
      </c>
      <c r="G2" t="s">
        <v>1095</v>
      </c>
      <c r="H2" t="s">
        <v>1095</v>
      </c>
      <c r="I2" t="s">
        <v>1095</v>
      </c>
    </row>
    <row r="3" spans="1:9" ht="33.75" customHeight="1">
      <c r="A3" t="s">
        <v>554</v>
      </c>
      <c r="B3" t="s">
        <v>834</v>
      </c>
      <c r="C3" t="s">
        <v>834</v>
      </c>
      <c r="D3" t="s">
        <v>834</v>
      </c>
      <c r="E3" t="s">
        <v>834</v>
      </c>
      <c r="F3" t="s">
        <v>127</v>
      </c>
      <c r="G3" t="s">
        <v>127</v>
      </c>
      <c r="H3" t="s">
        <v>127</v>
      </c>
      <c r="I3" t="s">
        <v>127</v>
      </c>
    </row>
    <row r="4" spans="1:9" ht="33.75" customHeight="1">
      <c r="A4" t="s">
        <v>554</v>
      </c>
      <c r="B4" s="1599" t="s">
        <v>80</v>
      </c>
      <c r="C4" s="1599" t="s">
        <v>81</v>
      </c>
      <c r="D4" s="1599" t="s">
        <v>82</v>
      </c>
      <c r="E4" s="1599" t="s">
        <v>83</v>
      </c>
      <c r="F4" s="1599" t="s">
        <v>80</v>
      </c>
      <c r="G4" s="1599" t="s">
        <v>81</v>
      </c>
      <c r="H4" s="1599" t="s">
        <v>82</v>
      </c>
      <c r="I4" s="1599" t="s">
        <v>83</v>
      </c>
    </row>
    <row r="5" spans="1:9">
      <c r="A5" t="s">
        <v>84</v>
      </c>
      <c r="B5">
        <v>0</v>
      </c>
      <c r="C5">
        <v>-30232</v>
      </c>
      <c r="D5">
        <v>0</v>
      </c>
      <c r="E5">
        <v>0</v>
      </c>
      <c r="F5">
        <v>0</v>
      </c>
      <c r="G5">
        <v>-236</v>
      </c>
      <c r="H5">
        <v>0</v>
      </c>
      <c r="I5">
        <v>0</v>
      </c>
    </row>
    <row r="6" spans="1:9">
      <c r="A6" t="s">
        <v>85</v>
      </c>
      <c r="B6">
        <v>0</v>
      </c>
      <c r="C6">
        <v>-39741</v>
      </c>
      <c r="D6">
        <v>0</v>
      </c>
      <c r="E6">
        <v>0</v>
      </c>
      <c r="F6">
        <v>0</v>
      </c>
      <c r="G6">
        <v>-893</v>
      </c>
      <c r="H6">
        <v>0</v>
      </c>
      <c r="I6">
        <v>0</v>
      </c>
    </row>
    <row r="7" spans="1:9">
      <c r="A7" t="s">
        <v>86</v>
      </c>
      <c r="B7">
        <v>0</v>
      </c>
      <c r="C7">
        <v>-30232</v>
      </c>
      <c r="D7">
        <v>0</v>
      </c>
      <c r="E7">
        <v>0</v>
      </c>
      <c r="F7">
        <v>0</v>
      </c>
      <c r="G7">
        <v>-237</v>
      </c>
      <c r="H7">
        <v>0</v>
      </c>
      <c r="I7">
        <v>0</v>
      </c>
    </row>
    <row r="8" spans="1:9">
      <c r="A8" t="s">
        <v>87</v>
      </c>
      <c r="B8">
        <v>0</v>
      </c>
      <c r="C8">
        <v>-30232</v>
      </c>
      <c r="D8">
        <v>0</v>
      </c>
      <c r="E8">
        <v>0</v>
      </c>
      <c r="F8">
        <v>0</v>
      </c>
      <c r="G8">
        <v>-680</v>
      </c>
      <c r="H8">
        <v>0</v>
      </c>
      <c r="I8">
        <v>0</v>
      </c>
    </row>
    <row r="9" spans="1:9">
      <c r="A9" t="s">
        <v>88</v>
      </c>
      <c r="B9">
        <v>0</v>
      </c>
      <c r="C9">
        <v>-60465</v>
      </c>
      <c r="D9">
        <v>0</v>
      </c>
      <c r="E9">
        <v>0</v>
      </c>
      <c r="F9">
        <v>0</v>
      </c>
      <c r="G9">
        <v>-1369</v>
      </c>
      <c r="H9">
        <v>0</v>
      </c>
      <c r="I9">
        <v>0</v>
      </c>
    </row>
    <row r="10" spans="1:9">
      <c r="A10" t="s">
        <v>89</v>
      </c>
      <c r="B10">
        <v>0</v>
      </c>
      <c r="C10">
        <v>-30232</v>
      </c>
      <c r="D10">
        <v>0</v>
      </c>
      <c r="E10">
        <v>0</v>
      </c>
      <c r="F10">
        <v>0</v>
      </c>
      <c r="G10">
        <v>-240</v>
      </c>
      <c r="H10">
        <v>0</v>
      </c>
      <c r="I10">
        <v>0</v>
      </c>
    </row>
    <row r="11" spans="1:9">
      <c r="A11" t="s">
        <v>90</v>
      </c>
      <c r="B11">
        <v>-7303</v>
      </c>
      <c r="C11">
        <v>0</v>
      </c>
      <c r="D11">
        <v>0</v>
      </c>
      <c r="E11">
        <v>0</v>
      </c>
      <c r="F11">
        <v>0</v>
      </c>
      <c r="G11">
        <v>0</v>
      </c>
      <c r="H11">
        <v>0</v>
      </c>
      <c r="I11">
        <v>0</v>
      </c>
    </row>
    <row r="12" spans="1:9">
      <c r="A12" t="s">
        <v>128</v>
      </c>
      <c r="B12">
        <v>0</v>
      </c>
      <c r="C12">
        <v>0</v>
      </c>
      <c r="D12">
        <v>0</v>
      </c>
      <c r="E12">
        <v>0</v>
      </c>
      <c r="F12">
        <v>0</v>
      </c>
      <c r="G12">
        <v>0</v>
      </c>
      <c r="H12">
        <v>0</v>
      </c>
      <c r="I12">
        <v>0</v>
      </c>
    </row>
    <row r="13" spans="1:9">
      <c r="A13" t="s">
        <v>91</v>
      </c>
      <c r="B13">
        <v>0</v>
      </c>
      <c r="C13">
        <v>0</v>
      </c>
      <c r="D13">
        <v>-309148</v>
      </c>
      <c r="E13">
        <v>0</v>
      </c>
      <c r="F13">
        <v>0</v>
      </c>
      <c r="G13">
        <v>0</v>
      </c>
      <c r="H13">
        <v>-1</v>
      </c>
      <c r="I13">
        <v>0</v>
      </c>
    </row>
    <row r="14" spans="1:9">
      <c r="A14" t="s">
        <v>92</v>
      </c>
      <c r="B14">
        <v>0</v>
      </c>
      <c r="C14">
        <v>-30232</v>
      </c>
      <c r="D14">
        <v>0</v>
      </c>
      <c r="E14">
        <v>0</v>
      </c>
      <c r="F14">
        <v>0</v>
      </c>
      <c r="G14">
        <v>-258</v>
      </c>
      <c r="H14">
        <v>0</v>
      </c>
      <c r="I14">
        <v>0</v>
      </c>
    </row>
    <row r="15" spans="1:9">
      <c r="A15" t="s">
        <v>93</v>
      </c>
      <c r="B15">
        <v>-34667</v>
      </c>
      <c r="C15">
        <v>-27209</v>
      </c>
      <c r="D15">
        <v>0</v>
      </c>
      <c r="E15">
        <v>0</v>
      </c>
      <c r="F15">
        <v>0</v>
      </c>
      <c r="G15">
        <v>2786</v>
      </c>
      <c r="H15">
        <v>0</v>
      </c>
      <c r="I15">
        <v>0</v>
      </c>
    </row>
    <row r="16" spans="1:9">
      <c r="A16" t="s">
        <v>94</v>
      </c>
      <c r="B16">
        <v>0</v>
      </c>
      <c r="C16">
        <v>-79908</v>
      </c>
      <c r="D16">
        <v>0</v>
      </c>
      <c r="E16">
        <v>0</v>
      </c>
      <c r="F16">
        <v>0</v>
      </c>
      <c r="G16">
        <v>-626</v>
      </c>
      <c r="H16">
        <v>0</v>
      </c>
      <c r="I16">
        <v>0</v>
      </c>
    </row>
    <row r="17" spans="1:9">
      <c r="A17" t="s">
        <v>129</v>
      </c>
      <c r="B17">
        <v>0</v>
      </c>
      <c r="C17">
        <v>0</v>
      </c>
      <c r="D17">
        <v>0</v>
      </c>
      <c r="E17">
        <v>0</v>
      </c>
      <c r="F17">
        <v>0</v>
      </c>
      <c r="G17">
        <v>0</v>
      </c>
      <c r="H17">
        <v>0</v>
      </c>
      <c r="I17">
        <v>0</v>
      </c>
    </row>
    <row r="18" spans="1:9">
      <c r="A18" t="s">
        <v>95</v>
      </c>
      <c r="B18">
        <v>-139749</v>
      </c>
      <c r="C18">
        <v>0</v>
      </c>
      <c r="D18">
        <v>0</v>
      </c>
      <c r="E18">
        <v>0</v>
      </c>
      <c r="F18">
        <v>-2821</v>
      </c>
      <c r="G18">
        <v>0</v>
      </c>
      <c r="H18">
        <v>0</v>
      </c>
      <c r="I18">
        <v>0</v>
      </c>
    </row>
    <row r="19" spans="1:9">
      <c r="A19" t="s">
        <v>130</v>
      </c>
      <c r="B19">
        <v>0</v>
      </c>
      <c r="C19">
        <v>0</v>
      </c>
      <c r="D19">
        <v>0</v>
      </c>
      <c r="E19">
        <v>0</v>
      </c>
      <c r="F19">
        <v>0</v>
      </c>
      <c r="G19">
        <v>0</v>
      </c>
      <c r="H19">
        <v>0</v>
      </c>
      <c r="I19">
        <v>0</v>
      </c>
    </row>
    <row r="20" spans="1:9">
      <c r="A20" t="s">
        <v>96</v>
      </c>
      <c r="B20">
        <v>0</v>
      </c>
      <c r="C20">
        <v>0</v>
      </c>
      <c r="D20">
        <v>-48201</v>
      </c>
      <c r="E20">
        <v>0</v>
      </c>
      <c r="F20">
        <v>0</v>
      </c>
      <c r="G20">
        <v>0</v>
      </c>
      <c r="H20">
        <v>-401</v>
      </c>
      <c r="I20">
        <v>0</v>
      </c>
    </row>
    <row r="21" spans="1:9">
      <c r="A21" t="s">
        <v>131</v>
      </c>
      <c r="B21">
        <v>-250</v>
      </c>
      <c r="C21">
        <v>0</v>
      </c>
      <c r="D21">
        <v>0</v>
      </c>
      <c r="E21">
        <v>0</v>
      </c>
      <c r="F21">
        <v>-250</v>
      </c>
      <c r="G21">
        <v>0</v>
      </c>
      <c r="H21">
        <v>0</v>
      </c>
      <c r="I21">
        <v>0</v>
      </c>
    </row>
    <row r="22" spans="1:9">
      <c r="A22" t="s">
        <v>132</v>
      </c>
      <c r="B22">
        <v>-2002</v>
      </c>
      <c r="C22">
        <v>0</v>
      </c>
      <c r="D22">
        <v>0</v>
      </c>
      <c r="E22">
        <v>0</v>
      </c>
      <c r="F22">
        <v>-1776</v>
      </c>
      <c r="G22">
        <v>0</v>
      </c>
      <c r="H22">
        <v>0</v>
      </c>
      <c r="I22">
        <v>0</v>
      </c>
    </row>
    <row r="23" spans="1:9">
      <c r="A23" t="s">
        <v>97</v>
      </c>
      <c r="B23">
        <v>0</v>
      </c>
      <c r="C23">
        <v>-49676</v>
      </c>
      <c r="D23">
        <v>0</v>
      </c>
      <c r="E23">
        <v>0</v>
      </c>
      <c r="F23">
        <v>0</v>
      </c>
      <c r="G23">
        <v>-389</v>
      </c>
      <c r="H23">
        <v>0</v>
      </c>
      <c r="I23">
        <v>0</v>
      </c>
    </row>
    <row r="24" spans="1:9">
      <c r="A24" t="s">
        <v>133</v>
      </c>
      <c r="B24">
        <v>0</v>
      </c>
      <c r="C24">
        <v>0</v>
      </c>
      <c r="D24">
        <v>0</v>
      </c>
      <c r="E24">
        <v>0</v>
      </c>
      <c r="F24">
        <v>0</v>
      </c>
      <c r="G24">
        <v>0</v>
      </c>
      <c r="H24">
        <v>0</v>
      </c>
      <c r="I24">
        <v>0</v>
      </c>
    </row>
    <row r="25" spans="1:9">
      <c r="A25" t="s">
        <v>98</v>
      </c>
      <c r="B25">
        <v>-13333</v>
      </c>
      <c r="C25">
        <v>0</v>
      </c>
      <c r="D25">
        <v>0</v>
      </c>
      <c r="E25">
        <v>0</v>
      </c>
      <c r="F25">
        <v>0</v>
      </c>
      <c r="G25">
        <v>0</v>
      </c>
      <c r="H25">
        <v>0</v>
      </c>
      <c r="I25">
        <v>0</v>
      </c>
    </row>
    <row r="26" spans="1:9">
      <c r="A26" t="s">
        <v>99</v>
      </c>
      <c r="B26">
        <v>0</v>
      </c>
      <c r="C26">
        <v>-39741</v>
      </c>
      <c r="D26">
        <v>0</v>
      </c>
      <c r="E26">
        <v>0</v>
      </c>
      <c r="F26">
        <v>0</v>
      </c>
      <c r="G26">
        <v>-310</v>
      </c>
      <c r="H26">
        <v>0</v>
      </c>
      <c r="I26">
        <v>0</v>
      </c>
    </row>
    <row r="27" spans="1:9">
      <c r="A27" t="s">
        <v>100</v>
      </c>
      <c r="B27">
        <v>-95448</v>
      </c>
      <c r="C27">
        <v>0</v>
      </c>
      <c r="D27">
        <v>0</v>
      </c>
      <c r="E27">
        <v>0</v>
      </c>
      <c r="F27">
        <v>0</v>
      </c>
      <c r="G27">
        <v>0</v>
      </c>
      <c r="H27">
        <v>0</v>
      </c>
      <c r="I27">
        <v>0</v>
      </c>
    </row>
    <row r="28" spans="1:9">
      <c r="A28" t="s">
        <v>101</v>
      </c>
      <c r="B28">
        <v>-16848</v>
      </c>
      <c r="C28">
        <v>0</v>
      </c>
      <c r="D28">
        <v>0</v>
      </c>
      <c r="E28">
        <v>0</v>
      </c>
      <c r="F28">
        <v>-13</v>
      </c>
      <c r="G28">
        <v>0</v>
      </c>
      <c r="H28">
        <v>0</v>
      </c>
      <c r="I28">
        <v>0</v>
      </c>
    </row>
    <row r="29" spans="1:9">
      <c r="A29" t="s">
        <v>134</v>
      </c>
      <c r="B29">
        <v>0</v>
      </c>
      <c r="C29">
        <v>0</v>
      </c>
      <c r="D29">
        <v>0</v>
      </c>
      <c r="E29">
        <v>0</v>
      </c>
      <c r="F29">
        <v>0</v>
      </c>
      <c r="G29">
        <v>0</v>
      </c>
      <c r="H29">
        <v>0</v>
      </c>
      <c r="I29">
        <v>0</v>
      </c>
    </row>
    <row r="30" spans="1:9">
      <c r="A30" t="s">
        <v>135</v>
      </c>
      <c r="B30">
        <v>0</v>
      </c>
      <c r="C30">
        <v>0</v>
      </c>
      <c r="D30">
        <v>0</v>
      </c>
      <c r="E30">
        <v>0</v>
      </c>
      <c r="F30">
        <v>0</v>
      </c>
      <c r="G30">
        <v>0</v>
      </c>
      <c r="H30">
        <v>0</v>
      </c>
      <c r="I30">
        <v>0</v>
      </c>
    </row>
    <row r="31" spans="1:9">
      <c r="A31" t="s">
        <v>102</v>
      </c>
      <c r="B31">
        <v>-22080</v>
      </c>
      <c r="C31">
        <v>0</v>
      </c>
      <c r="D31">
        <v>0</v>
      </c>
      <c r="E31">
        <v>0</v>
      </c>
      <c r="F31">
        <v>0</v>
      </c>
      <c r="G31">
        <v>0</v>
      </c>
      <c r="H31">
        <v>0</v>
      </c>
      <c r="I31">
        <v>0</v>
      </c>
    </row>
    <row r="32" spans="1:9">
      <c r="A32" t="s">
        <v>136</v>
      </c>
      <c r="B32">
        <v>0</v>
      </c>
      <c r="C32">
        <v>0</v>
      </c>
      <c r="D32">
        <v>0</v>
      </c>
      <c r="E32">
        <v>0</v>
      </c>
      <c r="F32">
        <v>0</v>
      </c>
      <c r="G32">
        <v>0</v>
      </c>
      <c r="H32">
        <v>0</v>
      </c>
      <c r="I32">
        <v>0</v>
      </c>
    </row>
    <row r="33" spans="1:9">
      <c r="A33" t="s">
        <v>103</v>
      </c>
      <c r="B33">
        <v>0</v>
      </c>
      <c r="C33">
        <v>-30232</v>
      </c>
      <c r="D33">
        <v>0</v>
      </c>
      <c r="E33">
        <v>-881488</v>
      </c>
      <c r="F33">
        <v>0</v>
      </c>
      <c r="G33">
        <v>-683</v>
      </c>
      <c r="H33">
        <v>0</v>
      </c>
      <c r="I33">
        <v>-477488</v>
      </c>
    </row>
    <row r="34" spans="1:9">
      <c r="A34" t="s">
        <v>104</v>
      </c>
      <c r="B34">
        <v>-34475</v>
      </c>
      <c r="C34">
        <v>0</v>
      </c>
      <c r="D34">
        <v>0</v>
      </c>
      <c r="E34">
        <v>0</v>
      </c>
      <c r="F34">
        <v>-1458</v>
      </c>
      <c r="G34">
        <v>0</v>
      </c>
      <c r="H34">
        <v>0</v>
      </c>
      <c r="I34">
        <v>0</v>
      </c>
    </row>
    <row r="35" spans="1:9">
      <c r="A35" t="s">
        <v>137</v>
      </c>
      <c r="B35">
        <v>-13042</v>
      </c>
      <c r="C35">
        <v>0</v>
      </c>
      <c r="D35">
        <v>0</v>
      </c>
      <c r="E35">
        <v>0</v>
      </c>
      <c r="F35">
        <v>-13042</v>
      </c>
      <c r="G35">
        <v>0</v>
      </c>
      <c r="H35">
        <v>0</v>
      </c>
      <c r="I35">
        <v>0</v>
      </c>
    </row>
    <row r="36" spans="1:9">
      <c r="A36" t="s">
        <v>105</v>
      </c>
      <c r="B36">
        <v>0</v>
      </c>
      <c r="C36">
        <v>-168370</v>
      </c>
      <c r="D36">
        <v>0</v>
      </c>
      <c r="E36">
        <v>0</v>
      </c>
      <c r="F36">
        <v>0</v>
      </c>
      <c r="G36">
        <v>-40292</v>
      </c>
      <c r="H36">
        <v>0</v>
      </c>
      <c r="I36">
        <v>0</v>
      </c>
    </row>
    <row r="37" spans="1:9">
      <c r="A37" t="s">
        <v>106</v>
      </c>
      <c r="B37">
        <v>0</v>
      </c>
      <c r="C37">
        <v>-19870</v>
      </c>
      <c r="D37">
        <v>0</v>
      </c>
      <c r="E37">
        <v>0</v>
      </c>
      <c r="F37">
        <v>0</v>
      </c>
      <c r="G37">
        <v>9679</v>
      </c>
      <c r="H37">
        <v>0</v>
      </c>
      <c r="I37">
        <v>0</v>
      </c>
    </row>
    <row r="38" spans="1:9">
      <c r="A38" t="s">
        <v>138</v>
      </c>
      <c r="B38">
        <v>-1221</v>
      </c>
      <c r="C38">
        <v>0</v>
      </c>
      <c r="D38">
        <v>0</v>
      </c>
      <c r="E38">
        <v>0</v>
      </c>
      <c r="F38">
        <v>-1221</v>
      </c>
      <c r="G38">
        <v>0</v>
      </c>
      <c r="H38">
        <v>0</v>
      </c>
      <c r="I38">
        <v>0</v>
      </c>
    </row>
    <row r="39" spans="1:9">
      <c r="A39" t="s">
        <v>139</v>
      </c>
      <c r="B39">
        <v>0</v>
      </c>
      <c r="C39">
        <v>0</v>
      </c>
      <c r="D39">
        <v>0</v>
      </c>
      <c r="E39">
        <v>0</v>
      </c>
      <c r="F39">
        <v>0</v>
      </c>
      <c r="G39">
        <v>0</v>
      </c>
      <c r="H39">
        <v>0</v>
      </c>
      <c r="I39">
        <v>0</v>
      </c>
    </row>
    <row r="40" spans="1:9">
      <c r="A40" t="s">
        <v>140</v>
      </c>
      <c r="B40">
        <v>0</v>
      </c>
      <c r="C40">
        <v>0</v>
      </c>
      <c r="D40">
        <v>0</v>
      </c>
      <c r="E40">
        <v>0</v>
      </c>
      <c r="F40">
        <v>0</v>
      </c>
      <c r="G40">
        <v>0</v>
      </c>
      <c r="H40">
        <v>0</v>
      </c>
      <c r="I40">
        <v>0</v>
      </c>
    </row>
    <row r="41" spans="1:9">
      <c r="A41" t="s">
        <v>141</v>
      </c>
      <c r="B41">
        <v>-7500</v>
      </c>
      <c r="C41">
        <v>0</v>
      </c>
      <c r="D41">
        <v>0</v>
      </c>
      <c r="E41">
        <v>0</v>
      </c>
      <c r="F41">
        <v>-7500</v>
      </c>
      <c r="G41">
        <v>0</v>
      </c>
      <c r="H41">
        <v>0</v>
      </c>
      <c r="I41">
        <v>0</v>
      </c>
    </row>
    <row r="42" spans="1:9">
      <c r="A42" t="s">
        <v>107</v>
      </c>
      <c r="B42">
        <v>0</v>
      </c>
      <c r="C42">
        <v>-117926</v>
      </c>
      <c r="D42">
        <v>0</v>
      </c>
      <c r="E42">
        <v>0</v>
      </c>
      <c r="F42">
        <v>0</v>
      </c>
      <c r="G42">
        <v>-49405</v>
      </c>
      <c r="H42">
        <v>0</v>
      </c>
      <c r="I42">
        <v>0</v>
      </c>
    </row>
    <row r="43" spans="1:9">
      <c r="A43" t="s">
        <v>108</v>
      </c>
      <c r="B43">
        <v>-841</v>
      </c>
      <c r="C43">
        <v>0</v>
      </c>
      <c r="D43">
        <v>0</v>
      </c>
      <c r="E43">
        <v>0</v>
      </c>
      <c r="F43">
        <v>-841</v>
      </c>
      <c r="G43">
        <v>0</v>
      </c>
      <c r="H43">
        <v>0</v>
      </c>
      <c r="I43">
        <v>0</v>
      </c>
    </row>
    <row r="44" spans="1:9">
      <c r="A44" t="s">
        <v>109</v>
      </c>
      <c r="B44">
        <v>-566553</v>
      </c>
      <c r="C44">
        <v>0</v>
      </c>
      <c r="D44">
        <v>0</v>
      </c>
      <c r="E44">
        <v>0</v>
      </c>
      <c r="F44">
        <v>-53809</v>
      </c>
      <c r="G44">
        <v>0</v>
      </c>
      <c r="H44">
        <v>0</v>
      </c>
      <c r="I44">
        <v>0</v>
      </c>
    </row>
    <row r="45" spans="1:9">
      <c r="A45" t="s">
        <v>142</v>
      </c>
      <c r="B45">
        <v>0</v>
      </c>
      <c r="C45">
        <v>0</v>
      </c>
      <c r="D45">
        <v>0</v>
      </c>
      <c r="E45">
        <v>0</v>
      </c>
      <c r="F45">
        <v>12400</v>
      </c>
      <c r="G45">
        <v>0</v>
      </c>
      <c r="H45">
        <v>0</v>
      </c>
      <c r="I45">
        <v>0</v>
      </c>
    </row>
    <row r="46" spans="1:9">
      <c r="A46" t="s">
        <v>110</v>
      </c>
      <c r="B46">
        <v>-992</v>
      </c>
      <c r="C46">
        <v>0</v>
      </c>
      <c r="D46">
        <v>0</v>
      </c>
      <c r="E46">
        <v>0</v>
      </c>
      <c r="F46">
        <v>880</v>
      </c>
      <c r="G46">
        <v>0</v>
      </c>
      <c r="H46">
        <v>0</v>
      </c>
      <c r="I46">
        <v>0</v>
      </c>
    </row>
    <row r="47" spans="1:9">
      <c r="A47" t="s">
        <v>143</v>
      </c>
      <c r="B47">
        <v>0</v>
      </c>
      <c r="C47">
        <v>0</v>
      </c>
      <c r="D47">
        <v>0</v>
      </c>
      <c r="E47">
        <v>0</v>
      </c>
      <c r="F47">
        <v>0</v>
      </c>
      <c r="G47">
        <v>0</v>
      </c>
      <c r="H47">
        <v>0</v>
      </c>
      <c r="I47">
        <v>0</v>
      </c>
    </row>
    <row r="48" spans="1:9">
      <c r="A48" t="s">
        <v>111</v>
      </c>
      <c r="B48">
        <v>-30150</v>
      </c>
      <c r="C48">
        <v>-60465</v>
      </c>
      <c r="D48">
        <v>0</v>
      </c>
      <c r="E48">
        <v>0</v>
      </c>
      <c r="F48">
        <v>-30150</v>
      </c>
      <c r="G48">
        <v>-1361</v>
      </c>
      <c r="H48">
        <v>0</v>
      </c>
      <c r="I48">
        <v>0</v>
      </c>
    </row>
    <row r="49" spans="1:9">
      <c r="A49" t="s">
        <v>112</v>
      </c>
      <c r="B49">
        <v>-45057</v>
      </c>
      <c r="C49">
        <v>0</v>
      </c>
      <c r="D49">
        <v>0</v>
      </c>
      <c r="E49">
        <v>0</v>
      </c>
      <c r="F49">
        <v>-45057</v>
      </c>
      <c r="G49">
        <v>0</v>
      </c>
      <c r="H49">
        <v>0</v>
      </c>
      <c r="I49">
        <v>0</v>
      </c>
    </row>
    <row r="50" spans="1:9">
      <c r="A50" t="s">
        <v>113</v>
      </c>
      <c r="B50">
        <v>997</v>
      </c>
      <c r="C50">
        <v>-60465</v>
      </c>
      <c r="D50">
        <v>0</v>
      </c>
      <c r="E50">
        <v>0</v>
      </c>
      <c r="F50">
        <v>997</v>
      </c>
      <c r="G50">
        <v>-9737</v>
      </c>
      <c r="H50">
        <v>0</v>
      </c>
      <c r="I50">
        <v>0</v>
      </c>
    </row>
    <row r="51" spans="1:9">
      <c r="A51" t="s">
        <v>144</v>
      </c>
      <c r="B51">
        <v>0</v>
      </c>
      <c r="C51">
        <v>0</v>
      </c>
      <c r="D51">
        <v>0</v>
      </c>
      <c r="E51">
        <v>0</v>
      </c>
      <c r="F51">
        <v>0</v>
      </c>
      <c r="G51">
        <v>0</v>
      </c>
      <c r="H51">
        <v>0</v>
      </c>
      <c r="I51">
        <v>0</v>
      </c>
    </row>
    <row r="52" spans="1:9">
      <c r="A52" t="s">
        <v>145</v>
      </c>
      <c r="B52">
        <v>0</v>
      </c>
      <c r="C52">
        <v>0</v>
      </c>
      <c r="D52">
        <v>0</v>
      </c>
      <c r="E52">
        <v>0</v>
      </c>
      <c r="F52">
        <v>56496</v>
      </c>
      <c r="G52">
        <v>0</v>
      </c>
      <c r="H52">
        <v>0</v>
      </c>
      <c r="I52">
        <v>0</v>
      </c>
    </row>
    <row r="53" spans="1:9">
      <c r="A53" t="s">
        <v>146</v>
      </c>
      <c r="B53">
        <v>0</v>
      </c>
      <c r="C53">
        <v>0</v>
      </c>
      <c r="D53">
        <v>0</v>
      </c>
      <c r="E53">
        <v>0</v>
      </c>
      <c r="F53">
        <v>0</v>
      </c>
      <c r="G53">
        <v>0</v>
      </c>
      <c r="H53">
        <v>0</v>
      </c>
      <c r="I53">
        <v>0</v>
      </c>
    </row>
    <row r="54" spans="1:9">
      <c r="A54" t="s">
        <v>147</v>
      </c>
      <c r="B54">
        <v>0</v>
      </c>
      <c r="C54">
        <v>0</v>
      </c>
      <c r="D54">
        <v>0</v>
      </c>
      <c r="E54">
        <v>0</v>
      </c>
      <c r="F54">
        <v>0</v>
      </c>
      <c r="G54">
        <v>0</v>
      </c>
      <c r="H54">
        <v>0</v>
      </c>
      <c r="I54">
        <v>0</v>
      </c>
    </row>
    <row r="55" spans="1:9">
      <c r="A55" t="s">
        <v>114</v>
      </c>
      <c r="B55">
        <v>0</v>
      </c>
      <c r="C55">
        <v>-60465</v>
      </c>
      <c r="D55">
        <v>0</v>
      </c>
      <c r="E55">
        <v>0</v>
      </c>
      <c r="F55">
        <v>0</v>
      </c>
      <c r="G55">
        <v>-30913</v>
      </c>
      <c r="H55">
        <v>0</v>
      </c>
      <c r="I55">
        <v>0</v>
      </c>
    </row>
    <row r="56" spans="1:9">
      <c r="A56" t="s">
        <v>148</v>
      </c>
      <c r="B56">
        <v>0</v>
      </c>
      <c r="C56">
        <v>0</v>
      </c>
      <c r="D56">
        <v>0</v>
      </c>
      <c r="E56">
        <v>0</v>
      </c>
      <c r="F56">
        <v>0</v>
      </c>
      <c r="G56">
        <v>0</v>
      </c>
      <c r="H56">
        <v>133260</v>
      </c>
      <c r="I56">
        <v>0</v>
      </c>
    </row>
    <row r="57" spans="1:9">
      <c r="A57" t="s">
        <v>149</v>
      </c>
      <c r="B57">
        <v>0</v>
      </c>
      <c r="C57">
        <v>0</v>
      </c>
      <c r="D57">
        <v>0</v>
      </c>
      <c r="E57">
        <v>0</v>
      </c>
      <c r="F57">
        <v>0</v>
      </c>
      <c r="G57">
        <v>0</v>
      </c>
      <c r="H57">
        <v>0</v>
      </c>
      <c r="I57">
        <v>0</v>
      </c>
    </row>
    <row r="58" spans="1:9">
      <c r="A58" t="s">
        <v>115</v>
      </c>
      <c r="B58">
        <v>0</v>
      </c>
      <c r="C58">
        <v>-30232</v>
      </c>
      <c r="D58">
        <v>0</v>
      </c>
      <c r="E58">
        <v>0</v>
      </c>
      <c r="F58">
        <v>0</v>
      </c>
      <c r="G58">
        <v>-682</v>
      </c>
      <c r="H58">
        <v>0</v>
      </c>
      <c r="I58">
        <v>0</v>
      </c>
    </row>
    <row r="59" spans="1:9">
      <c r="A59" t="s">
        <v>116</v>
      </c>
      <c r="B59">
        <v>-26719</v>
      </c>
      <c r="C59">
        <v>0</v>
      </c>
      <c r="D59">
        <v>0</v>
      </c>
      <c r="E59">
        <v>0</v>
      </c>
      <c r="F59">
        <v>-707</v>
      </c>
      <c r="G59">
        <v>0</v>
      </c>
      <c r="H59">
        <v>0</v>
      </c>
      <c r="I59">
        <v>0</v>
      </c>
    </row>
    <row r="60" spans="1:9">
      <c r="A60" t="s">
        <v>117</v>
      </c>
      <c r="B60">
        <v>-160000</v>
      </c>
      <c r="C60">
        <v>0</v>
      </c>
      <c r="D60">
        <v>0</v>
      </c>
      <c r="E60">
        <v>0</v>
      </c>
      <c r="F60">
        <v>0</v>
      </c>
      <c r="G60">
        <v>0</v>
      </c>
      <c r="H60">
        <v>0</v>
      </c>
      <c r="I60">
        <v>0</v>
      </c>
    </row>
    <row r="61" spans="1:9">
      <c r="A61" t="s">
        <v>150</v>
      </c>
      <c r="B61">
        <v>0</v>
      </c>
      <c r="C61">
        <v>0</v>
      </c>
      <c r="D61">
        <v>0</v>
      </c>
      <c r="E61">
        <v>0</v>
      </c>
      <c r="F61">
        <v>18290</v>
      </c>
      <c r="G61">
        <v>0</v>
      </c>
      <c r="H61">
        <v>0</v>
      </c>
      <c r="I61">
        <v>0</v>
      </c>
    </row>
    <row r="62" spans="1:9">
      <c r="A62" t="s">
        <v>118</v>
      </c>
      <c r="B62">
        <v>0</v>
      </c>
      <c r="C62">
        <v>-31792</v>
      </c>
      <c r="D62">
        <v>0</v>
      </c>
      <c r="E62">
        <v>0</v>
      </c>
      <c r="F62">
        <v>0</v>
      </c>
      <c r="G62">
        <v>-7607</v>
      </c>
      <c r="H62">
        <v>0</v>
      </c>
      <c r="I62">
        <v>0</v>
      </c>
    </row>
    <row r="63" spans="1:9">
      <c r="A63" t="s">
        <v>151</v>
      </c>
      <c r="B63">
        <v>0</v>
      </c>
      <c r="C63">
        <v>0</v>
      </c>
      <c r="D63">
        <v>0</v>
      </c>
      <c r="E63">
        <v>0</v>
      </c>
      <c r="F63">
        <v>13566</v>
      </c>
      <c r="G63">
        <v>0</v>
      </c>
      <c r="H63">
        <v>0</v>
      </c>
      <c r="I63">
        <v>0</v>
      </c>
    </row>
    <row r="64" spans="1:9">
      <c r="A64" t="s">
        <v>152</v>
      </c>
      <c r="B64">
        <v>0</v>
      </c>
      <c r="C64">
        <v>0</v>
      </c>
      <c r="D64">
        <v>0</v>
      </c>
      <c r="E64">
        <v>0</v>
      </c>
      <c r="F64">
        <v>63328</v>
      </c>
      <c r="G64">
        <v>0</v>
      </c>
      <c r="H64">
        <v>0</v>
      </c>
      <c r="I64">
        <v>0</v>
      </c>
    </row>
    <row r="65" spans="1:9">
      <c r="A65" t="s">
        <v>153</v>
      </c>
      <c r="B65">
        <v>0</v>
      </c>
      <c r="C65">
        <v>0</v>
      </c>
      <c r="D65">
        <v>0</v>
      </c>
      <c r="E65">
        <v>0</v>
      </c>
      <c r="F65">
        <v>725</v>
      </c>
      <c r="G65">
        <v>0</v>
      </c>
      <c r="H65">
        <v>0</v>
      </c>
      <c r="I65">
        <v>0</v>
      </c>
    </row>
    <row r="66" spans="1:9">
      <c r="A66" t="s">
        <v>119</v>
      </c>
      <c r="B66">
        <v>-1058</v>
      </c>
      <c r="C66">
        <v>0</v>
      </c>
      <c r="D66">
        <v>0</v>
      </c>
      <c r="E66">
        <v>0</v>
      </c>
      <c r="F66">
        <v>-58</v>
      </c>
      <c r="G66">
        <v>0</v>
      </c>
      <c r="H66">
        <v>0</v>
      </c>
      <c r="I66">
        <v>0</v>
      </c>
    </row>
    <row r="67" spans="1:9">
      <c r="A67" t="s">
        <v>120</v>
      </c>
      <c r="B67">
        <v>-65408</v>
      </c>
      <c r="C67">
        <v>0</v>
      </c>
      <c r="D67">
        <v>0</v>
      </c>
      <c r="E67">
        <v>0</v>
      </c>
      <c r="F67">
        <v>-65408</v>
      </c>
      <c r="G67">
        <v>0</v>
      </c>
      <c r="H67">
        <v>0</v>
      </c>
      <c r="I67">
        <v>0</v>
      </c>
    </row>
    <row r="68" spans="1:9">
      <c r="A68" t="s">
        <v>154</v>
      </c>
      <c r="B68">
        <v>0</v>
      </c>
      <c r="C68">
        <v>0</v>
      </c>
      <c r="D68">
        <v>0</v>
      </c>
      <c r="E68">
        <v>0</v>
      </c>
      <c r="F68">
        <v>0</v>
      </c>
      <c r="G68">
        <v>0</v>
      </c>
      <c r="H68">
        <v>0</v>
      </c>
      <c r="I68">
        <v>0</v>
      </c>
    </row>
    <row r="69" spans="1:9">
      <c r="A69" t="s">
        <v>155</v>
      </c>
      <c r="B69">
        <v>0</v>
      </c>
      <c r="C69">
        <v>0</v>
      </c>
      <c r="D69">
        <v>0</v>
      </c>
      <c r="E69">
        <v>0</v>
      </c>
      <c r="F69">
        <v>22000</v>
      </c>
      <c r="G69">
        <v>0</v>
      </c>
      <c r="H69">
        <v>0</v>
      </c>
      <c r="I69">
        <v>0</v>
      </c>
    </row>
    <row r="70" spans="1:9">
      <c r="A70" t="s">
        <v>121</v>
      </c>
      <c r="B70">
        <v>-1666332</v>
      </c>
      <c r="C70">
        <v>0</v>
      </c>
      <c r="D70">
        <v>0</v>
      </c>
      <c r="E70">
        <v>0</v>
      </c>
      <c r="F70">
        <v>337</v>
      </c>
      <c r="G70">
        <v>0</v>
      </c>
      <c r="H70">
        <v>0</v>
      </c>
      <c r="I70">
        <v>0</v>
      </c>
    </row>
    <row r="71" spans="1:9">
      <c r="A71" t="s">
        <v>122</v>
      </c>
      <c r="B71">
        <v>0</v>
      </c>
      <c r="C71">
        <v>-443512</v>
      </c>
      <c r="D71">
        <v>0</v>
      </c>
      <c r="E71">
        <v>0</v>
      </c>
      <c r="F71">
        <v>0</v>
      </c>
      <c r="G71">
        <v>-49608</v>
      </c>
      <c r="H71">
        <v>0</v>
      </c>
      <c r="I71">
        <v>0</v>
      </c>
    </row>
    <row r="72" spans="1:9">
      <c r="A72" t="s">
        <v>123</v>
      </c>
      <c r="B72">
        <v>-33506</v>
      </c>
      <c r="C72">
        <v>0</v>
      </c>
      <c r="D72">
        <v>0</v>
      </c>
      <c r="E72">
        <v>0</v>
      </c>
      <c r="F72">
        <v>494</v>
      </c>
      <c r="G72">
        <v>0</v>
      </c>
      <c r="H72">
        <v>0</v>
      </c>
      <c r="I72">
        <v>0</v>
      </c>
    </row>
    <row r="73" spans="1:9">
      <c r="A73" t="s">
        <v>124</v>
      </c>
      <c r="B73">
        <v>-3079</v>
      </c>
      <c r="C73">
        <v>0</v>
      </c>
      <c r="D73">
        <v>-612</v>
      </c>
      <c r="E73">
        <v>0</v>
      </c>
      <c r="F73">
        <v>-629</v>
      </c>
      <c r="G73">
        <v>0</v>
      </c>
      <c r="H73">
        <v>-612</v>
      </c>
      <c r="I73">
        <v>0</v>
      </c>
    </row>
    <row r="74" spans="1:9">
      <c r="A74" t="s">
        <v>125</v>
      </c>
      <c r="B74">
        <v>250400</v>
      </c>
      <c r="C74">
        <v>0</v>
      </c>
      <c r="D74">
        <v>-32195</v>
      </c>
      <c r="E74">
        <v>0</v>
      </c>
      <c r="F74">
        <v>250400</v>
      </c>
      <c r="G74">
        <v>0</v>
      </c>
      <c r="H74">
        <v>-32195</v>
      </c>
      <c r="I74">
        <v>0</v>
      </c>
    </row>
    <row r="75" spans="1:9">
      <c r="A75" t="s">
        <v>126</v>
      </c>
      <c r="B75">
        <v>0</v>
      </c>
      <c r="C75">
        <v>0</v>
      </c>
      <c r="D75">
        <v>-843322</v>
      </c>
      <c r="E75">
        <v>0</v>
      </c>
      <c r="F75">
        <v>0</v>
      </c>
      <c r="G75">
        <v>0</v>
      </c>
      <c r="H75">
        <v>526629</v>
      </c>
      <c r="I75">
        <v>0</v>
      </c>
    </row>
    <row r="76" spans="1:9">
      <c r="I76" s="1273">
        <f>SUM(B5:I75)</f>
        <v>-6141107</v>
      </c>
    </row>
    <row r="79" spans="1:9">
      <c r="C79" s="1273">
        <f>SUM(C5:C75)</f>
        <v>-1471229</v>
      </c>
    </row>
  </sheetData>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4:AA131"/>
  <sheetViews>
    <sheetView topLeftCell="G6" zoomScale="80" zoomScaleNormal="80" workbookViewId="0">
      <selection activeCell="N82" sqref="N82:O97"/>
    </sheetView>
  </sheetViews>
  <sheetFormatPr defaultRowHeight="13.2" outlineLevelRow="1"/>
  <cols>
    <col min="1" max="1" width="53.44140625" customWidth="1"/>
    <col min="2" max="2" width="12.88671875" bestFit="1" customWidth="1"/>
    <col min="3" max="3" width="15.109375" bestFit="1" customWidth="1"/>
    <col min="4" max="4" width="15.33203125" bestFit="1" customWidth="1"/>
    <col min="5" max="5" width="16.33203125" bestFit="1" customWidth="1"/>
    <col min="6" max="6" width="15" bestFit="1" customWidth="1"/>
    <col min="7" max="7" width="16.33203125" bestFit="1" customWidth="1"/>
    <col min="8" max="8" width="13.109375" bestFit="1" customWidth="1"/>
    <col min="9" max="9" width="15" bestFit="1" customWidth="1"/>
    <col min="10" max="10" width="11.33203125" bestFit="1" customWidth="1"/>
    <col min="11" max="11" width="14" bestFit="1" customWidth="1"/>
    <col min="12" max="12" width="15.109375" bestFit="1" customWidth="1"/>
    <col min="13" max="13" width="13.109375" bestFit="1" customWidth="1"/>
    <col min="14" max="14" width="15.33203125" bestFit="1" customWidth="1"/>
    <col min="15" max="15" width="13" bestFit="1" customWidth="1"/>
    <col min="16" max="16" width="15.109375" bestFit="1" customWidth="1"/>
    <col min="17" max="17" width="11.33203125" bestFit="1" customWidth="1"/>
    <col min="18" max="18" width="14" bestFit="1" customWidth="1"/>
    <col min="19" max="19" width="11.33203125" bestFit="1" customWidth="1"/>
    <col min="20" max="20" width="14" bestFit="1" customWidth="1"/>
    <col min="21" max="21" width="10.33203125" bestFit="1" customWidth="1"/>
    <col min="22" max="22" width="12.88671875" bestFit="1" customWidth="1"/>
    <col min="23" max="23" width="9.33203125" bestFit="1" customWidth="1"/>
    <col min="24" max="24" width="12.88671875" bestFit="1" customWidth="1"/>
    <col min="25" max="25" width="15" bestFit="1" customWidth="1"/>
    <col min="26" max="26" width="11.33203125" bestFit="1" customWidth="1"/>
    <col min="27" max="27" width="14" bestFit="1" customWidth="1"/>
  </cols>
  <sheetData>
    <row r="4" spans="1:16">
      <c r="A4" t="s">
        <v>1040</v>
      </c>
      <c r="B4" s="1230" t="s">
        <v>576</v>
      </c>
      <c r="C4" t="s">
        <v>159</v>
      </c>
      <c r="D4" t="s">
        <v>1041</v>
      </c>
      <c r="E4" t="s">
        <v>520</v>
      </c>
      <c r="F4" t="s">
        <v>1042</v>
      </c>
      <c r="G4" t="s">
        <v>1043</v>
      </c>
      <c r="H4" t="s">
        <v>521</v>
      </c>
      <c r="I4" t="s">
        <v>1044</v>
      </c>
      <c r="J4" t="s">
        <v>522</v>
      </c>
      <c r="K4" t="s">
        <v>1045</v>
      </c>
      <c r="L4" t="s">
        <v>1046</v>
      </c>
      <c r="M4" t="s">
        <v>1047</v>
      </c>
      <c r="N4" t="s">
        <v>1048</v>
      </c>
      <c r="O4" t="s">
        <v>1049</v>
      </c>
      <c r="P4" t="s">
        <v>1050</v>
      </c>
    </row>
    <row r="5" spans="1:16">
      <c r="A5" t="s">
        <v>523</v>
      </c>
      <c r="C5" s="1630">
        <f>43857.8943487701+B103</f>
        <v>47201.298041181355</v>
      </c>
      <c r="D5" s="1630">
        <f>33287606.3327374+C103</f>
        <v>39813817.757662036</v>
      </c>
      <c r="E5" s="1630">
        <f>39672+D103</f>
        <v>42458.169743676044</v>
      </c>
      <c r="F5" s="1640">
        <f>30535481+E103</f>
        <v>36517841.472847581</v>
      </c>
      <c r="G5" s="1564">
        <v>32429</v>
      </c>
      <c r="H5" s="1630">
        <f>34130+F103</f>
        <v>37513</v>
      </c>
      <c r="I5" s="1630">
        <f>29378741+G103</f>
        <v>35921432.99212347</v>
      </c>
      <c r="J5" s="1564">
        <f>H5-E5</f>
        <v>-4945.1697436760442</v>
      </c>
      <c r="K5" s="1564">
        <f>I5-F5</f>
        <v>-596408.4807241112</v>
      </c>
      <c r="L5" s="1564">
        <v>-0.14422759815173225</v>
      </c>
      <c r="M5" s="1564">
        <v>37569.153051643087</v>
      </c>
      <c r="N5" s="1564">
        <v>32345682.563037336</v>
      </c>
      <c r="O5" s="1564">
        <v>-6288.7412971268195</v>
      </c>
      <c r="P5" s="1564">
        <v>-941923.76969997643</v>
      </c>
    </row>
    <row r="6" spans="1:16">
      <c r="A6" t="s">
        <v>524</v>
      </c>
      <c r="C6" s="1630">
        <f>9637.48762525299+B104</f>
        <v>11590.386792078525</v>
      </c>
      <c r="D6" s="1630">
        <f>26534426.0171312+C104</f>
        <v>36344182.401372261</v>
      </c>
      <c r="E6" s="1630">
        <f>8806+D104</f>
        <v>10433.415972354613</v>
      </c>
      <c r="F6" s="1640">
        <f>24340635+E104</f>
        <v>33332911.685554307</v>
      </c>
      <c r="G6" s="1564">
        <v>11084</v>
      </c>
      <c r="H6" s="1630">
        <f>12260+F104</f>
        <v>13988</v>
      </c>
      <c r="I6" s="1630">
        <f>29506625+G104</f>
        <v>38416987.38681668</v>
      </c>
      <c r="J6" s="1564">
        <f t="shared" ref="J6:K19" si="0">H6-E6</f>
        <v>3554.5840276453873</v>
      </c>
      <c r="K6" s="1564">
        <f t="shared" si="0"/>
        <v>5084075.7012623735</v>
      </c>
      <c r="L6" s="1564">
        <v>0.39683707242597893</v>
      </c>
      <c r="M6" s="1564">
        <v>13492.580281690174</v>
      </c>
      <c r="N6" s="1564">
        <v>32517704.512198988</v>
      </c>
      <c r="O6" s="1564">
        <v>3855.0926564371252</v>
      </c>
      <c r="P6" s="1564">
        <v>5983278.4950677687</v>
      </c>
    </row>
    <row r="7" spans="1:16">
      <c r="A7" t="s">
        <v>525</v>
      </c>
      <c r="C7" s="1630">
        <f>3063.080028194+B105</f>
        <v>3369.0335251535053</v>
      </c>
      <c r="D7" s="1630">
        <f>754645.215531866+C105</f>
        <v>833538.82921137102</v>
      </c>
      <c r="E7" s="1640">
        <f>2810+D105</f>
        <v>3064.961247466254</v>
      </c>
      <c r="F7" s="1640">
        <f>692253+E105</f>
        <v>764572.14587287966</v>
      </c>
      <c r="G7" s="1564">
        <v>2848</v>
      </c>
      <c r="H7" s="1630">
        <f>2994+F105</f>
        <v>3128</v>
      </c>
      <c r="I7" s="1630">
        <f>722479+G105</f>
        <v>756887.44616599998</v>
      </c>
      <c r="J7" s="1564">
        <f t="shared" si="0"/>
        <v>63.038752533745992</v>
      </c>
      <c r="K7" s="1564">
        <f t="shared" si="0"/>
        <v>-7684.6997068796773</v>
      </c>
      <c r="L7" s="1564">
        <v>9.7854731334321807E-2</v>
      </c>
      <c r="M7" s="1564">
        <v>3381.0929577464781</v>
      </c>
      <c r="N7" s="1564">
        <v>795257.86143606622</v>
      </c>
      <c r="O7" s="1564">
        <v>318.01292955247874</v>
      </c>
      <c r="P7" s="1564">
        <v>40612.645904200072</v>
      </c>
    </row>
    <row r="8" spans="1:16">
      <c r="A8" t="s">
        <v>526</v>
      </c>
      <c r="B8" s="1638" t="s">
        <v>64</v>
      </c>
      <c r="C8" s="1564">
        <v>6925.1014362759915</v>
      </c>
      <c r="D8" s="1564">
        <v>5342244.5240211338</v>
      </c>
      <c r="E8" s="1564">
        <v>6337</v>
      </c>
      <c r="F8" s="1564">
        <v>4888520</v>
      </c>
      <c r="G8" s="1564">
        <v>4891</v>
      </c>
      <c r="H8" s="1564">
        <v>7333</v>
      </c>
      <c r="I8" s="1564">
        <v>5778805</v>
      </c>
      <c r="J8" s="1564">
        <f t="shared" si="0"/>
        <v>996</v>
      </c>
      <c r="K8" s="1564">
        <f t="shared" si="0"/>
        <v>890285</v>
      </c>
      <c r="L8" s="1564">
        <v>0.17022895952321904</v>
      </c>
      <c r="M8" s="1564">
        <v>8129.5777777777585</v>
      </c>
      <c r="N8" s="1564">
        <v>6393450.8309165109</v>
      </c>
      <c r="O8" s="1564">
        <v>1204.4763415017824</v>
      </c>
      <c r="P8" s="1564">
        <v>1051206.3068953841</v>
      </c>
    </row>
    <row r="9" spans="1:16">
      <c r="A9" t="s">
        <v>527</v>
      </c>
      <c r="B9" s="1638" t="s">
        <v>65</v>
      </c>
      <c r="C9" s="1630">
        <f>36608.0901718279+B106</f>
        <v>36620.238183463669</v>
      </c>
      <c r="D9" s="1630">
        <f>80493111.6357744+C106</f>
        <v>80508919.204960078</v>
      </c>
      <c r="E9" s="1630">
        <f>33298+D106</f>
        <v>33308.123343029809</v>
      </c>
      <c r="F9" s="1630">
        <f>73656710+E106</f>
        <v>73671200.271753535</v>
      </c>
      <c r="G9" s="1564">
        <v>35321</v>
      </c>
      <c r="H9" s="1630">
        <f>37522+F106</f>
        <v>37527</v>
      </c>
      <c r="I9" s="1630">
        <f>84483325+G106</f>
        <v>84503425.781219006</v>
      </c>
      <c r="J9" s="1564">
        <f t="shared" si="0"/>
        <v>4218.8766569701911</v>
      </c>
      <c r="K9" s="1564">
        <f t="shared" si="0"/>
        <v>10832225.509465471</v>
      </c>
      <c r="L9" s="1564">
        <v>0.13243076206371526</v>
      </c>
      <c r="M9" s="1564">
        <v>41590.571895424728</v>
      </c>
      <c r="N9" s="1564">
        <v>93112107.039395601</v>
      </c>
      <c r="O9" s="1564">
        <v>4982.4817235968067</v>
      </c>
      <c r="P9" s="1564">
        <v>12618995.403620901</v>
      </c>
    </row>
    <row r="10" spans="1:16">
      <c r="A10" t="s">
        <v>528</v>
      </c>
      <c r="B10" s="1638" t="s">
        <v>1100</v>
      </c>
      <c r="C10" s="1564">
        <v>3453.0450470369983</v>
      </c>
      <c r="D10" s="1564">
        <v>2163307.8597551221</v>
      </c>
      <c r="E10" s="1564">
        <v>3160</v>
      </c>
      <c r="F10" s="1564">
        <v>1979575</v>
      </c>
      <c r="G10" s="1564">
        <v>4309</v>
      </c>
      <c r="H10" s="1564">
        <v>4652</v>
      </c>
      <c r="I10" s="1564">
        <v>3001802</v>
      </c>
      <c r="J10" s="1564">
        <f t="shared" si="0"/>
        <v>1492</v>
      </c>
      <c r="K10" s="1564">
        <f t="shared" si="0"/>
        <v>1022227</v>
      </c>
      <c r="L10" s="1564">
        <v>0.49436163413028078</v>
      </c>
      <c r="M10" s="1564">
        <v>5174.2111111110817</v>
      </c>
      <c r="N10" s="1564">
        <v>3337135.1891171383</v>
      </c>
      <c r="O10" s="1564">
        <v>1721.1660640741138</v>
      </c>
      <c r="P10" s="1564">
        <v>1173827.3293620166</v>
      </c>
    </row>
    <row r="11" spans="1:16">
      <c r="A11" t="s">
        <v>529</v>
      </c>
      <c r="C11" s="1564">
        <v>28755.538533214003</v>
      </c>
      <c r="D11" s="1564">
        <v>7047711.7592768921</v>
      </c>
      <c r="E11" s="1564">
        <v>26313</v>
      </c>
      <c r="F11" s="1564">
        <v>6449139</v>
      </c>
      <c r="G11" s="1564">
        <v>23504</v>
      </c>
      <c r="H11" s="1564">
        <v>24684</v>
      </c>
      <c r="I11" s="1564">
        <v>6403577</v>
      </c>
      <c r="J11" s="1564">
        <f t="shared" si="0"/>
        <v>-1629</v>
      </c>
      <c r="K11" s="1564">
        <f t="shared" si="0"/>
        <v>-45562</v>
      </c>
      <c r="L11" s="1564">
        <v>-2.9674850638118231E-2</v>
      </c>
      <c r="M11" s="1564">
        <v>28013.681699346413</v>
      </c>
      <c r="N11" s="1564">
        <v>7145457.5582619598</v>
      </c>
      <c r="O11" s="1564">
        <v>-741.85683386759399</v>
      </c>
      <c r="P11" s="1564">
        <v>97745.798985068235</v>
      </c>
    </row>
    <row r="12" spans="1:16">
      <c r="A12" t="s">
        <v>530</v>
      </c>
      <c r="C12" s="1630">
        <f>160972.437478353+B108</f>
        <v>161450.17002971354</v>
      </c>
      <c r="D12" s="1640">
        <f>21277329.3422401+C108</f>
        <v>21339434.573962472</v>
      </c>
      <c r="E12" s="1640">
        <f>147664+D108</f>
        <v>148062.11045946711</v>
      </c>
      <c r="F12" s="1630">
        <f>19517467+E108</f>
        <v>19574396.795745511</v>
      </c>
      <c r="G12" s="1564">
        <v>130033</v>
      </c>
      <c r="H12" s="1640">
        <f>141506+F108</f>
        <v>144449</v>
      </c>
      <c r="I12" s="1630">
        <f>20106149+G108</f>
        <v>20490666.018162999</v>
      </c>
      <c r="J12" s="1564">
        <f t="shared" si="0"/>
        <v>-3613.1104594671051</v>
      </c>
      <c r="K12" s="1564">
        <f t="shared" si="0"/>
        <v>916269.22241748869</v>
      </c>
      <c r="L12" s="1564">
        <v>-3.4667328857048541E-2</v>
      </c>
      <c r="M12" s="1564">
        <v>155679.29953032854</v>
      </c>
      <c r="N12" s="1564">
        <v>22080661.954364914</v>
      </c>
      <c r="O12" s="1564">
        <v>-5293.1379480249225</v>
      </c>
      <c r="P12" s="1564">
        <v>803332.6121248299</v>
      </c>
    </row>
    <row r="13" spans="1:16">
      <c r="A13" t="s">
        <v>531</v>
      </c>
      <c r="C13" s="1630">
        <f>328385.174220436+B109</f>
        <v>332273.4039334394</v>
      </c>
      <c r="D13" s="1630">
        <f>27550082.4369255+C109</f>
        <v>27846676.599517513</v>
      </c>
      <c r="E13" s="1630">
        <f>301235+D109</f>
        <v>304475.19142750284</v>
      </c>
      <c r="F13" s="1630">
        <f>25271880+E109</f>
        <v>25543757.982376013</v>
      </c>
      <c r="G13" s="1564">
        <v>257889</v>
      </c>
      <c r="H13" s="1630">
        <f>298306+F109</f>
        <v>306649</v>
      </c>
      <c r="I13" s="1630">
        <f>28190224+G109</f>
        <v>28840131.710965998</v>
      </c>
      <c r="J13" s="1564">
        <f t="shared" si="0"/>
        <v>2173.8085724971606</v>
      </c>
      <c r="K13" s="1564">
        <f t="shared" si="0"/>
        <v>3296373.7285899855</v>
      </c>
      <c r="L13" s="1564">
        <v>-9.4456253575354084E-3</v>
      </c>
      <c r="M13" s="1564">
        <v>325920.93708904769</v>
      </c>
      <c r="N13" s="1564">
        <v>30848048.917450506</v>
      </c>
      <c r="O13" s="1564">
        <v>-2464.2371313899425</v>
      </c>
      <c r="P13" s="1564">
        <v>3297966.4805250568</v>
      </c>
    </row>
    <row r="14" spans="1:16">
      <c r="A14" t="s">
        <v>532</v>
      </c>
      <c r="C14" s="1564">
        <v>48747.012691073003</v>
      </c>
      <c r="D14" s="1564">
        <v>8385068.2524012979</v>
      </c>
      <c r="E14" s="1564">
        <v>44717</v>
      </c>
      <c r="F14" s="1564">
        <v>7691815</v>
      </c>
      <c r="G14" s="1564">
        <v>47481</v>
      </c>
      <c r="H14" s="1564">
        <v>59251</v>
      </c>
      <c r="I14" s="1564">
        <v>9434232</v>
      </c>
      <c r="J14" s="1564">
        <f t="shared" si="0"/>
        <v>14534</v>
      </c>
      <c r="K14" s="1564">
        <f t="shared" si="0"/>
        <v>1742417</v>
      </c>
      <c r="L14" s="1564">
        <v>0.32510077355124828</v>
      </c>
      <c r="M14" s="1564">
        <v>65001.599999999904</v>
      </c>
      <c r="N14" s="1564">
        <v>10299712.495690791</v>
      </c>
      <c r="O14" s="1564">
        <v>16254.587308927039</v>
      </c>
      <c r="P14" s="1564">
        <v>1914644.2432895077</v>
      </c>
    </row>
    <row r="15" spans="1:16">
      <c r="A15" t="s">
        <v>1051</v>
      </c>
      <c r="C15" s="1630">
        <f>2108.517611686+B111</f>
        <v>2108.5176116859998</v>
      </c>
      <c r="D15" s="1630">
        <f>2711579.02987254+C111</f>
        <v>2756279.3673303579</v>
      </c>
      <c r="E15" s="1630">
        <f>1933+D111</f>
        <v>1933</v>
      </c>
      <c r="F15" s="1630">
        <f>2485614+E111</f>
        <v>2526589.3093363331</v>
      </c>
      <c r="G15" s="1564">
        <v>0</v>
      </c>
      <c r="H15" s="1630">
        <f>50919+F111</f>
        <v>50919</v>
      </c>
      <c r="I15" s="1630">
        <f>5744470+G111</f>
        <v>5744470</v>
      </c>
      <c r="J15" s="1564">
        <f t="shared" si="0"/>
        <v>48986</v>
      </c>
      <c r="K15" s="1564">
        <f t="shared" si="0"/>
        <v>3217880.6906636669</v>
      </c>
      <c r="L15" s="1564">
        <v>25.448723828968856</v>
      </c>
      <c r="M15" s="1564">
        <v>55767.6</v>
      </c>
      <c r="N15" s="1564">
        <v>6303105.6133416025</v>
      </c>
      <c r="O15" s="1564">
        <v>53659.082388313989</v>
      </c>
      <c r="P15" s="1564">
        <v>3591526.5834690593</v>
      </c>
    </row>
    <row r="16" spans="1:16">
      <c r="A16" t="s">
        <v>872</v>
      </c>
      <c r="C16" s="1630">
        <f>304362.330378194+B110</f>
        <v>304844.92162647296</v>
      </c>
      <c r="D16" s="1630">
        <f>82069942.6306418+C110</f>
        <v>82852034.853528187</v>
      </c>
      <c r="E16" s="1630">
        <f>278819+D110</f>
        <v>279221.15937356581</v>
      </c>
      <c r="F16" s="1630">
        <f>75146761+E110</f>
        <v>75863678.87097919</v>
      </c>
      <c r="G16" s="1564">
        <v>235304.95209242983</v>
      </c>
      <c r="H16" s="1630">
        <f>259306+F110</f>
        <v>259306</v>
      </c>
      <c r="I16" s="1640">
        <f>76977022+G110</f>
        <v>76977022</v>
      </c>
      <c r="J16" s="1564">
        <f t="shared" si="0"/>
        <v>-19915.15937356581</v>
      </c>
      <c r="K16" s="1564">
        <f t="shared" si="0"/>
        <v>1113343.1290208101</v>
      </c>
      <c r="L16" s="1564">
        <v>-6.77279841045033E-2</v>
      </c>
      <c r="M16" s="1564">
        <v>283972.18466413696</v>
      </c>
      <c r="N16" s="1564">
        <v>84363751.143181205</v>
      </c>
      <c r="O16" s="1564">
        <v>-20390.145714057577</v>
      </c>
      <c r="P16" s="1564">
        <v>2293808.5125394403</v>
      </c>
    </row>
    <row r="17" spans="1:17">
      <c r="A17" t="s">
        <v>533</v>
      </c>
      <c r="C17" s="1564">
        <v>2986454.9698524242</v>
      </c>
      <c r="D17" s="1564">
        <v>10789219.246074203</v>
      </c>
      <c r="E17" s="1564">
        <v>2732811</v>
      </c>
      <c r="F17" s="1564">
        <v>9872876</v>
      </c>
      <c r="G17" s="1564">
        <v>2439835.8576913225</v>
      </c>
      <c r="H17" s="1564">
        <v>2981853</v>
      </c>
      <c r="I17" s="1564">
        <v>11780040.23683231</v>
      </c>
      <c r="J17" s="1564">
        <f t="shared" si="0"/>
        <v>249042</v>
      </c>
      <c r="K17" s="1564">
        <f t="shared" si="0"/>
        <v>1907164.2368323095</v>
      </c>
      <c r="L17" s="1564">
        <v>7.8488603432080833E-2</v>
      </c>
      <c r="M17" s="1564">
        <v>3221031.1269850866</v>
      </c>
      <c r="N17" s="1564">
        <v>12677854.265660038</v>
      </c>
      <c r="O17" s="1564">
        <v>234576.15713266094</v>
      </c>
      <c r="P17" s="1564">
        <v>1888635.0195858374</v>
      </c>
    </row>
    <row r="18" spans="1:17">
      <c r="A18" t="s">
        <v>358</v>
      </c>
      <c r="C18" s="1564">
        <v>142591.91474491303</v>
      </c>
      <c r="D18" s="1564">
        <v>14855976.502714235</v>
      </c>
      <c r="E18" s="1564">
        <v>130481</v>
      </c>
      <c r="F18" s="1564">
        <v>13594236</v>
      </c>
      <c r="G18" s="1564">
        <v>130876</v>
      </c>
      <c r="H18" s="1564">
        <v>137802</v>
      </c>
      <c r="I18" s="1564">
        <v>14642799.731629999</v>
      </c>
      <c r="J18" s="1564">
        <f t="shared" si="0"/>
        <v>7321</v>
      </c>
      <c r="K18" s="1564">
        <f t="shared" si="0"/>
        <v>1048563.7316299994</v>
      </c>
      <c r="L18" s="1564">
        <v>5.6383058443407248E-2</v>
      </c>
      <c r="M18" s="1564">
        <v>150669.14052402493</v>
      </c>
      <c r="N18" s="1564">
        <v>16004073.354573235</v>
      </c>
      <c r="O18" s="1564">
        <v>8077.2257791119855</v>
      </c>
      <c r="P18" s="1564">
        <v>1148096.8518590049</v>
      </c>
    </row>
    <row r="19" spans="1:17">
      <c r="A19" t="s">
        <v>534</v>
      </c>
      <c r="C19" s="1564">
        <v>75439.872075968553</v>
      </c>
      <c r="D19" s="1564">
        <v>36261896.194566242</v>
      </c>
      <c r="E19" s="1564">
        <v>69033</v>
      </c>
      <c r="F19" s="1564">
        <v>33182119</v>
      </c>
      <c r="G19" s="1564">
        <v>64656</v>
      </c>
      <c r="H19" s="1564">
        <v>82508</v>
      </c>
      <c r="I19" s="1564">
        <v>38880145.450000033</v>
      </c>
      <c r="J19" s="1564">
        <f t="shared" si="0"/>
        <v>13475</v>
      </c>
      <c r="K19" s="1564">
        <f t="shared" si="0"/>
        <v>5698026.4500000328</v>
      </c>
      <c r="L19" s="1564">
        <v>0.18227980834740515</v>
      </c>
      <c r="M19" s="1564">
        <v>89252.456862989871</v>
      </c>
      <c r="N19" s="1564">
        <v>42240418.496367313</v>
      </c>
      <c r="O19" s="1564">
        <v>13812.584787021437</v>
      </c>
      <c r="P19" s="1564">
        <v>5978522.3018010296</v>
      </c>
    </row>
    <row r="20" spans="1:17">
      <c r="A20" t="s">
        <v>1031</v>
      </c>
      <c r="C20" s="1564">
        <f>SUM(C5:C19)</f>
        <v>4191825.4241240947</v>
      </c>
      <c r="D20" s="1564">
        <f>SUM(D5:D19)</f>
        <v>377140307.92635339</v>
      </c>
      <c r="E20" s="1564">
        <f>SUM(E5:E19)</f>
        <v>3835808.1315670623</v>
      </c>
      <c r="F20" s="1564">
        <f>SUM(F5:F19)</f>
        <v>345453228.53446531</v>
      </c>
      <c r="G20" s="1564">
        <v>3420461.8097837521</v>
      </c>
      <c r="H20" s="1564">
        <f>SUM(H5:H19)</f>
        <v>4151562</v>
      </c>
      <c r="I20" s="1564">
        <f>SUM(I5:I19)</f>
        <v>381572424.7539165</v>
      </c>
      <c r="J20" s="1564">
        <v>252150.02892592322</v>
      </c>
      <c r="K20" s="1564">
        <v>33706358.345852345</v>
      </c>
      <c r="L20" s="1564">
        <v>7.1928818730298535E-2</v>
      </c>
      <c r="M20" s="1564">
        <v>4484645.2144303545</v>
      </c>
      <c r="N20" s="1564">
        <v>400464421.79499328</v>
      </c>
      <c r="O20" s="1564">
        <v>303282.74818673084</v>
      </c>
      <c r="P20" s="1564">
        <v>40940274.815329134</v>
      </c>
      <c r="Q20" s="1651">
        <f>SUM(J20:K20)</f>
        <v>33958508.374778271</v>
      </c>
    </row>
    <row r="21" spans="1:17" ht="36.75" hidden="1" customHeight="1">
      <c r="A21" s="1565" t="s">
        <v>66</v>
      </c>
      <c r="B21" s="1565" t="s">
        <v>1040</v>
      </c>
      <c r="C21" s="1565" t="s">
        <v>159</v>
      </c>
      <c r="D21" s="1566" t="s">
        <v>1041</v>
      </c>
      <c r="E21" s="1566" t="s">
        <v>520</v>
      </c>
      <c r="F21" s="1566" t="s">
        <v>1042</v>
      </c>
      <c r="G21" s="1566" t="s">
        <v>1043</v>
      </c>
      <c r="H21" s="1566" t="s">
        <v>521</v>
      </c>
      <c r="I21" s="1566" t="s">
        <v>1044</v>
      </c>
      <c r="J21" s="1566" t="s">
        <v>522</v>
      </c>
      <c r="K21" s="1566" t="s">
        <v>1045</v>
      </c>
      <c r="L21" s="1566" t="s">
        <v>1046</v>
      </c>
      <c r="M21" s="1566" t="s">
        <v>1047</v>
      </c>
      <c r="N21" s="1566" t="s">
        <v>1048</v>
      </c>
      <c r="O21" s="1566" t="s">
        <v>1049</v>
      </c>
      <c r="P21" s="1566" t="s">
        <v>1050</v>
      </c>
    </row>
    <row r="22" spans="1:17" hidden="1">
      <c r="A22" s="1565" t="s">
        <v>523</v>
      </c>
      <c r="B22" s="1565" t="s">
        <v>523</v>
      </c>
      <c r="C22" s="1567">
        <v>43857.894348770053</v>
      </c>
      <c r="D22" s="1567">
        <v>33287606.332737386</v>
      </c>
      <c r="E22" s="1567">
        <v>10705.470274109213</v>
      </c>
      <c r="F22" s="1567">
        <v>8125321.2308256533</v>
      </c>
      <c r="G22" s="1567">
        <v>9415</v>
      </c>
      <c r="H22" s="1567">
        <v>9504</v>
      </c>
      <c r="I22" s="1567">
        <v>8240652.2558018817</v>
      </c>
      <c r="J22" s="1567">
        <v>-1201.4702741092137</v>
      </c>
      <c r="K22" s="1567">
        <v>115331.0249762227</v>
      </c>
      <c r="L22" s="1567">
        <v>-0.11222956519854391</v>
      </c>
      <c r="M22" s="1567">
        <v>38801.516129032287</v>
      </c>
      <c r="N22" s="1567">
        <v>33618795.433395043</v>
      </c>
      <c r="O22" s="1567">
        <v>-5056.3782197377368</v>
      </c>
      <c r="P22" s="1567">
        <v>331189.10065766709</v>
      </c>
    </row>
    <row r="23" spans="1:17" hidden="1">
      <c r="A23" s="1565" t="s">
        <v>524</v>
      </c>
      <c r="B23" s="1565" t="s">
        <v>524</v>
      </c>
      <c r="C23" s="1567">
        <v>9637.4876252529939</v>
      </c>
      <c r="D23" s="1567">
        <v>26534426.017131247</v>
      </c>
      <c r="E23" s="1567">
        <v>2352.4576093137262</v>
      </c>
      <c r="F23" s="1567">
        <v>6476907.1380399186</v>
      </c>
      <c r="G23" s="1567">
        <v>3189</v>
      </c>
      <c r="H23" s="1567">
        <v>3270</v>
      </c>
      <c r="I23" s="1567">
        <v>8350085.8339345241</v>
      </c>
      <c r="J23" s="1567">
        <v>917.54239068627692</v>
      </c>
      <c r="K23" s="1567">
        <v>1873178.6958946141</v>
      </c>
      <c r="L23" s="1567">
        <v>0.39003567462962624</v>
      </c>
      <c r="M23" s="1567">
        <v>13281.677419354859</v>
      </c>
      <c r="N23" s="1567">
        <v>33902035.448242895</v>
      </c>
      <c r="O23" s="1567">
        <v>3644.1897941018347</v>
      </c>
      <c r="P23" s="1567">
        <v>7367609.4311116179</v>
      </c>
    </row>
    <row r="24" spans="1:17" hidden="1">
      <c r="A24" s="1565" t="s">
        <v>525</v>
      </c>
      <c r="B24" s="1565" t="s">
        <v>525</v>
      </c>
      <c r="C24" s="1567">
        <v>3063.0800281940014</v>
      </c>
      <c r="D24" s="1567">
        <v>754645.21553186618</v>
      </c>
      <c r="E24" s="1567">
        <v>747.68095176388954</v>
      </c>
      <c r="F24" s="1567">
        <v>184204.73764951056</v>
      </c>
      <c r="G24" s="1567">
        <v>976</v>
      </c>
      <c r="H24" s="1567">
        <v>699</v>
      </c>
      <c r="I24" s="1567">
        <v>174363.17324383999</v>
      </c>
      <c r="J24" s="1567">
        <v>-48.680951763889752</v>
      </c>
      <c r="K24" s="1567">
        <v>-9841.5644056705951</v>
      </c>
      <c r="L24" s="1567">
        <v>-6.5109257697476733E-2</v>
      </c>
      <c r="M24" s="1567">
        <v>2804.8064516129029</v>
      </c>
      <c r="N24" s="1567">
        <v>699653.91218771471</v>
      </c>
      <c r="O24" s="1567">
        <v>-258.27357658109668</v>
      </c>
      <c r="P24" s="1567">
        <v>-54991.3033441511</v>
      </c>
    </row>
    <row r="25" spans="1:17" hidden="1">
      <c r="A25" s="1565" t="s">
        <v>526</v>
      </c>
      <c r="B25" s="1565" t="s">
        <v>526</v>
      </c>
      <c r="C25" s="1567">
        <v>6925.1014362759915</v>
      </c>
      <c r="D25" s="1567">
        <v>5342244.5240211338</v>
      </c>
      <c r="E25" s="1567">
        <v>1726.532138907168</v>
      </c>
      <c r="F25" s="1567">
        <v>1331902.0594134883</v>
      </c>
      <c r="G25" s="1567">
        <v>1579</v>
      </c>
      <c r="H25" s="1567">
        <v>1922</v>
      </c>
      <c r="I25" s="1567">
        <v>1486963.5903460011</v>
      </c>
      <c r="J25" s="1567">
        <v>195.46786109283298</v>
      </c>
      <c r="K25" s="1567">
        <v>155061.53093251199</v>
      </c>
      <c r="L25" s="1567">
        <v>0.11321414567849111</v>
      </c>
      <c r="M25" s="1567">
        <v>7698.3296703296692</v>
      </c>
      <c r="N25" s="1567">
        <v>5955390.8954736544</v>
      </c>
      <c r="O25" s="1567">
        <v>773.22823405367001</v>
      </c>
      <c r="P25" s="1567">
        <v>613146.37145251455</v>
      </c>
    </row>
    <row r="26" spans="1:17" hidden="1">
      <c r="A26" s="1565" t="s">
        <v>527</v>
      </c>
      <c r="B26" s="1565" t="s">
        <v>527</v>
      </c>
      <c r="C26" s="1567">
        <v>36608.090171827949</v>
      </c>
      <c r="D26" s="1567">
        <v>80493111.635774434</v>
      </c>
      <c r="E26" s="1567">
        <v>9126.9485085927336</v>
      </c>
      <c r="F26" s="1567">
        <v>20068145.640699938</v>
      </c>
      <c r="G26" s="1567">
        <v>10535</v>
      </c>
      <c r="H26" s="1567">
        <v>9698</v>
      </c>
      <c r="I26" s="1567">
        <v>22820648.756822847</v>
      </c>
      <c r="J26" s="1567">
        <v>571.05149140726553</v>
      </c>
      <c r="K26" s="1567">
        <v>2752503.1161229135</v>
      </c>
      <c r="L26" s="1567">
        <v>6.2567624970124303E-2</v>
      </c>
      <c r="M26" s="1567">
        <v>38841.153846153793</v>
      </c>
      <c r="N26" s="1567">
        <v>91420362.956189543</v>
      </c>
      <c r="O26" s="1567">
        <v>2233.0636743258447</v>
      </c>
      <c r="P26" s="1567">
        <v>10927251.320415078</v>
      </c>
    </row>
    <row r="27" spans="1:17" hidden="1">
      <c r="A27" s="1565" t="s">
        <v>528</v>
      </c>
      <c r="B27" s="1565" t="s">
        <v>528</v>
      </c>
      <c r="C27" s="1567">
        <v>3453.0450470369979</v>
      </c>
      <c r="D27" s="1567">
        <v>2163307.8597551221</v>
      </c>
      <c r="E27" s="1567">
        <v>860.89616241196518</v>
      </c>
      <c r="F27" s="1567">
        <v>539345.24722661893</v>
      </c>
      <c r="G27" s="1567">
        <v>1424</v>
      </c>
      <c r="H27" s="1567">
        <v>1245</v>
      </c>
      <c r="I27" s="1567">
        <v>797723.49919899984</v>
      </c>
      <c r="J27" s="1567">
        <v>384.10383758803556</v>
      </c>
      <c r="K27" s="1567">
        <v>258378.25197238126</v>
      </c>
      <c r="L27" s="1567">
        <v>0.44616744081178761</v>
      </c>
      <c r="M27" s="1567">
        <v>4987.3296703296664</v>
      </c>
      <c r="N27" s="1567">
        <v>3195299.9089960754</v>
      </c>
      <c r="O27" s="1567">
        <v>1534.2846232926677</v>
      </c>
      <c r="P27" s="1567">
        <v>1031992.049240957</v>
      </c>
    </row>
    <row r="28" spans="1:17" hidden="1">
      <c r="A28" s="1565" t="s">
        <v>529</v>
      </c>
      <c r="B28" s="1565" t="s">
        <v>529</v>
      </c>
      <c r="C28" s="1567">
        <v>28755.538533214003</v>
      </c>
      <c r="D28" s="1567">
        <v>7047711.7592768921</v>
      </c>
      <c r="E28" s="1567">
        <v>7169.1890589656841</v>
      </c>
      <c r="F28" s="1567">
        <v>1757100.7399841005</v>
      </c>
      <c r="G28" s="1567">
        <v>5991</v>
      </c>
      <c r="H28" s="1567">
        <v>7793</v>
      </c>
      <c r="I28" s="1567">
        <v>1895151.7199479192</v>
      </c>
      <c r="J28" s="1567">
        <v>623.81094103431803</v>
      </c>
      <c r="K28" s="1567">
        <v>138050.97996381883</v>
      </c>
      <c r="L28" s="1567">
        <v>8.7012761960041929E-2</v>
      </c>
      <c r="M28" s="1567">
        <v>31203.02197802197</v>
      </c>
      <c r="N28" s="1567">
        <v>7587773.9768617535</v>
      </c>
      <c r="O28" s="1567">
        <v>2447.483444807975</v>
      </c>
      <c r="P28" s="1567">
        <v>540062.21758486831</v>
      </c>
    </row>
    <row r="29" spans="1:17" hidden="1">
      <c r="A29" s="1565" t="s">
        <v>530</v>
      </c>
      <c r="B29" s="1565" t="s">
        <v>530</v>
      </c>
      <c r="C29" s="1567">
        <v>160972.43747835324</v>
      </c>
      <c r="D29" s="1567">
        <v>21277329.342240132</v>
      </c>
      <c r="E29" s="1567">
        <v>39292.484738767984</v>
      </c>
      <c r="F29" s="1567">
        <v>5195329.7244045492</v>
      </c>
      <c r="G29" s="1567">
        <v>38254</v>
      </c>
      <c r="H29" s="1567">
        <v>39374</v>
      </c>
      <c r="I29" s="1567">
        <v>5739886.4889239976</v>
      </c>
      <c r="J29" s="1567">
        <v>81.515261231999432</v>
      </c>
      <c r="K29" s="1567">
        <v>544556.76451945235</v>
      </c>
      <c r="L29" s="1567">
        <v>2.0745763922527475E-3</v>
      </c>
      <c r="M29" s="1567">
        <v>160420.8064513779</v>
      </c>
      <c r="N29" s="1567">
        <v>23365647.624713652</v>
      </c>
      <c r="O29" s="1567">
        <v>-551.63102697484578</v>
      </c>
      <c r="P29" s="1567">
        <v>2088318.2824734952</v>
      </c>
    </row>
    <row r="30" spans="1:17" hidden="1">
      <c r="A30" s="1565" t="s">
        <v>531</v>
      </c>
      <c r="B30" s="1565" t="s">
        <v>531</v>
      </c>
      <c r="C30" s="1567">
        <v>328385.17422043619</v>
      </c>
      <c r="D30" s="1567">
        <v>27550082.436925452</v>
      </c>
      <c r="E30" s="1567">
        <v>80157.011030326816</v>
      </c>
      <c r="F30" s="1567">
        <v>6725841.3138890434</v>
      </c>
      <c r="G30" s="1567">
        <v>73918</v>
      </c>
      <c r="H30" s="1567">
        <v>82775</v>
      </c>
      <c r="I30" s="1567">
        <v>7858855.4631230058</v>
      </c>
      <c r="J30" s="1567">
        <v>2617.9889696729906</v>
      </c>
      <c r="K30" s="1567">
        <v>1133014.1492339591</v>
      </c>
      <c r="L30" s="1567">
        <v>3.2660760874460425E-2</v>
      </c>
      <c r="M30" s="1567">
        <v>337536.06451315846</v>
      </c>
      <c r="N30" s="1567">
        <v>31997816.498547751</v>
      </c>
      <c r="O30" s="1567">
        <v>9150.8902927226118</v>
      </c>
      <c r="P30" s="1567">
        <v>4447734.0616222704</v>
      </c>
    </row>
    <row r="31" spans="1:17" hidden="1">
      <c r="A31" s="1565" t="s">
        <v>532</v>
      </c>
      <c r="B31" s="1565" t="s">
        <v>532</v>
      </c>
      <c r="C31" s="1567">
        <v>48747.012691072996</v>
      </c>
      <c r="D31" s="1567">
        <v>8385068.2524012979</v>
      </c>
      <c r="E31" s="1567">
        <v>11898.877113533001</v>
      </c>
      <c r="F31" s="1567">
        <v>2046748.9435109231</v>
      </c>
      <c r="G31" s="1567">
        <v>13620</v>
      </c>
      <c r="H31" s="1567">
        <v>15017</v>
      </c>
      <c r="I31" s="1567">
        <v>2226064.0190210002</v>
      </c>
      <c r="J31" s="1567">
        <v>3118.1228864669988</v>
      </c>
      <c r="K31" s="1567">
        <v>179315.07551007622</v>
      </c>
      <c r="L31" s="1567">
        <v>0.26205186058444546</v>
      </c>
      <c r="M31" s="1567">
        <v>60068</v>
      </c>
      <c r="N31" s="1567">
        <v>8904256.076084001</v>
      </c>
      <c r="O31" s="1567">
        <v>11320.987308926997</v>
      </c>
      <c r="P31" s="1567">
        <v>519187.82368270541</v>
      </c>
    </row>
    <row r="32" spans="1:17" hidden="1">
      <c r="A32" s="1565"/>
      <c r="B32" s="1565" t="s">
        <v>1051</v>
      </c>
      <c r="C32" s="1567">
        <v>2108.5176116859998</v>
      </c>
      <c r="D32" s="1567">
        <v>2711579.0298725404</v>
      </c>
      <c r="E32" s="1567">
        <v>527.12940292149995</v>
      </c>
      <c r="F32" s="1567">
        <v>677894.7574681351</v>
      </c>
      <c r="G32" s="1567">
        <v>0</v>
      </c>
      <c r="H32" s="1567">
        <v>14619</v>
      </c>
      <c r="I32" s="1567">
        <v>1709601.0421479999</v>
      </c>
      <c r="J32" s="1567">
        <v>14091.870597078499</v>
      </c>
      <c r="K32" s="1567">
        <v>1031706.2846798656</v>
      </c>
      <c r="L32" s="1567">
        <v>26.733228157976722</v>
      </c>
      <c r="M32" s="1567">
        <v>58476</v>
      </c>
      <c r="N32" s="1567">
        <v>6838404.1685919994</v>
      </c>
      <c r="O32" s="1567">
        <v>56367.482388313998</v>
      </c>
      <c r="P32" s="1567">
        <v>4126825.1387194623</v>
      </c>
    </row>
    <row r="33" spans="1:27" hidden="1">
      <c r="A33" s="1565" t="s">
        <v>872</v>
      </c>
      <c r="B33" s="1565" t="s">
        <v>872</v>
      </c>
      <c r="C33" s="1567">
        <v>304362.33037819434</v>
      </c>
      <c r="D33" s="1567">
        <v>84881592.321592763</v>
      </c>
      <c r="E33" s="1567">
        <v>75236.993447515284</v>
      </c>
      <c r="F33" s="1567">
        <v>21098084.599803984</v>
      </c>
      <c r="G33" s="1567">
        <v>70860.412419642991</v>
      </c>
      <c r="H33" s="1567">
        <v>72220.889756216799</v>
      </c>
      <c r="I33" s="1567">
        <v>20717185.169016335</v>
      </c>
      <c r="J33" s="1567">
        <v>-3016.1036912984878</v>
      </c>
      <c r="K33" s="1567">
        <v>-380899.43078765151</v>
      </c>
      <c r="L33" s="1567">
        <v>-4.0088041176213361E-2</v>
      </c>
      <c r="M33" s="1567">
        <v>291920.5592312736</v>
      </c>
      <c r="N33" s="1567">
        <v>83316938.586327851</v>
      </c>
      <c r="O33" s="1567">
        <v>-12441.771146920721</v>
      </c>
      <c r="P33" s="1567">
        <v>-1564653.7352649637</v>
      </c>
    </row>
    <row r="34" spans="1:27" hidden="1">
      <c r="A34" s="1565" t="s">
        <v>533</v>
      </c>
      <c r="B34" s="1565" t="s">
        <v>533</v>
      </c>
      <c r="C34" s="1567">
        <v>2986454.9698524242</v>
      </c>
      <c r="D34" s="1567">
        <v>10789219.246074203</v>
      </c>
      <c r="E34" s="1567">
        <v>744568.2098531808</v>
      </c>
      <c r="F34" s="1567">
        <v>2689910.8242482375</v>
      </c>
      <c r="G34" s="1567">
        <v>719204.25506101886</v>
      </c>
      <c r="H34" s="1567">
        <v>791743.2575094162</v>
      </c>
      <c r="I34" s="1567">
        <v>3013553.0999028753</v>
      </c>
      <c r="J34" s="1567">
        <v>47175.047656235125</v>
      </c>
      <c r="K34" s="1567">
        <v>323642.27565463813</v>
      </c>
      <c r="L34" s="1567">
        <v>6.3358933448874263E-2</v>
      </c>
      <c r="M34" s="1567">
        <v>3175596.1757245823</v>
      </c>
      <c r="N34" s="1567">
        <v>12086507.227940949</v>
      </c>
      <c r="O34" s="1567">
        <v>189141.20587215666</v>
      </c>
      <c r="P34" s="1567">
        <v>1297287.9818667499</v>
      </c>
    </row>
    <row r="35" spans="1:27" hidden="1">
      <c r="A35" s="1565" t="s">
        <v>358</v>
      </c>
      <c r="B35" s="1565" t="s">
        <v>358</v>
      </c>
      <c r="C35" s="1567">
        <v>142591.91474491303</v>
      </c>
      <c r="D35" s="1567">
        <v>14855976.502714235</v>
      </c>
      <c r="E35" s="1567">
        <v>35550.312990916995</v>
      </c>
      <c r="F35" s="1567">
        <v>3703818.7992929877</v>
      </c>
      <c r="G35" s="1567">
        <v>40120</v>
      </c>
      <c r="H35" s="1567">
        <v>38124</v>
      </c>
      <c r="I35" s="1567">
        <v>4042088.8616740005</v>
      </c>
      <c r="J35" s="1567">
        <v>2573.6870090830002</v>
      </c>
      <c r="K35" s="1567">
        <v>338270.06238101242</v>
      </c>
      <c r="L35" s="1567">
        <v>7.2395621657130566E-2</v>
      </c>
      <c r="M35" s="1567">
        <v>152896.15384818637</v>
      </c>
      <c r="N35" s="1567">
        <v>16210835.414615957</v>
      </c>
      <c r="O35" s="1567">
        <v>10304.239103273394</v>
      </c>
      <c r="P35" s="1567">
        <v>1354858.9119017203</v>
      </c>
    </row>
    <row r="36" spans="1:27" hidden="1">
      <c r="A36" s="1565" t="s">
        <v>534</v>
      </c>
      <c r="B36" s="1565" t="s">
        <v>534</v>
      </c>
      <c r="C36" s="1567">
        <v>75440.620965386945</v>
      </c>
      <c r="D36" s="1567">
        <v>36261896.194662459</v>
      </c>
      <c r="E36" s="1567">
        <v>18808.483583151286</v>
      </c>
      <c r="F36" s="1567">
        <v>9040637.1334638</v>
      </c>
      <c r="G36" s="1567">
        <v>18731</v>
      </c>
      <c r="H36" s="1567">
        <v>21069</v>
      </c>
      <c r="I36" s="1567">
        <v>10249481.410000017</v>
      </c>
      <c r="J36" s="1567">
        <v>2260.5164168487217</v>
      </c>
      <c r="K36" s="1567">
        <v>1208844.2765362174</v>
      </c>
      <c r="L36" s="1567">
        <v>0.12018600047447213</v>
      </c>
      <c r="M36" s="1567">
        <v>84395.285714285652</v>
      </c>
      <c r="N36" s="1567">
        <v>41069355.998131931</v>
      </c>
      <c r="O36" s="1567">
        <v>8954.6647488987182</v>
      </c>
      <c r="P36" s="1567">
        <v>4807459.8034694437</v>
      </c>
    </row>
    <row r="37" spans="1:27" hidden="1">
      <c r="A37" s="1565"/>
      <c r="B37" s="1565" t="s">
        <v>1031</v>
      </c>
      <c r="C37" s="1567">
        <v>4181363.2151330388</v>
      </c>
      <c r="D37" s="1567">
        <v>362335796.6707111</v>
      </c>
      <c r="E37" s="1567">
        <v>1038728.676864378</v>
      </c>
      <c r="F37" s="1567">
        <v>89661192.889920875</v>
      </c>
      <c r="G37" s="1567">
        <v>1007816.6674806619</v>
      </c>
      <c r="H37" s="1567">
        <v>1109073.1472656331</v>
      </c>
      <c r="I37" s="1567">
        <v>99322304.383105233</v>
      </c>
      <c r="J37" s="1567">
        <v>70344.470401254483</v>
      </c>
      <c r="K37" s="1567">
        <v>9661111.4931843597</v>
      </c>
      <c r="L37" s="1567">
        <v>6.7721698618742471E-2</v>
      </c>
      <c r="M37" s="1567">
        <v>4458926.8806476984</v>
      </c>
      <c r="N37" s="1567">
        <v>400169074.12630075</v>
      </c>
      <c r="O37" s="1567">
        <v>277563.66551465995</v>
      </c>
      <c r="P37" s="1567">
        <v>37833277.455589436</v>
      </c>
    </row>
    <row r="38" spans="1:27">
      <c r="D38" s="1269"/>
    </row>
    <row r="41" spans="1:27" hidden="1">
      <c r="A41" s="1568" t="s">
        <v>66</v>
      </c>
      <c r="B41" s="1565" t="s">
        <v>1039</v>
      </c>
      <c r="C41" s="1565"/>
      <c r="D41" s="1565"/>
      <c r="E41" s="1565"/>
      <c r="F41" s="1565"/>
      <c r="G41" s="1565"/>
      <c r="H41" s="1565"/>
      <c r="I41" s="1565"/>
      <c r="J41" s="1565"/>
      <c r="K41" s="1565"/>
      <c r="L41" s="1565"/>
      <c r="M41" s="1565"/>
      <c r="N41" s="1565"/>
      <c r="O41" s="1565" t="s">
        <v>1052</v>
      </c>
      <c r="P41" s="1565"/>
      <c r="Q41" s="1565"/>
    </row>
    <row r="42" spans="1:27" hidden="1">
      <c r="A42" s="1565" t="s">
        <v>1053</v>
      </c>
      <c r="B42" s="1565" t="s">
        <v>159</v>
      </c>
      <c r="C42" s="1565" t="s">
        <v>1041</v>
      </c>
      <c r="D42" s="1565" t="s">
        <v>520</v>
      </c>
      <c r="E42" s="1565" t="s">
        <v>1042</v>
      </c>
      <c r="F42" s="1565" t="s">
        <v>521</v>
      </c>
      <c r="G42" s="1565" t="s">
        <v>1044</v>
      </c>
      <c r="H42" s="1565" t="s">
        <v>522</v>
      </c>
      <c r="I42" s="1565" t="s">
        <v>1045</v>
      </c>
      <c r="J42" s="1565" t="s">
        <v>1046</v>
      </c>
      <c r="K42" s="1565" t="s">
        <v>1047</v>
      </c>
      <c r="L42" s="1565" t="s">
        <v>1048</v>
      </c>
      <c r="M42" s="1565" t="s">
        <v>1049</v>
      </c>
      <c r="N42" s="1565" t="s">
        <v>1050</v>
      </c>
      <c r="O42" s="1565" t="s">
        <v>159</v>
      </c>
      <c r="P42" s="1565" t="s">
        <v>1041</v>
      </c>
      <c r="Q42" s="1565" t="s">
        <v>520</v>
      </c>
      <c r="R42" t="s">
        <v>1042</v>
      </c>
      <c r="S42" t="s">
        <v>521</v>
      </c>
      <c r="T42" t="s">
        <v>1044</v>
      </c>
      <c r="U42" t="s">
        <v>522</v>
      </c>
      <c r="V42" t="s">
        <v>1045</v>
      </c>
      <c r="W42" t="s">
        <v>1046</v>
      </c>
      <c r="X42" t="s">
        <v>1047</v>
      </c>
      <c r="Y42" t="s">
        <v>1048</v>
      </c>
      <c r="Z42" t="s">
        <v>1049</v>
      </c>
      <c r="AA42" t="s">
        <v>1050</v>
      </c>
    </row>
    <row r="43" spans="1:27" hidden="1">
      <c r="A43" s="1565" t="s">
        <v>158</v>
      </c>
      <c r="B43" s="1567">
        <v>2211301.9012794271</v>
      </c>
      <c r="C43" s="1567">
        <v>172956333.86819875</v>
      </c>
      <c r="D43" s="1567">
        <v>549377.73684977624</v>
      </c>
      <c r="E43" s="1567">
        <v>42803245.335249677</v>
      </c>
      <c r="F43" s="1567">
        <v>575319.23802520812</v>
      </c>
      <c r="G43" s="1567">
        <v>45698967.497115411</v>
      </c>
      <c r="H43" s="1567">
        <v>25941.501175430752</v>
      </c>
      <c r="I43" s="1567">
        <v>2895722.1618657648</v>
      </c>
      <c r="J43" s="1567">
        <v>4.7219789655444822E-2</v>
      </c>
      <c r="K43" s="1567">
        <v>2312572.604129768</v>
      </c>
      <c r="L43" s="1567">
        <v>184127245.631412</v>
      </c>
      <c r="M43" s="1567">
        <v>101270.70285034704</v>
      </c>
      <c r="N43" s="1567">
        <v>11170911.763212752</v>
      </c>
      <c r="O43" s="1567">
        <v>2211301.9012794234</v>
      </c>
      <c r="P43" s="1567">
        <v>172645401.63179892</v>
      </c>
      <c r="Q43" s="1567">
        <v>368900.26025006769</v>
      </c>
      <c r="R43" s="1273">
        <v>28740976.829697706</v>
      </c>
      <c r="S43" s="1273">
        <v>383192.82988502953</v>
      </c>
      <c r="T43" s="1273">
        <v>30346688.597429935</v>
      </c>
      <c r="U43" s="1273">
        <v>14292.569634962056</v>
      </c>
      <c r="V43" s="1273">
        <v>1605711.7677322594</v>
      </c>
      <c r="W43" s="1273">
        <v>3.8743723371931216E-2</v>
      </c>
      <c r="X43" s="1273">
        <v>2296178.4951404943</v>
      </c>
      <c r="Y43" s="1273">
        <v>182249584.55546227</v>
      </c>
      <c r="Z43" s="1273">
        <v>84876.59386107263</v>
      </c>
      <c r="AA43" s="1273">
        <v>9604182.9236634057</v>
      </c>
    </row>
    <row r="44" spans="1:27" hidden="1">
      <c r="A44" s="1565" t="s">
        <v>59</v>
      </c>
      <c r="B44" s="1567">
        <v>281739.62254293862</v>
      </c>
      <c r="C44" s="1567">
        <v>27204624.040810782</v>
      </c>
      <c r="D44" s="1567">
        <v>70044.94997160502</v>
      </c>
      <c r="E44" s="1567">
        <v>6726546.9960788907</v>
      </c>
      <c r="F44" s="1567">
        <v>28033.311419962152</v>
      </c>
      <c r="G44" s="1567">
        <v>8228552.2250975696</v>
      </c>
      <c r="H44" s="1567">
        <v>-42011.638551642813</v>
      </c>
      <c r="I44" s="1567">
        <v>1502005.2290186791</v>
      </c>
      <c r="J44" s="1567">
        <v>-0.59978112010464113</v>
      </c>
      <c r="K44" s="1567">
        <v>113068.01443373504</v>
      </c>
      <c r="L44" s="1567">
        <v>33154423.426118497</v>
      </c>
      <c r="M44" s="1567">
        <v>-168671.60810920325</v>
      </c>
      <c r="N44" s="1567">
        <v>5949799.3853077115</v>
      </c>
      <c r="O44" s="1567">
        <v>281739.62254293857</v>
      </c>
      <c r="P44" s="1567">
        <v>27166025.056210756</v>
      </c>
      <c r="Q44" s="1567">
        <v>47018.278991010615</v>
      </c>
      <c r="R44" s="1273">
        <v>4520878.5685881898</v>
      </c>
      <c r="S44" s="1273">
        <v>19203.208754040566</v>
      </c>
      <c r="T44" s="1273">
        <v>5745467.33254648</v>
      </c>
      <c r="U44" s="1273">
        <v>-27815.070236970183</v>
      </c>
      <c r="V44" s="1273">
        <v>1224588.7639582888</v>
      </c>
      <c r="W44" s="1273">
        <v>-0.59157993090917094</v>
      </c>
      <c r="X44" s="1273">
        <v>115308.32560511713</v>
      </c>
      <c r="Y44" s="1273">
        <v>34504628.225585647</v>
      </c>
      <c r="Z44" s="1273">
        <v>-166431.296937821</v>
      </c>
      <c r="AA44" s="1273">
        <v>7338603.169374872</v>
      </c>
    </row>
    <row r="45" spans="1:27" hidden="1">
      <c r="A45" s="1565" t="s">
        <v>56</v>
      </c>
      <c r="B45" s="1567">
        <v>59298.235142057914</v>
      </c>
      <c r="C45" s="1567">
        <v>5141939.8292726306</v>
      </c>
      <c r="D45" s="1567">
        <v>14737.822236437825</v>
      </c>
      <c r="E45" s="1567">
        <v>1273298.4224163457</v>
      </c>
      <c r="F45" s="1567">
        <v>7848.0639272055578</v>
      </c>
      <c r="G45" s="1567">
        <v>1575002.6494546589</v>
      </c>
      <c r="H45" s="1567">
        <v>-6889.7583092322539</v>
      </c>
      <c r="I45" s="1567">
        <v>301704.22703831171</v>
      </c>
      <c r="J45" s="1567">
        <v>-0.46748822171283894</v>
      </c>
      <c r="K45" s="1567">
        <v>31706.102565079156</v>
      </c>
      <c r="L45" s="1567">
        <v>6335354.9679635009</v>
      </c>
      <c r="M45" s="1567">
        <v>-27592.132576978747</v>
      </c>
      <c r="N45" s="1567">
        <v>1193415.1386908717</v>
      </c>
      <c r="O45" s="1567">
        <v>59298.235142057885</v>
      </c>
      <c r="P45" s="1567">
        <v>5134016.3495696224</v>
      </c>
      <c r="Q45" s="1567">
        <v>9894.1045051638048</v>
      </c>
      <c r="R45" s="1273">
        <v>854704.01554084802</v>
      </c>
      <c r="S45" s="1273">
        <v>5400.0428523026267</v>
      </c>
      <c r="T45" s="1273">
        <v>1086572.1260565347</v>
      </c>
      <c r="U45" s="1273">
        <v>-4494.0616528611718</v>
      </c>
      <c r="V45" s="1273">
        <v>231868.11051568502</v>
      </c>
      <c r="W45" s="1273">
        <v>-0.45421610925129086</v>
      </c>
      <c r="X45" s="1273">
        <v>32445.030025517637</v>
      </c>
      <c r="Y45" s="1273">
        <v>6521193.7930091331</v>
      </c>
      <c r="Z45" s="1273">
        <v>-26853.205116540244</v>
      </c>
      <c r="AA45" s="1273">
        <v>1387177.4434395027</v>
      </c>
    </row>
    <row r="46" spans="1:27" hidden="1">
      <c r="A46" s="1565" t="s">
        <v>1054</v>
      </c>
      <c r="B46" s="1567">
        <v>0</v>
      </c>
      <c r="C46" s="1567">
        <v>0</v>
      </c>
      <c r="D46" s="1567">
        <v>0</v>
      </c>
      <c r="E46" s="1567">
        <v>0</v>
      </c>
      <c r="F46" s="1567">
        <v>3087</v>
      </c>
      <c r="G46" s="1567">
        <v>270515.8693569543</v>
      </c>
      <c r="H46" s="1567">
        <v>3087</v>
      </c>
      <c r="I46" s="1567">
        <v>270515.8693569543</v>
      </c>
      <c r="J46" s="1567" t="e">
        <v>#DIV/0!</v>
      </c>
      <c r="K46" s="1567">
        <v>12348</v>
      </c>
      <c r="L46" s="1567">
        <v>1082063.4774278172</v>
      </c>
      <c r="M46" s="1567">
        <v>12348</v>
      </c>
      <c r="N46" s="1567">
        <v>1082063.4774278172</v>
      </c>
      <c r="O46" s="1567">
        <v>0</v>
      </c>
      <c r="P46" s="1567">
        <v>0</v>
      </c>
      <c r="Q46" s="1567">
        <v>0</v>
      </c>
      <c r="R46" s="1273">
        <v>0</v>
      </c>
      <c r="S46" s="1273">
        <v>2069</v>
      </c>
      <c r="T46" s="1273">
        <v>160568.69730067992</v>
      </c>
      <c r="U46" s="1273">
        <v>2069</v>
      </c>
      <c r="V46" s="1273">
        <v>160568.69730067992</v>
      </c>
      <c r="W46" s="1273" t="e">
        <v>#DIV/0!</v>
      </c>
      <c r="X46" s="1273">
        <v>12414</v>
      </c>
      <c r="Y46" s="1273">
        <v>963412.18380407977</v>
      </c>
      <c r="Z46" s="1273">
        <v>12414</v>
      </c>
      <c r="AA46" s="1273">
        <v>963412.18380407977</v>
      </c>
    </row>
    <row r="47" spans="1:27" hidden="1">
      <c r="A47" s="1565" t="s">
        <v>58</v>
      </c>
      <c r="B47" s="1567">
        <v>107496.90019675139</v>
      </c>
      <c r="C47" s="1567">
        <v>13858919.591951881</v>
      </c>
      <c r="D47" s="1567">
        <v>26690.242213266891</v>
      </c>
      <c r="E47" s="1567">
        <v>3425367.1438737083</v>
      </c>
      <c r="F47" s="1567">
        <v>14064.041742115858</v>
      </c>
      <c r="G47" s="1567">
        <v>4885581.1369555686</v>
      </c>
      <c r="H47" s="1567">
        <v>-12626.200471151067</v>
      </c>
      <c r="I47" s="1567">
        <v>1460213.99308186</v>
      </c>
      <c r="J47" s="1567">
        <v>-0.4730642895730251</v>
      </c>
      <c r="K47" s="1567">
        <v>56832.864697815086</v>
      </c>
      <c r="L47" s="1567">
        <v>19683312.370555218</v>
      </c>
      <c r="M47" s="1567">
        <v>-50664.035498936268</v>
      </c>
      <c r="N47" s="1567">
        <v>5824392.7786033414</v>
      </c>
      <c r="O47" s="1567">
        <v>107496.90019675152</v>
      </c>
      <c r="P47" s="1567">
        <v>13851833.853828901</v>
      </c>
      <c r="Q47" s="1567">
        <v>17927.723637207251</v>
      </c>
      <c r="R47" s="1273">
        <v>2304702.1621426656</v>
      </c>
      <c r="S47" s="1273">
        <v>9429.0279809787626</v>
      </c>
      <c r="T47" s="1273">
        <v>3322936.8830644479</v>
      </c>
      <c r="U47" s="1273">
        <v>-8498.6956562285177</v>
      </c>
      <c r="V47" s="1273">
        <v>1018234.7209217782</v>
      </c>
      <c r="W47" s="1273">
        <v>-0.47405325005068122</v>
      </c>
      <c r="X47" s="1273">
        <v>56673.918403104406</v>
      </c>
      <c r="Y47" s="1273">
        <v>19958253.792922713</v>
      </c>
      <c r="Z47" s="1273">
        <v>-50822.981793646883</v>
      </c>
      <c r="AA47" s="1273">
        <v>6106419.939093817</v>
      </c>
    </row>
    <row r="48" spans="1:27" hidden="1">
      <c r="A48" s="1565" t="s">
        <v>1055</v>
      </c>
      <c r="B48" s="1567">
        <v>0</v>
      </c>
      <c r="C48" s="1567">
        <v>0</v>
      </c>
      <c r="D48" s="1567">
        <v>0</v>
      </c>
      <c r="E48" s="1567">
        <v>0</v>
      </c>
      <c r="F48" s="1567">
        <v>77</v>
      </c>
      <c r="G48" s="1567">
        <v>38809.207494999995</v>
      </c>
      <c r="H48" s="1567">
        <v>77</v>
      </c>
      <c r="I48" s="1567">
        <v>38809.207494999995</v>
      </c>
      <c r="J48" s="1567" t="e">
        <v>#DIV/0!</v>
      </c>
      <c r="K48" s="1567">
        <v>308</v>
      </c>
      <c r="L48" s="1567">
        <v>155236.82997999998</v>
      </c>
      <c r="M48" s="1567">
        <v>308</v>
      </c>
      <c r="N48" s="1567">
        <v>155236.82997999998</v>
      </c>
      <c r="O48" s="1567">
        <v>0</v>
      </c>
      <c r="P48" s="1567">
        <v>0</v>
      </c>
      <c r="Q48" s="1567">
        <v>0</v>
      </c>
      <c r="R48" s="1273">
        <v>0</v>
      </c>
      <c r="S48" s="1273">
        <v>59</v>
      </c>
      <c r="T48" s="1273">
        <v>34112.974307999983</v>
      </c>
      <c r="U48" s="1273">
        <v>59</v>
      </c>
      <c r="V48" s="1273">
        <v>34112.974307999983</v>
      </c>
      <c r="W48" s="1273" t="e">
        <v>#DIV/0!</v>
      </c>
      <c r="X48" s="1273">
        <v>354</v>
      </c>
      <c r="Y48" s="1273">
        <v>204677.84584799988</v>
      </c>
      <c r="Z48" s="1273">
        <v>354</v>
      </c>
      <c r="AA48" s="1273">
        <v>204677.84584799988</v>
      </c>
    </row>
    <row r="49" spans="1:27" hidden="1">
      <c r="A49" s="1565" t="s">
        <v>57</v>
      </c>
      <c r="B49" s="1567">
        <v>29753.49797930097</v>
      </c>
      <c r="C49" s="1567">
        <v>10370166.158225771</v>
      </c>
      <c r="D49" s="1567">
        <v>7366.9477384183165</v>
      </c>
      <c r="E49" s="1567">
        <v>2567472.0529773678</v>
      </c>
      <c r="F49" s="1567">
        <v>7757.4361288311211</v>
      </c>
      <c r="G49" s="1567">
        <v>3101652.081230822</v>
      </c>
      <c r="H49" s="1567">
        <v>390.48839041280189</v>
      </c>
      <c r="I49" s="1567">
        <v>534180.02825345262</v>
      </c>
      <c r="J49" s="1567">
        <v>5.3005451413266E-2</v>
      </c>
      <c r="K49" s="1567">
        <v>31270.7220126828</v>
      </c>
      <c r="L49" s="1567">
        <v>12473513.270004049</v>
      </c>
      <c r="M49" s="1567">
        <v>1517.2240333818002</v>
      </c>
      <c r="N49" s="1567">
        <v>2103347.1117782611</v>
      </c>
      <c r="O49" s="1567">
        <v>29753.497979300944</v>
      </c>
      <c r="P49" s="1567">
        <v>10368565.477548787</v>
      </c>
      <c r="Q49" s="1567">
        <v>4955.1844574300776</v>
      </c>
      <c r="R49" s="1273">
        <v>1726614.9413822449</v>
      </c>
      <c r="S49" s="1273">
        <v>5335.2923500955867</v>
      </c>
      <c r="T49" s="1273">
        <v>2115050.6679584002</v>
      </c>
      <c r="U49" s="1273">
        <v>380.10789266551251</v>
      </c>
      <c r="V49" s="1273">
        <v>388435.72657615697</v>
      </c>
      <c r="W49" s="1273">
        <v>7.6709130796444466E-2</v>
      </c>
      <c r="X49" s="1273">
        <v>32026.161485995977</v>
      </c>
      <c r="Y49" s="1273">
        <v>12694524.77892844</v>
      </c>
      <c r="Z49" s="1273">
        <v>2272.663506694978</v>
      </c>
      <c r="AA49" s="1273">
        <v>2325959.3013796662</v>
      </c>
    </row>
    <row r="50" spans="1:27" hidden="1">
      <c r="A50" s="1565" t="s">
        <v>60</v>
      </c>
      <c r="B50" s="1567">
        <v>598435.39100768743</v>
      </c>
      <c r="C50" s="1567">
        <v>56476526.247339755</v>
      </c>
      <c r="D50" s="1567">
        <v>148625.99557667889</v>
      </c>
      <c r="E50" s="1567">
        <v>13974533.54043469</v>
      </c>
      <c r="F50" s="1567">
        <v>171558.15107470585</v>
      </c>
      <c r="G50" s="1567">
        <v>14031678.749253526</v>
      </c>
      <c r="H50" s="1567">
        <v>22932.155498026801</v>
      </c>
      <c r="I50" s="1567">
        <v>57145.208818832136</v>
      </c>
      <c r="J50" s="1567">
        <v>0.15429437770323079</v>
      </c>
      <c r="K50" s="1567">
        <v>689828.25005615398</v>
      </c>
      <c r="L50" s="1567">
        <v>56581741.150128469</v>
      </c>
      <c r="M50" s="1567">
        <v>91392.859048464699</v>
      </c>
      <c r="N50" s="1567">
        <v>105214.90278878828</v>
      </c>
      <c r="O50" s="1567">
        <v>598435.39100768871</v>
      </c>
      <c r="P50" s="1567">
        <v>56443595.291749738</v>
      </c>
      <c r="Q50" s="1567">
        <v>99814.767358728306</v>
      </c>
      <c r="R50" s="1273">
        <v>9395324.0540450253</v>
      </c>
      <c r="S50" s="1273">
        <v>115868.10126985775</v>
      </c>
      <c r="T50" s="1273">
        <v>9689273.0186202805</v>
      </c>
      <c r="U50" s="1273">
        <v>16053.333911129263</v>
      </c>
      <c r="V50" s="1273">
        <v>293948.96457524248</v>
      </c>
      <c r="W50" s="1273">
        <v>0.16083125108566892</v>
      </c>
      <c r="X50" s="1273">
        <v>694398.99393818993</v>
      </c>
      <c r="Y50" s="1273">
        <v>58207979.462052628</v>
      </c>
      <c r="Z50" s="1273">
        <v>95963.602930502806</v>
      </c>
      <c r="AA50" s="1273">
        <v>1764384.1703028968</v>
      </c>
    </row>
    <row r="51" spans="1:27" hidden="1">
      <c r="A51" s="1565" t="s">
        <v>157</v>
      </c>
      <c r="B51" s="1567">
        <v>893336.66698488069</v>
      </c>
      <c r="C51" s="1567">
        <v>76077286.934911445</v>
      </c>
      <c r="D51" s="1567">
        <v>221884.73227819492</v>
      </c>
      <c r="E51" s="1567">
        <v>18828229.398890235</v>
      </c>
      <c r="F51" s="1567">
        <v>294861.90494760417</v>
      </c>
      <c r="G51" s="1567">
        <v>19021409.688864872</v>
      </c>
      <c r="H51" s="1567">
        <v>72977.172669409396</v>
      </c>
      <c r="I51" s="1567">
        <v>193180.2899746669</v>
      </c>
      <c r="J51" s="1567">
        <v>0.32889677410481755</v>
      </c>
      <c r="K51" s="1567">
        <v>1185124.3227524632</v>
      </c>
      <c r="L51" s="1567">
        <v>76695641.889587939</v>
      </c>
      <c r="M51" s="1567">
        <v>291787.65576758049</v>
      </c>
      <c r="N51" s="1567">
        <v>618354.95467654639</v>
      </c>
      <c r="O51" s="1567">
        <v>893336.66698488116</v>
      </c>
      <c r="P51" s="1567">
        <v>75965122.654711381</v>
      </c>
      <c r="Q51" s="1567">
        <v>149011.00606675082</v>
      </c>
      <c r="R51" s="1273">
        <v>12645898.32327237</v>
      </c>
      <c r="S51" s="1273">
        <v>196175.60661322917</v>
      </c>
      <c r="T51" s="1273">
        <v>12650126.414405141</v>
      </c>
      <c r="U51" s="1273">
        <v>47164.600546478214</v>
      </c>
      <c r="V51" s="1273">
        <v>4228.0911328010952</v>
      </c>
      <c r="W51" s="1273">
        <v>0.31651756330905118</v>
      </c>
      <c r="X51" s="1273">
        <v>1175340.5547946095</v>
      </c>
      <c r="Y51" s="1273">
        <v>75985716.89107804</v>
      </c>
      <c r="Z51" s="1273">
        <v>282003.88780972717</v>
      </c>
      <c r="AA51" s="1273">
        <v>20594.23636663345</v>
      </c>
    </row>
    <row r="52" spans="1:27" hidden="1">
      <c r="A52" s="1565" t="s">
        <v>1056</v>
      </c>
      <c r="B52" s="1567">
        <v>0</v>
      </c>
      <c r="C52" s="1567">
        <v>0</v>
      </c>
      <c r="D52" s="1567">
        <v>0</v>
      </c>
      <c r="E52" s="1567">
        <v>0</v>
      </c>
      <c r="F52" s="1567">
        <v>127</v>
      </c>
      <c r="G52" s="1567">
        <v>136199.04421191997</v>
      </c>
      <c r="H52" s="1567">
        <v>127</v>
      </c>
      <c r="I52" s="1567">
        <v>136199.04421191997</v>
      </c>
      <c r="J52" s="1567" t="e">
        <v>#DIV/0!</v>
      </c>
      <c r="K52" s="1567">
        <v>508</v>
      </c>
      <c r="L52" s="1567">
        <v>544796.17684767989</v>
      </c>
      <c r="M52" s="1567">
        <v>508</v>
      </c>
      <c r="N52" s="1567">
        <v>544796.17684767989</v>
      </c>
      <c r="O52" s="1567">
        <v>0</v>
      </c>
      <c r="P52" s="1567">
        <v>0</v>
      </c>
      <c r="Q52" s="1567">
        <v>0</v>
      </c>
      <c r="R52" s="1273">
        <v>0</v>
      </c>
      <c r="S52" s="1273">
        <v>100</v>
      </c>
      <c r="T52" s="1273">
        <v>101646.04927444001</v>
      </c>
      <c r="U52" s="1273">
        <v>100</v>
      </c>
      <c r="V52" s="1273">
        <v>101646.04927444001</v>
      </c>
      <c r="W52" s="1273" t="e">
        <v>#DIV/0!</v>
      </c>
      <c r="X52" s="1273">
        <v>600</v>
      </c>
      <c r="Y52" s="1273">
        <v>609876.29564664001</v>
      </c>
      <c r="Z52" s="1273">
        <v>600</v>
      </c>
      <c r="AA52" s="1273">
        <v>609876.29564664001</v>
      </c>
    </row>
    <row r="53" spans="1:27" hidden="1">
      <c r="A53" s="1565" t="s">
        <v>1057</v>
      </c>
      <c r="B53" s="1567">
        <v>0</v>
      </c>
      <c r="C53" s="1567">
        <v>0</v>
      </c>
      <c r="D53" s="1567">
        <v>0</v>
      </c>
      <c r="E53" s="1567">
        <v>0</v>
      </c>
      <c r="F53" s="1567">
        <v>578</v>
      </c>
      <c r="G53" s="1567">
        <v>88386.952165320006</v>
      </c>
      <c r="H53" s="1567">
        <v>578</v>
      </c>
      <c r="I53" s="1567">
        <v>88386.952165320006</v>
      </c>
      <c r="J53" s="1567" t="e">
        <v>#DIV/0!</v>
      </c>
      <c r="K53" s="1567">
        <v>2312</v>
      </c>
      <c r="L53" s="1567">
        <v>353547.80866128003</v>
      </c>
      <c r="M53" s="1567">
        <v>2312</v>
      </c>
      <c r="N53" s="1567">
        <v>353547.80866128003</v>
      </c>
      <c r="O53" s="1567">
        <v>0</v>
      </c>
      <c r="P53" s="1567">
        <v>0</v>
      </c>
      <c r="Q53" s="1567">
        <v>0</v>
      </c>
      <c r="R53" s="1273">
        <v>0</v>
      </c>
      <c r="S53" s="1273">
        <v>396</v>
      </c>
      <c r="T53" s="1273">
        <v>58413.381799914227</v>
      </c>
      <c r="U53" s="1273">
        <v>396</v>
      </c>
      <c r="V53" s="1273">
        <v>58413.381799914227</v>
      </c>
      <c r="W53" s="1273" t="e">
        <v>#DIV/0!</v>
      </c>
      <c r="X53" s="1273">
        <v>2376</v>
      </c>
      <c r="Y53" s="1273">
        <v>350480.2907994854</v>
      </c>
      <c r="Z53" s="1273">
        <v>2376</v>
      </c>
      <c r="AA53" s="1273">
        <v>350480.2907994854</v>
      </c>
    </row>
    <row r="54" spans="1:27" hidden="1">
      <c r="A54" s="1565" t="s">
        <v>1058</v>
      </c>
      <c r="B54" s="1567">
        <v>0</v>
      </c>
      <c r="C54" s="1567">
        <v>0</v>
      </c>
      <c r="D54" s="1567">
        <v>0</v>
      </c>
      <c r="E54" s="1567">
        <v>0</v>
      </c>
      <c r="F54" s="1567">
        <v>10</v>
      </c>
      <c r="G54" s="1567">
        <v>1113.5553290000003</v>
      </c>
      <c r="H54" s="1567">
        <v>10</v>
      </c>
      <c r="I54" s="1567">
        <v>1113.5553290000003</v>
      </c>
      <c r="J54" s="1567" t="e">
        <v>#DIV/0!</v>
      </c>
      <c r="K54" s="1567">
        <v>40</v>
      </c>
      <c r="L54" s="1567">
        <v>4454.2213160000001</v>
      </c>
      <c r="M54" s="1567">
        <v>40</v>
      </c>
      <c r="N54" s="1567">
        <v>4454.2213160000001</v>
      </c>
      <c r="O54" s="1567">
        <v>0</v>
      </c>
      <c r="P54" s="1567">
        <v>0</v>
      </c>
      <c r="Q54" s="1567">
        <v>0</v>
      </c>
      <c r="R54" s="1273">
        <v>0</v>
      </c>
      <c r="S54" s="1273">
        <v>9</v>
      </c>
      <c r="T54" s="1273">
        <v>1029.752831</v>
      </c>
      <c r="U54" s="1273">
        <v>9</v>
      </c>
      <c r="V54" s="1273">
        <v>1029.752831</v>
      </c>
      <c r="W54" s="1273" t="e">
        <v>#DIV/0!</v>
      </c>
      <c r="X54" s="1273">
        <v>54</v>
      </c>
      <c r="Y54" s="1273">
        <v>6178.5169860000005</v>
      </c>
      <c r="Z54" s="1273">
        <v>54</v>
      </c>
      <c r="AA54" s="1273">
        <v>6178.5169860000005</v>
      </c>
    </row>
    <row r="55" spans="1:27" hidden="1">
      <c r="A55" s="1565" t="s">
        <v>1059</v>
      </c>
      <c r="B55" s="1567">
        <v>0</v>
      </c>
      <c r="C55" s="1567">
        <v>0</v>
      </c>
      <c r="D55" s="1567">
        <v>0</v>
      </c>
      <c r="E55" s="1567">
        <v>0</v>
      </c>
      <c r="F55" s="1567">
        <v>5748</v>
      </c>
      <c r="G55" s="1567">
        <v>2177765.0865746005</v>
      </c>
      <c r="H55" s="1567">
        <v>5748</v>
      </c>
      <c r="I55" s="1567">
        <v>2177765.0865746005</v>
      </c>
      <c r="J55" s="1567" t="e">
        <v>#DIV/0!</v>
      </c>
      <c r="K55" s="1567">
        <v>22992</v>
      </c>
      <c r="L55" s="1567">
        <v>8711060.3462984022</v>
      </c>
      <c r="M55" s="1567">
        <v>22992</v>
      </c>
      <c r="N55" s="1567">
        <v>8711060.3462984022</v>
      </c>
      <c r="O55" s="1567">
        <v>0</v>
      </c>
      <c r="P55" s="1567">
        <v>0</v>
      </c>
      <c r="Q55" s="1567">
        <v>0</v>
      </c>
      <c r="R55" s="1273">
        <v>0</v>
      </c>
      <c r="S55" s="1273">
        <v>2756</v>
      </c>
      <c r="T55" s="1273">
        <v>974742.39334515983</v>
      </c>
      <c r="U55" s="1273">
        <v>2756</v>
      </c>
      <c r="V55" s="1273">
        <v>974742.39334515983</v>
      </c>
      <c r="W55" s="1273" t="e">
        <v>#DIV/0!</v>
      </c>
      <c r="X55" s="1273">
        <v>16536</v>
      </c>
      <c r="Y55" s="1273">
        <v>5848454.3600709625</v>
      </c>
      <c r="Z55" s="1273">
        <v>16536</v>
      </c>
      <c r="AA55" s="1273">
        <v>5848454.3600709625</v>
      </c>
    </row>
    <row r="56" spans="1:27" hidden="1">
      <c r="A56" s="1565"/>
      <c r="B56" s="1567">
        <v>0.999999996</v>
      </c>
      <c r="C56" s="1567">
        <v>249999.99999999595</v>
      </c>
      <c r="D56" s="1567">
        <v>0.24999999899999997</v>
      </c>
      <c r="E56" s="1567">
        <v>62499.999999999003</v>
      </c>
      <c r="F56" s="1567">
        <v>4</v>
      </c>
      <c r="G56" s="1567">
        <v>66670.64</v>
      </c>
      <c r="H56" s="1567">
        <v>3.7500000010000001</v>
      </c>
      <c r="I56" s="1567">
        <v>4170.6400000009962</v>
      </c>
      <c r="J56" s="1567">
        <v>15.000000064000002</v>
      </c>
      <c r="K56" s="1567">
        <v>16</v>
      </c>
      <c r="L56" s="1567">
        <v>266682.56</v>
      </c>
      <c r="M56" s="1567">
        <v>15.000000004000004</v>
      </c>
      <c r="N56" s="1567">
        <v>16682.560000003985</v>
      </c>
      <c r="O56" s="1567">
        <v>0.999999996</v>
      </c>
      <c r="P56" s="1567">
        <v>249999.99999999595</v>
      </c>
      <c r="Q56" s="1567">
        <v>0.16666666599999999</v>
      </c>
      <c r="R56" s="1273">
        <v>41666.666666666002</v>
      </c>
      <c r="S56" s="1273">
        <v>3</v>
      </c>
      <c r="T56" s="1273">
        <v>0</v>
      </c>
      <c r="U56" s="1273">
        <v>2.8333333340000002</v>
      </c>
      <c r="V56" s="1273">
        <v>-41666.666666666002</v>
      </c>
      <c r="W56" s="1273">
        <v>17.000000072000002</v>
      </c>
      <c r="X56" s="1273">
        <v>18</v>
      </c>
      <c r="Y56" s="1273">
        <v>0</v>
      </c>
      <c r="Z56" s="1273">
        <v>17.000000004000004</v>
      </c>
      <c r="AA56" s="1273">
        <v>-249999.99999999595</v>
      </c>
    </row>
    <row r="57" spans="1:27" hidden="1">
      <c r="A57" s="1565" t="s">
        <v>1031</v>
      </c>
      <c r="B57" s="1567">
        <v>4181363.2151330402</v>
      </c>
      <c r="C57" s="1567">
        <v>362335796.67071098</v>
      </c>
      <c r="D57" s="1567">
        <v>1038728.6768643771</v>
      </c>
      <c r="E57" s="1567">
        <v>89661192.88992092</v>
      </c>
      <c r="F57" s="1567">
        <v>1109073.1472656329</v>
      </c>
      <c r="G57" s="1567">
        <v>99322304.383105218</v>
      </c>
      <c r="H57" s="1567">
        <v>70344.470401254628</v>
      </c>
      <c r="I57" s="1567">
        <v>9661111.4931843635</v>
      </c>
      <c r="J57" s="1567">
        <v>6.7721698618742138E-2</v>
      </c>
      <c r="K57" s="1567">
        <v>4458926.8806476966</v>
      </c>
      <c r="L57" s="1567">
        <v>400169074.12630081</v>
      </c>
      <c r="M57" s="1567">
        <v>277563.66551465978</v>
      </c>
      <c r="N57" s="1567">
        <v>37833277.455589451</v>
      </c>
      <c r="O57" s="1567">
        <v>4181363.2151330383</v>
      </c>
      <c r="P57" s="1567">
        <v>361824560.31541806</v>
      </c>
      <c r="Q57" s="1567">
        <v>697521.4919330246</v>
      </c>
      <c r="R57" s="1273">
        <v>60230765.561335713</v>
      </c>
      <c r="S57" s="1273">
        <v>739996.10970553395</v>
      </c>
      <c r="T57" s="1273">
        <v>66286628.288940415</v>
      </c>
      <c r="U57" s="1273">
        <v>42474.617772509169</v>
      </c>
      <c r="V57" s="1273">
        <v>6055862.7276047384</v>
      </c>
      <c r="W57" s="1273">
        <v>6.0893633047492131E-2</v>
      </c>
      <c r="X57" s="1273">
        <v>4434723.4793930296</v>
      </c>
      <c r="Y57" s="1273">
        <v>398104960.99219406</v>
      </c>
      <c r="Z57" s="1273">
        <v>253360.26425999348</v>
      </c>
      <c r="AA57" s="1273">
        <v>36280400.67677597</v>
      </c>
    </row>
    <row r="58" spans="1:27" hidden="1">
      <c r="A58" s="1565"/>
      <c r="B58" s="1565"/>
      <c r="C58" s="1565"/>
      <c r="D58" s="1565"/>
      <c r="E58" s="1565"/>
      <c r="F58" s="1565"/>
      <c r="G58" s="1565"/>
      <c r="H58" s="1565"/>
      <c r="I58" s="1565"/>
      <c r="J58" s="1565"/>
      <c r="K58" s="1565"/>
      <c r="L58" s="1565"/>
      <c r="M58" s="1565"/>
      <c r="N58" s="1565"/>
      <c r="O58" s="1565"/>
      <c r="P58" s="1565"/>
      <c r="Q58" s="1565"/>
    </row>
    <row r="59" spans="1:27" hidden="1">
      <c r="A59" s="1565"/>
      <c r="B59" s="1565"/>
      <c r="C59" s="1565"/>
      <c r="D59" s="1565"/>
      <c r="E59" s="1565"/>
      <c r="F59" s="1565"/>
      <c r="G59" s="1565"/>
      <c r="H59" s="1565"/>
      <c r="I59" s="1565"/>
      <c r="J59" s="1565"/>
      <c r="K59" s="1565"/>
      <c r="L59" s="1565"/>
      <c r="M59" s="1565"/>
      <c r="N59" s="1565"/>
      <c r="O59" s="1565"/>
      <c r="P59" s="1565"/>
      <c r="Q59" s="1565"/>
    </row>
    <row r="60" spans="1:27" hidden="1">
      <c r="A60" s="1565"/>
      <c r="B60" s="1565" t="s">
        <v>1067</v>
      </c>
      <c r="C60" s="1565"/>
      <c r="D60" s="1565"/>
      <c r="E60" s="1565"/>
      <c r="F60" s="1565"/>
      <c r="G60" s="1565"/>
      <c r="H60" s="1565"/>
      <c r="I60" s="1565"/>
      <c r="J60" s="1565"/>
      <c r="K60" s="1565"/>
      <c r="L60" s="1565"/>
      <c r="M60" s="1565"/>
      <c r="N60" s="1565"/>
      <c r="O60" s="1565"/>
      <c r="P60" s="1565"/>
      <c r="Q60" s="1565"/>
    </row>
    <row r="61" spans="1:27" hidden="1">
      <c r="A61" s="1565" t="s">
        <v>1053</v>
      </c>
      <c r="B61" s="1565" t="s">
        <v>159</v>
      </c>
      <c r="C61" s="1565" t="s">
        <v>1041</v>
      </c>
      <c r="D61" s="1565" t="s">
        <v>520</v>
      </c>
      <c r="E61" s="1565" t="s">
        <v>1042</v>
      </c>
      <c r="F61" s="1565" t="s">
        <v>521</v>
      </c>
      <c r="G61" s="1565" t="s">
        <v>1044</v>
      </c>
      <c r="H61" s="1565" t="s">
        <v>522</v>
      </c>
      <c r="I61" s="1565" t="s">
        <v>1045</v>
      </c>
      <c r="J61" s="1565" t="s">
        <v>1046</v>
      </c>
      <c r="K61" s="1565"/>
      <c r="L61" s="1565"/>
      <c r="M61" s="1565"/>
      <c r="N61" s="1565"/>
      <c r="O61" s="1565"/>
      <c r="P61" s="1565"/>
      <c r="Q61" s="1565"/>
    </row>
    <row r="62" spans="1:27" hidden="1">
      <c r="A62" s="1565" t="s">
        <v>158</v>
      </c>
      <c r="B62" s="1565">
        <v>2211204.5778713506</v>
      </c>
      <c r="C62" s="1565">
        <v>173115817.6284956</v>
      </c>
      <c r="D62" s="1565">
        <v>739247.59366547933</v>
      </c>
      <c r="E62" s="1565">
        <v>57883988.402040035</v>
      </c>
      <c r="F62" s="1565">
        <v>781154.65977005905</v>
      </c>
      <c r="G62" s="1565">
        <v>62756840.742368542</v>
      </c>
      <c r="H62" s="1565">
        <v>41907.066104580212</v>
      </c>
      <c r="I62" s="1565">
        <v>4872852.3403283805</v>
      </c>
      <c r="J62" s="1565">
        <v>5.6688809627081164E-2</v>
      </c>
      <c r="K62" s="1565"/>
      <c r="L62" s="1565"/>
      <c r="M62" s="1565"/>
      <c r="N62" s="1565"/>
      <c r="O62" s="1565"/>
      <c r="P62" s="1565"/>
      <c r="Q62" s="1565"/>
    </row>
    <row r="63" spans="1:27" hidden="1">
      <c r="A63" s="1565" t="s">
        <v>59</v>
      </c>
      <c r="B63" s="1565">
        <v>281744.83348314889</v>
      </c>
      <c r="C63" s="1565">
        <v>27206292.325896453</v>
      </c>
      <c r="D63" s="1565">
        <v>94187.021127659333</v>
      </c>
      <c r="E63" s="1565">
        <v>9097601.8279922605</v>
      </c>
      <c r="F63" s="1565">
        <v>38781.417508081126</v>
      </c>
      <c r="G63" s="1565">
        <v>11408125.943833966</v>
      </c>
      <c r="H63" s="1565">
        <v>-55405.603619578316</v>
      </c>
      <c r="I63" s="1565">
        <v>2310524.1158416988</v>
      </c>
      <c r="J63" s="1565">
        <v>-0.58825093899596415</v>
      </c>
      <c r="K63" s="1565"/>
      <c r="L63" s="1565"/>
      <c r="M63" s="1565"/>
      <c r="N63" s="1565"/>
      <c r="O63" s="1565"/>
      <c r="P63" s="1565"/>
      <c r="Q63" s="1565"/>
    </row>
    <row r="64" spans="1:27" hidden="1">
      <c r="A64" s="1565" t="s">
        <v>56</v>
      </c>
      <c r="B64" s="1565">
        <v>59299.06953557791</v>
      </c>
      <c r="C64" s="1565">
        <v>5142207.039083981</v>
      </c>
      <c r="D64" s="1565">
        <v>19823.55719189658</v>
      </c>
      <c r="E64" s="1565">
        <v>1718960.3269735978</v>
      </c>
      <c r="F64" s="1565">
        <v>10669.085704605255</v>
      </c>
      <c r="G64" s="1565">
        <v>2126353.0557873389</v>
      </c>
      <c r="H64" s="1565">
        <v>-9154.471487291321</v>
      </c>
      <c r="I64" s="1565">
        <v>407392.72881374229</v>
      </c>
      <c r="J64" s="1565">
        <v>-0.46179761778746053</v>
      </c>
      <c r="K64" s="1565"/>
      <c r="L64" s="1565"/>
      <c r="M64" s="1565"/>
      <c r="N64" s="1565"/>
      <c r="O64" s="1565"/>
      <c r="P64" s="1565"/>
      <c r="Q64" s="1565"/>
    </row>
    <row r="65" spans="1:17" hidden="1">
      <c r="A65" s="1565" t="s">
        <v>1054</v>
      </c>
      <c r="B65" s="1565">
        <v>0</v>
      </c>
      <c r="C65" s="1565">
        <v>0</v>
      </c>
      <c r="D65" s="1565">
        <v>0</v>
      </c>
      <c r="E65" s="1565">
        <v>0</v>
      </c>
      <c r="F65" s="1565">
        <v>4290</v>
      </c>
      <c r="G65" s="1565">
        <v>382304.34802172025</v>
      </c>
      <c r="H65" s="1565">
        <v>4290</v>
      </c>
      <c r="I65" s="1565">
        <v>382304.34802172025</v>
      </c>
      <c r="J65" s="1565" t="e">
        <v>#DIV/0!</v>
      </c>
      <c r="K65" s="1565"/>
      <c r="L65" s="1565"/>
      <c r="M65" s="1565"/>
      <c r="N65" s="1565"/>
      <c r="O65" s="1565"/>
      <c r="P65" s="1565"/>
      <c r="Q65" s="1565"/>
    </row>
    <row r="66" spans="1:17" hidden="1">
      <c r="A66" s="1565" t="s">
        <v>58</v>
      </c>
      <c r="B66" s="1565">
        <v>107496.90019675042</v>
      </c>
      <c r="C66" s="1565">
        <v>13858919.591951845</v>
      </c>
      <c r="D66" s="1565">
        <v>35938.758489063861</v>
      </c>
      <c r="E66" s="1565">
        <v>4634404.2685500989</v>
      </c>
      <c r="F66" s="1565">
        <v>19315.055961957522</v>
      </c>
      <c r="G66" s="1565">
        <v>6834856.6058577504</v>
      </c>
      <c r="H66" s="1565">
        <v>-16623.702527106365</v>
      </c>
      <c r="I66" s="1565">
        <v>2200452.3373076594</v>
      </c>
      <c r="J66" s="1565">
        <v>-0.46255639387668179</v>
      </c>
      <c r="K66" s="1565"/>
      <c r="L66" s="1565"/>
      <c r="M66" s="1565"/>
      <c r="N66" s="1565"/>
      <c r="O66" s="1565"/>
      <c r="P66" s="1565"/>
      <c r="Q66" s="1565"/>
    </row>
    <row r="67" spans="1:17" hidden="1">
      <c r="A67" s="1565" t="s">
        <v>1055</v>
      </c>
      <c r="B67" s="1565">
        <v>0</v>
      </c>
      <c r="C67" s="1565">
        <v>0</v>
      </c>
      <c r="D67" s="1565">
        <v>0</v>
      </c>
      <c r="E67" s="1565">
        <v>0</v>
      </c>
      <c r="F67" s="1565">
        <v>98</v>
      </c>
      <c r="G67" s="1565">
        <v>43665.844280000012</v>
      </c>
      <c r="H67" s="1565">
        <v>98</v>
      </c>
      <c r="I67" s="1565">
        <v>43665.844280000012</v>
      </c>
      <c r="J67" s="1565" t="e">
        <v>#DIV/0!</v>
      </c>
      <c r="K67" s="1565"/>
      <c r="L67" s="1565"/>
      <c r="M67" s="1565"/>
      <c r="N67" s="1565"/>
      <c r="O67" s="1565"/>
      <c r="P67" s="1565"/>
      <c r="Q67" s="1565"/>
    </row>
    <row r="68" spans="1:17" hidden="1">
      <c r="A68" s="1565" t="s">
        <v>57</v>
      </c>
      <c r="B68" s="1565">
        <v>29753.497979300002</v>
      </c>
      <c r="C68" s="1565">
        <v>10370166.158225575</v>
      </c>
      <c r="D68" s="1565">
        <v>9948.8811974030741</v>
      </c>
      <c r="E68" s="1565">
        <v>3467408.578565245</v>
      </c>
      <c r="F68" s="1565">
        <v>10189.584700191172</v>
      </c>
      <c r="G68" s="1565">
        <v>4116409.4759403225</v>
      </c>
      <c r="H68" s="1565">
        <v>240.7035027880996</v>
      </c>
      <c r="I68" s="1565">
        <v>649000.89737507945</v>
      </c>
      <c r="J68" s="1565">
        <v>2.4194027249107134E-2</v>
      </c>
      <c r="K68" s="1565"/>
      <c r="L68" s="1565"/>
      <c r="M68" s="1565"/>
      <c r="N68" s="1565"/>
      <c r="O68" s="1565"/>
      <c r="P68" s="1565"/>
      <c r="Q68" s="1565"/>
    </row>
    <row r="69" spans="1:17" hidden="1">
      <c r="A69" s="1565" t="s">
        <v>60</v>
      </c>
      <c r="B69" s="1565">
        <v>598435.39100768627</v>
      </c>
      <c r="C69" s="1565">
        <v>56476526.247339405</v>
      </c>
      <c r="D69" s="1565">
        <v>200064.30916235811</v>
      </c>
      <c r="E69" s="1565">
        <v>18882899.271146815</v>
      </c>
      <c r="F69" s="1565">
        <v>234846.20253971551</v>
      </c>
      <c r="G69" s="1565">
        <v>19329721.678693719</v>
      </c>
      <c r="H69" s="1565">
        <v>34781.893377357374</v>
      </c>
      <c r="I69" s="1565">
        <v>446822.40754692053</v>
      </c>
      <c r="J69" s="1565">
        <v>0.17385356500109592</v>
      </c>
      <c r="K69" s="1565"/>
      <c r="L69" s="1565"/>
      <c r="M69" s="1565"/>
      <c r="N69" s="1565"/>
      <c r="O69" s="1565"/>
      <c r="P69" s="1565"/>
      <c r="Q69" s="1565"/>
    </row>
    <row r="70" spans="1:17" hidden="1">
      <c r="A70" s="1565" t="s">
        <v>157</v>
      </c>
      <c r="B70" s="1565">
        <v>893353.57779508724</v>
      </c>
      <c r="C70" s="1565">
        <v>76082702.52682589</v>
      </c>
      <c r="D70" s="1565">
        <v>298661.21057130699</v>
      </c>
      <c r="E70" s="1565">
        <v>25437821.660523389</v>
      </c>
      <c r="F70" s="1565">
        <v>399135.21322645841</v>
      </c>
      <c r="G70" s="1565">
        <v>26179518.20867829</v>
      </c>
      <c r="H70" s="1565">
        <v>100474.00265515172</v>
      </c>
      <c r="I70" s="1565">
        <v>741696.54815489729</v>
      </c>
      <c r="J70" s="1565">
        <v>0.33641463671481037</v>
      </c>
      <c r="K70" s="1565"/>
      <c r="L70" s="1565"/>
      <c r="M70" s="1565"/>
      <c r="N70" s="1565"/>
      <c r="O70" s="1565"/>
      <c r="P70" s="1565"/>
      <c r="Q70" s="1565"/>
    </row>
    <row r="71" spans="1:17" hidden="1">
      <c r="A71" s="1565" t="s">
        <v>1056</v>
      </c>
      <c r="B71" s="1565">
        <v>0</v>
      </c>
      <c r="C71" s="1565">
        <v>0</v>
      </c>
      <c r="D71" s="1565">
        <v>0</v>
      </c>
      <c r="E71" s="1565">
        <v>0</v>
      </c>
      <c r="F71" s="1565">
        <v>186</v>
      </c>
      <c r="G71" s="1565">
        <v>191148.20444792</v>
      </c>
      <c r="H71" s="1565">
        <v>186</v>
      </c>
      <c r="I71" s="1565">
        <v>191148.20444792</v>
      </c>
      <c r="J71" s="1565" t="e">
        <v>#DIV/0!</v>
      </c>
      <c r="K71" s="1565"/>
      <c r="L71" s="1565"/>
      <c r="M71" s="1565"/>
      <c r="N71" s="1565"/>
      <c r="O71" s="1565"/>
      <c r="P71" s="1565"/>
      <c r="Q71" s="1565"/>
    </row>
    <row r="72" spans="1:17" hidden="1">
      <c r="A72" s="1565" t="s">
        <v>1057</v>
      </c>
      <c r="B72" s="1565">
        <v>0</v>
      </c>
      <c r="C72" s="1565">
        <v>0</v>
      </c>
      <c r="D72" s="1565">
        <v>0</v>
      </c>
      <c r="E72" s="1565">
        <v>0</v>
      </c>
      <c r="F72" s="1565">
        <v>824</v>
      </c>
      <c r="G72" s="1565">
        <v>108899.09230232002</v>
      </c>
      <c r="H72" s="1565">
        <v>824</v>
      </c>
      <c r="I72" s="1565">
        <v>108899.09230232002</v>
      </c>
      <c r="J72" s="1565" t="e">
        <v>#DIV/0!</v>
      </c>
      <c r="K72" s="1565"/>
      <c r="L72" s="1565"/>
      <c r="M72" s="1565"/>
      <c r="N72" s="1565"/>
      <c r="O72" s="1565"/>
      <c r="P72" s="1565"/>
      <c r="Q72" s="1565"/>
    </row>
    <row r="73" spans="1:17" hidden="1">
      <c r="A73" s="1565" t="s">
        <v>1058</v>
      </c>
      <c r="B73" s="1565">
        <v>0</v>
      </c>
      <c r="C73" s="1565">
        <v>0</v>
      </c>
      <c r="D73" s="1565">
        <v>0</v>
      </c>
      <c r="E73" s="1565">
        <v>0</v>
      </c>
      <c r="F73" s="1565">
        <v>10</v>
      </c>
      <c r="G73" s="1565">
        <v>1113.5553290000003</v>
      </c>
      <c r="H73" s="1565">
        <v>10</v>
      </c>
      <c r="I73" s="1565">
        <v>1113.5553290000003</v>
      </c>
      <c r="J73" s="1565" t="e">
        <v>#DIV/0!</v>
      </c>
      <c r="K73" s="1565"/>
      <c r="L73" s="1565"/>
      <c r="M73" s="1565"/>
      <c r="N73" s="1565"/>
      <c r="O73" s="1565"/>
      <c r="P73" s="1565"/>
      <c r="Q73" s="1565"/>
    </row>
    <row r="74" spans="1:17" hidden="1">
      <c r="A74" s="1565" t="s">
        <v>1059</v>
      </c>
      <c r="B74" s="1565">
        <v>0</v>
      </c>
      <c r="C74" s="1565">
        <v>0</v>
      </c>
      <c r="D74" s="1565">
        <v>0</v>
      </c>
      <c r="E74" s="1565">
        <v>0</v>
      </c>
      <c r="F74" s="1565">
        <v>6068</v>
      </c>
      <c r="G74" s="1565">
        <v>2284460.9503689315</v>
      </c>
      <c r="H74" s="1565">
        <v>6068</v>
      </c>
      <c r="I74" s="1565">
        <v>2284460.9503689315</v>
      </c>
      <c r="J74" s="1565" t="e">
        <v>#DIV/0!</v>
      </c>
      <c r="K74" s="1565"/>
      <c r="L74" s="1565"/>
      <c r="M74" s="1565"/>
      <c r="N74" s="1565"/>
      <c r="O74" s="1565"/>
      <c r="P74" s="1565"/>
      <c r="Q74" s="1565"/>
    </row>
    <row r="75" spans="1:17" hidden="1">
      <c r="A75" s="1565"/>
      <c r="B75" s="1565">
        <v>0.999999996</v>
      </c>
      <c r="C75" s="1565">
        <v>249999.99999999595</v>
      </c>
      <c r="D75" s="1565">
        <v>0.33333333199999998</v>
      </c>
      <c r="E75" s="1565">
        <v>83333.333333332004</v>
      </c>
      <c r="F75" s="1565">
        <v>4</v>
      </c>
      <c r="G75" s="1565">
        <v>66670.64</v>
      </c>
      <c r="H75" s="1565">
        <v>3.666666668</v>
      </c>
      <c r="I75" s="1565">
        <v>-16662.693333332005</v>
      </c>
      <c r="J75" s="1565">
        <v>11.000000048</v>
      </c>
      <c r="K75" s="1565"/>
      <c r="L75" s="1565"/>
      <c r="M75" s="1565"/>
      <c r="N75" s="1565"/>
      <c r="O75" s="1565"/>
      <c r="P75" s="1565"/>
      <c r="Q75" s="1565"/>
    </row>
    <row r="76" spans="1:17" hidden="1">
      <c r="A76" s="1565"/>
      <c r="B76" s="1565"/>
      <c r="C76" s="1565"/>
      <c r="D76" s="1565"/>
      <c r="E76" s="1565"/>
      <c r="F76" s="1565"/>
      <c r="G76" s="1565"/>
      <c r="H76" s="1565"/>
      <c r="I76" s="1565"/>
      <c r="J76" s="1565"/>
      <c r="K76" s="1565"/>
      <c r="L76" s="1565"/>
      <c r="M76" s="1565"/>
      <c r="N76" s="1565"/>
      <c r="O76" s="1565"/>
      <c r="P76" s="1565"/>
      <c r="Q76" s="1565"/>
    </row>
    <row r="78" spans="1:17" ht="14.4" outlineLevel="1">
      <c r="A78" s="2297" t="s">
        <v>67</v>
      </c>
      <c r="B78" s="2298"/>
      <c r="C78" s="2298"/>
      <c r="D78" s="2298"/>
      <c r="E78" s="2298"/>
      <c r="F78" s="2298"/>
      <c r="G78" s="2298"/>
      <c r="H78" s="2298"/>
      <c r="I78" s="2298"/>
    </row>
    <row r="79" spans="1:17" ht="14.4" outlineLevel="1">
      <c r="A79" s="1569"/>
      <c r="B79" s="1570"/>
      <c r="C79" s="1570" t="s">
        <v>73</v>
      </c>
      <c r="D79" s="1570"/>
      <c r="E79" s="1570"/>
      <c r="F79" s="1570"/>
      <c r="G79" t="s">
        <v>189</v>
      </c>
      <c r="H79" s="1570"/>
      <c r="I79" s="1570"/>
    </row>
    <row r="80" spans="1:17" ht="13.8" outlineLevel="1">
      <c r="A80" s="1571"/>
      <c r="B80" s="1572"/>
      <c r="C80" s="2299" t="s">
        <v>68</v>
      </c>
      <c r="D80" s="2300"/>
      <c r="E80" s="2301"/>
      <c r="G80" s="2302" t="s">
        <v>1101</v>
      </c>
      <c r="H80" s="2300"/>
      <c r="I80" s="2301"/>
      <c r="N80" t="s">
        <v>198</v>
      </c>
      <c r="O80" t="s">
        <v>199</v>
      </c>
    </row>
    <row r="81" spans="1:15" ht="13.8" outlineLevel="1">
      <c r="A81" s="1573" t="s">
        <v>69</v>
      </c>
      <c r="B81" s="1574"/>
      <c r="C81" s="2303" t="s">
        <v>160</v>
      </c>
      <c r="D81" s="2304"/>
      <c r="E81" s="2305"/>
      <c r="G81" s="2303" t="s">
        <v>160</v>
      </c>
      <c r="H81" s="2304"/>
      <c r="I81" s="2305"/>
    </row>
    <row r="82" spans="1:15" ht="13.8" outlineLevel="1">
      <c r="A82" s="1575"/>
      <c r="B82" s="1576"/>
      <c r="C82" s="1577" t="s">
        <v>520</v>
      </c>
      <c r="D82" s="1577" t="s">
        <v>521</v>
      </c>
      <c r="E82" s="1577" t="s">
        <v>522</v>
      </c>
      <c r="G82" s="1577" t="s">
        <v>520</v>
      </c>
      <c r="H82" s="1577" t="s">
        <v>521</v>
      </c>
      <c r="I82" s="1577" t="s">
        <v>522</v>
      </c>
      <c r="L82" t="s">
        <v>158</v>
      </c>
      <c r="N82" s="35">
        <v>121449</v>
      </c>
      <c r="O82" s="35">
        <v>123180.57779408827</v>
      </c>
    </row>
    <row r="83" spans="1:15" ht="13.8" outlineLevel="1">
      <c r="A83" s="1578" t="s">
        <v>158</v>
      </c>
      <c r="B83" s="1579"/>
      <c r="C83" s="1580">
        <v>56115.570198186062</v>
      </c>
      <c r="D83" s="1581">
        <v>56560.7979521343</v>
      </c>
      <c r="E83" s="1582">
        <v>445.22775394823839</v>
      </c>
      <c r="G83" s="1582">
        <f>N82</f>
        <v>121449</v>
      </c>
      <c r="H83" s="1582">
        <f>O82</f>
        <v>123180.57779408827</v>
      </c>
      <c r="I83" s="1582">
        <f>H83-G83</f>
        <v>1731.577794088269</v>
      </c>
      <c r="L83" t="s">
        <v>59</v>
      </c>
      <c r="N83" s="35">
        <v>13393</v>
      </c>
      <c r="O83" s="35">
        <v>13739.656876814926</v>
      </c>
    </row>
    <row r="84" spans="1:15" ht="13.8" outlineLevel="1">
      <c r="A84" s="1583" t="s">
        <v>157</v>
      </c>
      <c r="B84" s="1584"/>
      <c r="C84" s="1580">
        <v>25089.57415</v>
      </c>
      <c r="D84" s="1581">
        <v>26693.278838545622</v>
      </c>
      <c r="E84" s="1581">
        <v>1603.704688545622</v>
      </c>
      <c r="G84" s="1581">
        <f>N88</f>
        <v>54194</v>
      </c>
      <c r="H84" s="1581">
        <f>O88</f>
        <v>60113.423670291406</v>
      </c>
      <c r="I84" s="1582">
        <f t="shared" ref="I84:I91" si="1">H84-G84</f>
        <v>5919.4236702914059</v>
      </c>
      <c r="L84" t="s">
        <v>56</v>
      </c>
      <c r="N84" s="35">
        <v>3331</v>
      </c>
      <c r="O84" s="35">
        <v>3140.182431524775</v>
      </c>
    </row>
    <row r="85" spans="1:15" ht="13.8" outlineLevel="1">
      <c r="A85" s="1583" t="s">
        <v>60</v>
      </c>
      <c r="B85" s="1584"/>
      <c r="C85" s="1580">
        <v>17472.306422154892</v>
      </c>
      <c r="D85" s="1581">
        <v>18423.743006546087</v>
      </c>
      <c r="E85" s="1581">
        <v>951.43658439119463</v>
      </c>
      <c r="G85" s="1581">
        <f>N87</f>
        <v>38225</v>
      </c>
      <c r="H85" s="1581">
        <f>O87</f>
        <v>40784.697587545103</v>
      </c>
      <c r="I85" s="1582">
        <f t="shared" si="1"/>
        <v>2559.6975875451026</v>
      </c>
      <c r="L85" t="s">
        <v>58</v>
      </c>
      <c r="N85" s="35">
        <v>5965</v>
      </c>
      <c r="O85" s="35">
        <v>7566.9884323532106</v>
      </c>
    </row>
    <row r="86" spans="1:15" ht="13.8" outlineLevel="1">
      <c r="A86" s="1583" t="s">
        <v>59</v>
      </c>
      <c r="B86" s="1584"/>
      <c r="C86" s="1580">
        <v>5709.2629080709885</v>
      </c>
      <c r="D86" s="1581">
        <v>5537.7581619741804</v>
      </c>
      <c r="E86" s="1581">
        <v>-171.50474609680805</v>
      </c>
      <c r="G86" s="1581">
        <f>N83</f>
        <v>13393</v>
      </c>
      <c r="H86" s="1581">
        <f>O83</f>
        <v>13739.656876814926</v>
      </c>
      <c r="I86" s="1582">
        <f t="shared" si="1"/>
        <v>346.65687681492636</v>
      </c>
      <c r="L86" t="s">
        <v>57</v>
      </c>
      <c r="N86" s="35">
        <v>2966</v>
      </c>
      <c r="O86" s="35">
        <v>3351.0248812322297</v>
      </c>
    </row>
    <row r="87" spans="1:15" ht="13.8" outlineLevel="1">
      <c r="A87" s="1583" t="s">
        <v>58</v>
      </c>
      <c r="B87" s="1584"/>
      <c r="C87" s="1580">
        <v>2750.7914180778425</v>
      </c>
      <c r="D87" s="1581">
        <v>3117.0671135457983</v>
      </c>
      <c r="E87" s="1581">
        <v>366.27569546795576</v>
      </c>
      <c r="G87" s="1581">
        <f>N85</f>
        <v>5965</v>
      </c>
      <c r="H87" s="1581">
        <f>O85</f>
        <v>7566.9884323532106</v>
      </c>
      <c r="I87" s="1582">
        <f t="shared" si="1"/>
        <v>1601.9884323532106</v>
      </c>
      <c r="L87" t="s">
        <v>60</v>
      </c>
      <c r="N87" s="35">
        <v>38225</v>
      </c>
      <c r="O87" s="35">
        <v>40784.697587545103</v>
      </c>
    </row>
    <row r="88" spans="1:15" ht="13.8" outlineLevel="1">
      <c r="A88" s="1583" t="s">
        <v>57</v>
      </c>
      <c r="B88" s="1584"/>
      <c r="C88" s="1580">
        <v>1278.3407481341669</v>
      </c>
      <c r="D88" s="1581">
        <v>1384.2277903972747</v>
      </c>
      <c r="E88" s="1581">
        <v>105.88704226310779</v>
      </c>
      <c r="G88" s="1581">
        <f>N86</f>
        <v>2966</v>
      </c>
      <c r="H88" s="1581">
        <f>O86</f>
        <v>3351.0248812322297</v>
      </c>
      <c r="I88" s="1582">
        <f t="shared" si="1"/>
        <v>385.02488123222975</v>
      </c>
      <c r="L88" t="s">
        <v>157</v>
      </c>
      <c r="N88" s="35">
        <v>54194</v>
      </c>
      <c r="O88" s="35">
        <v>60113.423670291406</v>
      </c>
    </row>
    <row r="89" spans="1:15" ht="13.8" outlineLevel="1">
      <c r="A89" s="1583" t="s">
        <v>56</v>
      </c>
      <c r="B89" s="1584"/>
      <c r="C89" s="1580">
        <v>1484.2804950697271</v>
      </c>
      <c r="D89" s="1581">
        <v>1371.3442206466718</v>
      </c>
      <c r="E89" s="1581">
        <v>-112.93627442305524</v>
      </c>
      <c r="G89" s="1581">
        <f>N84</f>
        <v>3331</v>
      </c>
      <c r="H89" s="1581">
        <f>O84</f>
        <v>3140.182431524775</v>
      </c>
      <c r="I89" s="1582">
        <f t="shared" si="1"/>
        <v>-190.81756847522502</v>
      </c>
      <c r="L89" t="s">
        <v>190</v>
      </c>
      <c r="N89" s="35">
        <v>239523</v>
      </c>
      <c r="O89" s="35">
        <v>251876.5516738499</v>
      </c>
    </row>
    <row r="90" spans="1:15" ht="13.8" outlineLevel="1">
      <c r="A90" s="1583" t="s">
        <v>70</v>
      </c>
      <c r="B90" s="1584"/>
      <c r="C90" s="1580">
        <v>1330</v>
      </c>
      <c r="D90" s="1581">
        <v>1220.0809999999999</v>
      </c>
      <c r="E90" s="1581">
        <v>-109.9190000000001</v>
      </c>
      <c r="G90" s="1581">
        <f>N96</f>
        <v>2921.2240000000002</v>
      </c>
      <c r="H90" s="1581">
        <f>O96</f>
        <v>2827.3608681019996</v>
      </c>
      <c r="I90" s="1582">
        <f t="shared" si="1"/>
        <v>-93.863131898000574</v>
      </c>
      <c r="L90" t="s">
        <v>191</v>
      </c>
      <c r="N90" s="35">
        <v>94696.812000000005</v>
      </c>
      <c r="O90" s="35">
        <v>114618.04271795838</v>
      </c>
    </row>
    <row r="91" spans="1:15" ht="13.8" outlineLevel="1">
      <c r="A91" s="1585" t="s">
        <v>71</v>
      </c>
      <c r="B91" s="1586"/>
      <c r="C91" s="1580">
        <v>48163.75</v>
      </c>
      <c r="D91" s="1581">
        <v>59757.131389775328</v>
      </c>
      <c r="E91" s="1587">
        <v>11593.381389775328</v>
      </c>
      <c r="G91" s="1587">
        <f>N90+N91+N92+N93+N94+N95</f>
        <v>102822.46</v>
      </c>
      <c r="H91" s="1587">
        <f>O90+O91+O92+O93+O94+O95</f>
        <v>123631.67241140823</v>
      </c>
      <c r="I91" s="1582">
        <f t="shared" si="1"/>
        <v>20809.212411408225</v>
      </c>
      <c r="L91" t="s">
        <v>192</v>
      </c>
      <c r="N91" s="35">
        <v>3575.0230000000001</v>
      </c>
      <c r="O91" s="35">
        <v>4226.3364655817486</v>
      </c>
    </row>
    <row r="92" spans="1:15" ht="13.8" outlineLevel="1">
      <c r="A92" s="1588"/>
      <c r="B92" s="1589"/>
      <c r="C92" s="1590">
        <v>159393.87633969367</v>
      </c>
      <c r="D92" s="1590">
        <v>174065.42947356525</v>
      </c>
      <c r="E92" s="1590">
        <v>14671.553133871583</v>
      </c>
      <c r="G92" s="1590">
        <f>SUM(G83:G91)</f>
        <v>345266.68400000001</v>
      </c>
      <c r="H92" s="1590">
        <f>SUM(H83:H91)</f>
        <v>378335.58495336014</v>
      </c>
      <c r="I92" s="1590">
        <f>SUM(I83:I91)</f>
        <v>33068.900953360142</v>
      </c>
      <c r="L92" t="s">
        <v>193</v>
      </c>
      <c r="N92" s="35">
        <v>4264.7489999999998</v>
      </c>
      <c r="O92" s="35">
        <v>4574.0944697552277</v>
      </c>
    </row>
    <row r="93" spans="1:15" ht="13.8" outlineLevel="1">
      <c r="A93" s="1591"/>
      <c r="B93" s="1591"/>
      <c r="C93" s="1592"/>
      <c r="D93" s="1592"/>
      <c r="E93" s="1592"/>
      <c r="L93" t="s">
        <v>194</v>
      </c>
      <c r="N93" s="35"/>
      <c r="O93" s="35"/>
    </row>
    <row r="94" spans="1:15" ht="14.4" outlineLevel="1">
      <c r="A94" s="1593" t="s">
        <v>72</v>
      </c>
      <c r="B94" s="1594"/>
      <c r="C94" s="1594"/>
      <c r="D94" s="1595"/>
      <c r="E94" s="1596">
        <v>2318.6762779550654</v>
      </c>
      <c r="F94" s="1594"/>
      <c r="G94" s="1594"/>
      <c r="H94" s="1594"/>
      <c r="I94" s="1597">
        <v>2063.2646024682472</v>
      </c>
      <c r="L94" t="s">
        <v>195</v>
      </c>
      <c r="N94" s="35">
        <v>285.87599999999998</v>
      </c>
      <c r="O94" s="35">
        <v>213.19875811287676</v>
      </c>
    </row>
    <row r="95" spans="1:15" outlineLevel="1">
      <c r="L95" t="s">
        <v>196</v>
      </c>
      <c r="N95" s="35"/>
      <c r="O95" s="35"/>
    </row>
    <row r="96" spans="1:15" outlineLevel="1">
      <c r="L96" t="s">
        <v>197</v>
      </c>
      <c r="N96" s="35">
        <v>2921.2240000000002</v>
      </c>
      <c r="O96" s="35">
        <v>2827.3608681019996</v>
      </c>
    </row>
    <row r="97" spans="1:15">
      <c r="G97" s="1269"/>
      <c r="N97" s="35">
        <v>345266.68400000001</v>
      </c>
      <c r="O97" s="35">
        <v>378335.58495336008</v>
      </c>
    </row>
    <row r="99" spans="1:15">
      <c r="A99" t="s">
        <v>74</v>
      </c>
    </row>
    <row r="100" spans="1:15">
      <c r="B100" s="1230" t="s">
        <v>78</v>
      </c>
      <c r="C100" s="1230" t="s">
        <v>1076</v>
      </c>
      <c r="D100" s="1230" t="s">
        <v>78</v>
      </c>
      <c r="E100" s="1230" t="s">
        <v>1076</v>
      </c>
      <c r="F100" s="1230" t="s">
        <v>78</v>
      </c>
      <c r="G100" s="1230" t="s">
        <v>1076</v>
      </c>
    </row>
    <row r="101" spans="1:15">
      <c r="A101" t="s">
        <v>75</v>
      </c>
      <c r="B101" s="1230" t="s">
        <v>77</v>
      </c>
      <c r="C101" s="1230" t="s">
        <v>77</v>
      </c>
      <c r="D101" t="s">
        <v>1079</v>
      </c>
      <c r="E101" t="s">
        <v>76</v>
      </c>
      <c r="F101" t="s">
        <v>1077</v>
      </c>
      <c r="G101" t="s">
        <v>1078</v>
      </c>
      <c r="I101" t="s">
        <v>637</v>
      </c>
      <c r="J101" t="s">
        <v>1077</v>
      </c>
      <c r="K101" t="s">
        <v>1078</v>
      </c>
    </row>
    <row r="102" spans="1:15">
      <c r="A102" t="s">
        <v>1080</v>
      </c>
      <c r="B102" s="1611">
        <v>0</v>
      </c>
      <c r="C102" s="1612">
        <v>0</v>
      </c>
      <c r="D102" s="1613">
        <v>0</v>
      </c>
      <c r="E102" s="1615"/>
      <c r="F102" s="1611">
        <f t="shared" ref="F102:G106" si="2">J102</f>
        <v>1</v>
      </c>
      <c r="G102" s="1598">
        <f t="shared" si="2"/>
        <v>501.74059700000004</v>
      </c>
      <c r="I102" t="s">
        <v>1080</v>
      </c>
      <c r="J102">
        <v>1</v>
      </c>
      <c r="K102">
        <v>501.74059700000004</v>
      </c>
    </row>
    <row r="103" spans="1:15">
      <c r="A103" t="s">
        <v>1081</v>
      </c>
      <c r="B103" s="1611">
        <v>3343.4036924112484</v>
      </c>
      <c r="C103" s="1612">
        <v>6526211.4249246335</v>
      </c>
      <c r="D103" s="1614">
        <f t="shared" ref="D103:D111" si="3">B103/12*10</f>
        <v>2786.1697436760405</v>
      </c>
      <c r="E103" s="1616">
        <f t="shared" ref="E103:E111" si="4">C103/12*11</f>
        <v>5982360.4728475809</v>
      </c>
      <c r="F103" s="1611">
        <f t="shared" si="2"/>
        <v>3383</v>
      </c>
      <c r="G103" s="1598">
        <f t="shared" si="2"/>
        <v>6542691.9921234688</v>
      </c>
      <c r="I103" t="s">
        <v>1081</v>
      </c>
      <c r="J103">
        <v>3383</v>
      </c>
      <c r="K103">
        <v>6542691.9921234688</v>
      </c>
    </row>
    <row r="104" spans="1:15">
      <c r="A104" t="s">
        <v>1082</v>
      </c>
      <c r="B104" s="1611">
        <v>1952.8991668255348</v>
      </c>
      <c r="C104" s="1612">
        <v>9809756.3842410613</v>
      </c>
      <c r="D104" s="1614">
        <f t="shared" si="3"/>
        <v>1627.4159723546122</v>
      </c>
      <c r="E104" s="1616">
        <f t="shared" si="4"/>
        <v>8992276.685554307</v>
      </c>
      <c r="F104" s="1611">
        <f t="shared" si="2"/>
        <v>1728</v>
      </c>
      <c r="G104" s="1598">
        <f t="shared" si="2"/>
        <v>8910362.3868166804</v>
      </c>
      <c r="I104" t="s">
        <v>1082</v>
      </c>
      <c r="J104">
        <v>1728</v>
      </c>
      <c r="K104">
        <v>8910362.3868166804</v>
      </c>
    </row>
    <row r="105" spans="1:15">
      <c r="A105" t="s">
        <v>525</v>
      </c>
      <c r="B105" s="1611">
        <v>305.953496959505</v>
      </c>
      <c r="C105" s="1612">
        <v>78893.61367950507</v>
      </c>
      <c r="D105" s="1614">
        <f t="shared" si="3"/>
        <v>254.96124746625415</v>
      </c>
      <c r="E105" s="1616">
        <f t="shared" si="4"/>
        <v>72319.145872879657</v>
      </c>
      <c r="F105" s="1611">
        <f t="shared" si="2"/>
        <v>134</v>
      </c>
      <c r="G105" s="1598">
        <f t="shared" si="2"/>
        <v>34408.446166000009</v>
      </c>
      <c r="I105" t="s">
        <v>525</v>
      </c>
      <c r="J105">
        <v>134</v>
      </c>
      <c r="K105">
        <v>34408.446166000009</v>
      </c>
    </row>
    <row r="106" spans="1:15">
      <c r="A106" t="s">
        <v>1083</v>
      </c>
      <c r="B106" s="1611">
        <v>12.148011635770526</v>
      </c>
      <c r="C106" s="1612">
        <v>15807.569185680542</v>
      </c>
      <c r="D106" s="1614">
        <f t="shared" si="3"/>
        <v>10.123343029808771</v>
      </c>
      <c r="E106" s="1616">
        <f t="shared" si="4"/>
        <v>14490.271753540497</v>
      </c>
      <c r="F106" s="1611">
        <f t="shared" si="2"/>
        <v>5</v>
      </c>
      <c r="G106" s="1598">
        <f t="shared" si="2"/>
        <v>20100.781219000004</v>
      </c>
      <c r="I106" t="s">
        <v>1083</v>
      </c>
      <c r="J106">
        <v>5</v>
      </c>
      <c r="K106">
        <v>20100.781219000004</v>
      </c>
    </row>
    <row r="107" spans="1:15">
      <c r="A107" t="s">
        <v>529</v>
      </c>
      <c r="B107" s="1611">
        <v>0</v>
      </c>
      <c r="C107" s="1612">
        <v>0</v>
      </c>
      <c r="D107" s="1614">
        <f t="shared" si="3"/>
        <v>0</v>
      </c>
      <c r="E107" s="1616">
        <f t="shared" si="4"/>
        <v>0</v>
      </c>
      <c r="F107" s="1611">
        <f>J109</f>
        <v>16</v>
      </c>
      <c r="G107" s="1598">
        <f>K109</f>
        <v>3627.1440160000002</v>
      </c>
      <c r="I107" t="s">
        <v>1084</v>
      </c>
      <c r="J107">
        <v>2943</v>
      </c>
      <c r="K107">
        <v>384517.01816300052</v>
      </c>
    </row>
    <row r="108" spans="1:15">
      <c r="A108" t="s">
        <v>1084</v>
      </c>
      <c r="B108" s="1611">
        <v>477.73255136051739</v>
      </c>
      <c r="C108" s="1612">
        <v>62105.231722373457</v>
      </c>
      <c r="D108" s="1614">
        <f t="shared" si="3"/>
        <v>398.11045946709783</v>
      </c>
      <c r="E108" s="1616">
        <f t="shared" si="4"/>
        <v>56929.795745509</v>
      </c>
      <c r="F108" s="1611">
        <f>J107</f>
        <v>2943</v>
      </c>
      <c r="G108" s="1598">
        <f>K107</f>
        <v>384517.01816300052</v>
      </c>
      <c r="I108" t="s">
        <v>1085</v>
      </c>
      <c r="J108">
        <v>8343</v>
      </c>
      <c r="K108">
        <v>649907.7109660001</v>
      </c>
    </row>
    <row r="109" spans="1:15">
      <c r="A109" t="s">
        <v>1085</v>
      </c>
      <c r="B109" s="1611">
        <v>3888.229713003373</v>
      </c>
      <c r="C109" s="1612">
        <v>296594.1625920136</v>
      </c>
      <c r="D109" s="1614">
        <f t="shared" si="3"/>
        <v>3240.1914275028112</v>
      </c>
      <c r="E109" s="1616">
        <f t="shared" si="4"/>
        <v>271877.98237601243</v>
      </c>
      <c r="F109" s="1611">
        <f>J108</f>
        <v>8343</v>
      </c>
      <c r="G109" s="1598">
        <f>K108</f>
        <v>649907.7109660001</v>
      </c>
      <c r="I109" t="s">
        <v>529</v>
      </c>
      <c r="J109">
        <v>16</v>
      </c>
      <c r="K109">
        <v>3627.1440160000002</v>
      </c>
    </row>
    <row r="110" spans="1:15">
      <c r="A110" t="s">
        <v>872</v>
      </c>
      <c r="B110" s="1611">
        <v>482.59124827896511</v>
      </c>
      <c r="C110" s="1612">
        <v>782092.22288638912</v>
      </c>
      <c r="D110" s="1614">
        <f t="shared" si="3"/>
        <v>402.15937356580423</v>
      </c>
      <c r="E110" s="1616">
        <f t="shared" si="4"/>
        <v>716917.87097919011</v>
      </c>
      <c r="F110" s="1611"/>
      <c r="G110" s="1598"/>
      <c r="I110" t="s">
        <v>1031</v>
      </c>
      <c r="J110">
        <v>16553</v>
      </c>
      <c r="K110">
        <v>16546117.220067149</v>
      </c>
    </row>
    <row r="111" spans="1:15">
      <c r="A111" t="s">
        <v>1051</v>
      </c>
      <c r="B111" s="1611">
        <v>0</v>
      </c>
      <c r="C111" s="1612">
        <v>44700.337457817775</v>
      </c>
      <c r="D111" s="1614">
        <f t="shared" si="3"/>
        <v>0</v>
      </c>
      <c r="E111" s="1616">
        <f t="shared" si="4"/>
        <v>40975.309336332961</v>
      </c>
      <c r="F111" s="1611"/>
      <c r="G111" s="1598"/>
    </row>
    <row r="112" spans="1:15">
      <c r="A112" t="s">
        <v>1031</v>
      </c>
      <c r="B112" s="1273">
        <f t="shared" ref="B112:G112" si="5">SUM(B102:B111)</f>
        <v>10462.957880474914</v>
      </c>
      <c r="C112" s="1273">
        <f t="shared" si="5"/>
        <v>17616160.946689475</v>
      </c>
      <c r="D112" s="1273">
        <f t="shared" si="5"/>
        <v>8719.1315670624299</v>
      </c>
      <c r="E112" s="1273">
        <f t="shared" si="5"/>
        <v>16148147.534465352</v>
      </c>
      <c r="F112" s="1273">
        <f t="shared" si="5"/>
        <v>16553</v>
      </c>
      <c r="G112" s="1273">
        <f t="shared" si="5"/>
        <v>16546117.220067149</v>
      </c>
    </row>
    <row r="114" spans="1:7">
      <c r="E114" s="1230" t="s">
        <v>200</v>
      </c>
    </row>
    <row r="115" spans="1:7">
      <c r="A115" t="s">
        <v>637</v>
      </c>
      <c r="B115" t="s">
        <v>1077</v>
      </c>
      <c r="C115" t="s">
        <v>1078</v>
      </c>
      <c r="E115" s="1639" t="s">
        <v>637</v>
      </c>
      <c r="F115" s="1639" t="s">
        <v>1077</v>
      </c>
      <c r="G115" s="1639" t="s">
        <v>1078</v>
      </c>
    </row>
    <row r="116" spans="1:7">
      <c r="A116" t="s">
        <v>1080</v>
      </c>
      <c r="B116">
        <v>1</v>
      </c>
      <c r="C116">
        <v>501.74059700000004</v>
      </c>
      <c r="E116" s="1639" t="s">
        <v>1080</v>
      </c>
      <c r="F116" s="1639">
        <v>1</v>
      </c>
      <c r="G116" s="1639">
        <v>501.74059700000004</v>
      </c>
    </row>
    <row r="117" spans="1:7">
      <c r="A117" t="s">
        <v>1081</v>
      </c>
      <c r="B117">
        <v>2577</v>
      </c>
      <c r="C117">
        <v>5016337.7784412745</v>
      </c>
      <c r="E117" s="1639" t="s">
        <v>1081</v>
      </c>
      <c r="F117" s="1639">
        <v>3111</v>
      </c>
      <c r="G117" s="1639">
        <v>5993818.1182587091</v>
      </c>
    </row>
    <row r="118" spans="1:7">
      <c r="A118" t="s">
        <v>1082</v>
      </c>
      <c r="B118">
        <v>1328</v>
      </c>
      <c r="C118">
        <v>6787395.5020007156</v>
      </c>
      <c r="E118" s="1639" t="s">
        <v>1082</v>
      </c>
      <c r="F118" s="1639">
        <v>1581</v>
      </c>
      <c r="G118" s="1639">
        <v>8140051.1552774822</v>
      </c>
    </row>
    <row r="119" spans="1:7">
      <c r="A119" t="s">
        <v>525</v>
      </c>
      <c r="B119">
        <v>128</v>
      </c>
      <c r="C119">
        <v>32097.431124999999</v>
      </c>
      <c r="E119" s="1639" t="s">
        <v>525</v>
      </c>
      <c r="F119" s="1639">
        <v>130</v>
      </c>
      <c r="G119" s="1639">
        <v>33381.32837000001</v>
      </c>
    </row>
    <row r="120" spans="1:7">
      <c r="A120" t="s">
        <v>1083</v>
      </c>
      <c r="B120">
        <v>3</v>
      </c>
      <c r="C120">
        <v>16706.780050000001</v>
      </c>
      <c r="E120" s="1639" t="s">
        <v>1083</v>
      </c>
      <c r="F120" s="1639">
        <v>4</v>
      </c>
      <c r="G120" s="1639">
        <v>18883.496216</v>
      </c>
    </row>
    <row r="121" spans="1:7">
      <c r="A121" t="s">
        <v>1084</v>
      </c>
      <c r="B121">
        <v>2203</v>
      </c>
      <c r="C121">
        <v>303134.04869500035</v>
      </c>
      <c r="E121" s="1639" t="s">
        <v>1084</v>
      </c>
      <c r="F121" s="1639">
        <v>2656</v>
      </c>
      <c r="G121" s="1639">
        <v>351514.94981600042</v>
      </c>
    </row>
    <row r="122" spans="1:7">
      <c r="A122" t="s">
        <v>1085</v>
      </c>
      <c r="B122">
        <v>6285</v>
      </c>
      <c r="C122">
        <v>489219.64422400016</v>
      </c>
      <c r="E122" s="1639" t="s">
        <v>1085</v>
      </c>
      <c r="F122" s="1639">
        <v>7631</v>
      </c>
      <c r="G122" s="1639">
        <v>594843.02343399962</v>
      </c>
    </row>
    <row r="123" spans="1:7">
      <c r="A123" t="s">
        <v>529</v>
      </c>
      <c r="B123">
        <v>16</v>
      </c>
      <c r="C123">
        <v>3627.1440160000002</v>
      </c>
      <c r="E123" s="1639" t="s">
        <v>529</v>
      </c>
      <c r="F123" s="1639">
        <v>16</v>
      </c>
      <c r="G123" s="1639">
        <v>3627.1440160000002</v>
      </c>
    </row>
    <row r="124" spans="1:7">
      <c r="A124" t="s">
        <v>1031</v>
      </c>
      <c r="B124">
        <v>12541</v>
      </c>
      <c r="C124">
        <v>12649020.069148989</v>
      </c>
      <c r="E124" s="1639" t="s">
        <v>1031</v>
      </c>
      <c r="F124" s="1639">
        <v>15130</v>
      </c>
      <c r="G124" s="1639">
        <v>15136620.95598519</v>
      </c>
    </row>
    <row r="127" spans="1:7">
      <c r="A127" t="s">
        <v>186</v>
      </c>
    </row>
    <row r="129" spans="1:2">
      <c r="A129" t="s">
        <v>187</v>
      </c>
      <c r="B129" t="s">
        <v>188</v>
      </c>
    </row>
    <row r="131" spans="1:2">
      <c r="B131" t="s">
        <v>1038</v>
      </c>
    </row>
  </sheetData>
  <mergeCells count="5">
    <mergeCell ref="A78:I78"/>
    <mergeCell ref="C80:E80"/>
    <mergeCell ref="G80:I80"/>
    <mergeCell ref="C81:E81"/>
    <mergeCell ref="G81:I81"/>
  </mergeCells>
  <phoneticPr fontId="13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P55"/>
  <sheetViews>
    <sheetView showGridLines="0" topLeftCell="A8" zoomScaleNormal="100" workbookViewId="0">
      <selection activeCell="K51" sqref="K51"/>
    </sheetView>
  </sheetViews>
  <sheetFormatPr defaultRowHeight="13.2"/>
  <cols>
    <col min="1" max="1" width="30.6640625" customWidth="1"/>
    <col min="2" max="6" width="10" customWidth="1"/>
    <col min="7" max="7" width="0.6640625" customWidth="1"/>
    <col min="8" max="8" width="28.88671875" customWidth="1"/>
    <col min="9" max="9" width="1.5546875" customWidth="1"/>
    <col min="10" max="10" width="1.6640625" customWidth="1"/>
    <col min="11" max="11" width="0.6640625" customWidth="1"/>
    <col min="12" max="12" width="0.88671875" customWidth="1"/>
    <col min="13" max="16" width="10" customWidth="1"/>
  </cols>
  <sheetData>
    <row r="1" spans="1:16" ht="21.6" thickBot="1">
      <c r="A1" s="195" t="str">
        <f>'Summary Page'!A1</f>
        <v xml:space="preserve">Finance Report Month 2 2016/17 </v>
      </c>
      <c r="B1" s="252"/>
      <c r="C1" s="252"/>
      <c r="D1" s="252"/>
      <c r="E1" s="252"/>
      <c r="F1" s="252"/>
      <c r="G1" s="253"/>
      <c r="H1" s="785" t="s">
        <v>162</v>
      </c>
      <c r="I1" s="252"/>
      <c r="J1" s="252"/>
      <c r="K1" s="252"/>
      <c r="L1" s="252"/>
      <c r="M1" s="252"/>
      <c r="N1" s="252"/>
      <c r="O1" s="252"/>
      <c r="P1" s="254"/>
    </row>
    <row r="2" spans="1:16" ht="3.75" customHeight="1"/>
    <row r="3" spans="1:16" ht="12.75" customHeight="1">
      <c r="A3" s="2129" t="s">
        <v>1356</v>
      </c>
      <c r="B3" s="2196"/>
      <c r="C3" s="2196"/>
      <c r="D3" s="2196"/>
      <c r="E3" s="2196"/>
      <c r="F3" s="2196"/>
      <c r="G3" s="2196"/>
      <c r="H3" s="2196"/>
      <c r="I3" s="2196"/>
      <c r="J3" s="2196"/>
      <c r="K3" s="2196"/>
      <c r="L3" s="2196"/>
      <c r="M3" s="2196"/>
      <c r="N3" s="2196"/>
      <c r="O3" s="2196"/>
      <c r="P3" s="2197"/>
    </row>
    <row r="4" spans="1:16">
      <c r="A4" s="2236"/>
      <c r="B4" s="2237"/>
      <c r="C4" s="2237"/>
      <c r="D4" s="2237"/>
      <c r="E4" s="2237"/>
      <c r="F4" s="2237"/>
      <c r="G4" s="2237"/>
      <c r="H4" s="2237"/>
      <c r="I4" s="2237"/>
      <c r="J4" s="2237"/>
      <c r="K4" s="2237"/>
      <c r="L4" s="2237"/>
      <c r="M4" s="2237"/>
      <c r="N4" s="2237"/>
      <c r="O4" s="2237"/>
      <c r="P4" s="2238"/>
    </row>
    <row r="5" spans="1:16" ht="6.75" customHeight="1">
      <c r="A5" s="2198"/>
      <c r="B5" s="2199"/>
      <c r="C5" s="2199"/>
      <c r="D5" s="2199"/>
      <c r="E5" s="2199"/>
      <c r="F5" s="2199"/>
      <c r="G5" s="2199"/>
      <c r="H5" s="2199"/>
      <c r="I5" s="2199"/>
      <c r="J5" s="2199"/>
      <c r="K5" s="2199"/>
      <c r="L5" s="2199"/>
      <c r="M5" s="2199"/>
      <c r="N5" s="2199"/>
      <c r="O5" s="2199"/>
      <c r="P5" s="2200"/>
    </row>
    <row r="6" spans="1:16" ht="3.75" customHeight="1"/>
    <row r="7" spans="1:16">
      <c r="A7" s="376"/>
      <c r="B7" s="377" t="s">
        <v>1307</v>
      </c>
      <c r="C7" s="2309" t="s">
        <v>4</v>
      </c>
      <c r="D7" s="2310"/>
      <c r="E7" s="2309"/>
      <c r="F7" s="378"/>
      <c r="G7" s="379"/>
      <c r="H7" s="376"/>
      <c r="I7" s="380"/>
      <c r="J7" s="380"/>
      <c r="K7" s="380"/>
      <c r="L7" s="380"/>
      <c r="M7" s="2309" t="s">
        <v>7</v>
      </c>
      <c r="N7" s="2309"/>
      <c r="O7" s="2309"/>
      <c r="P7" s="166"/>
    </row>
    <row r="8" spans="1:16">
      <c r="A8" s="381"/>
      <c r="B8" s="1792" t="s">
        <v>722</v>
      </c>
      <c r="C8" s="379" t="s">
        <v>721</v>
      </c>
      <c r="D8" s="379" t="s">
        <v>722</v>
      </c>
      <c r="E8" s="379" t="s">
        <v>723</v>
      </c>
      <c r="F8" s="382" t="s">
        <v>654</v>
      </c>
      <c r="G8" s="379"/>
      <c r="H8" s="381"/>
      <c r="I8" s="383"/>
      <c r="J8" s="383"/>
      <c r="K8" s="383"/>
      <c r="L8" s="383"/>
      <c r="M8" s="379" t="s">
        <v>721</v>
      </c>
      <c r="N8" s="379" t="s">
        <v>722</v>
      </c>
      <c r="O8" s="379" t="s">
        <v>723</v>
      </c>
      <c r="P8" s="384" t="s">
        <v>654</v>
      </c>
    </row>
    <row r="9" spans="1:16">
      <c r="A9" s="381"/>
      <c r="B9" s="379" t="s">
        <v>948</v>
      </c>
      <c r="C9" s="379" t="s">
        <v>948</v>
      </c>
      <c r="D9" s="379" t="s">
        <v>948</v>
      </c>
      <c r="E9" s="379" t="s">
        <v>948</v>
      </c>
      <c r="F9" s="385"/>
      <c r="G9" s="386"/>
      <c r="H9" s="381"/>
      <c r="I9" s="383"/>
      <c r="J9" s="383"/>
      <c r="K9" s="383"/>
      <c r="L9" s="383"/>
      <c r="M9" s="379" t="s">
        <v>948</v>
      </c>
      <c r="N9" s="379" t="s">
        <v>948</v>
      </c>
      <c r="O9" s="379" t="s">
        <v>948</v>
      </c>
      <c r="P9" s="160"/>
    </row>
    <row r="10" spans="1:16">
      <c r="A10" s="381" t="s">
        <v>626</v>
      </c>
      <c r="B10" s="387">
        <v>351733</v>
      </c>
      <c r="C10" s="387">
        <f>'Balance Sheet Data'!F5</f>
        <v>374339</v>
      </c>
      <c r="D10" s="387">
        <f>'Balance Sheet Data'!R5</f>
        <v>365882</v>
      </c>
      <c r="E10" s="387">
        <f>+D10-C10</f>
        <v>-8457</v>
      </c>
      <c r="F10" s="388">
        <v>1</v>
      </c>
      <c r="G10" s="389"/>
      <c r="H10" s="390" t="s">
        <v>626</v>
      </c>
      <c r="I10" s="391"/>
      <c r="J10" s="391"/>
      <c r="K10" s="391"/>
      <c r="L10" s="383"/>
      <c r="M10" s="387">
        <f>'Balance Sheet Data'!T5</f>
        <v>406803</v>
      </c>
      <c r="N10" s="387">
        <f>'Balance Sheet Data'!U5</f>
        <v>408815</v>
      </c>
      <c r="O10" s="387">
        <f>+N10-M10</f>
        <v>2012</v>
      </c>
      <c r="P10" s="388">
        <v>1</v>
      </c>
    </row>
    <row r="11" spans="1:16">
      <c r="A11" s="392" t="s">
        <v>638</v>
      </c>
      <c r="B11" s="387">
        <v>425</v>
      </c>
      <c r="C11" s="387">
        <f>'Balance Sheet Data'!F6</f>
        <v>419</v>
      </c>
      <c r="D11" s="452">
        <f>'Balance Sheet Data'!R6</f>
        <v>419</v>
      </c>
      <c r="E11" s="387">
        <v>0</v>
      </c>
      <c r="F11" s="388"/>
      <c r="G11" s="393"/>
      <c r="H11" s="394" t="s">
        <v>638</v>
      </c>
      <c r="I11" s="395"/>
      <c r="J11" s="395"/>
      <c r="K11" s="395"/>
      <c r="L11" s="396"/>
      <c r="M11" s="387">
        <f>'Balance Sheet Data'!T6</f>
        <v>389</v>
      </c>
      <c r="N11" s="387">
        <f>'Balance Sheet Data'!U6</f>
        <v>389</v>
      </c>
      <c r="O11" s="387">
        <f>+N11-M11</f>
        <v>0</v>
      </c>
      <c r="P11" s="388"/>
    </row>
    <row r="12" spans="1:16">
      <c r="A12" s="392" t="s">
        <v>823</v>
      </c>
      <c r="B12" s="387">
        <v>2744</v>
      </c>
      <c r="C12" s="387">
        <f>'Balance Sheet Data'!F7</f>
        <v>3139</v>
      </c>
      <c r="D12" s="387">
        <f>'Balance Sheet Data'!R7</f>
        <v>2900</v>
      </c>
      <c r="E12" s="387">
        <f>+D12-C12</f>
        <v>-239</v>
      </c>
      <c r="F12" s="388"/>
      <c r="G12" s="393"/>
      <c r="H12" s="394" t="s">
        <v>823</v>
      </c>
      <c r="I12" s="395"/>
      <c r="J12" s="395"/>
      <c r="K12" s="395"/>
      <c r="L12" s="396"/>
      <c r="M12" s="387">
        <f>'Balance Sheet Data'!T7</f>
        <v>3025</v>
      </c>
      <c r="N12" s="387">
        <f>'Balance Sheet Data'!U7</f>
        <v>2786</v>
      </c>
      <c r="O12" s="387">
        <f>+N12-M12</f>
        <v>-239</v>
      </c>
      <c r="P12" s="388"/>
    </row>
    <row r="13" spans="1:16">
      <c r="A13" s="397" t="s">
        <v>639</v>
      </c>
      <c r="B13" s="398">
        <f>SUM(B10:B12)</f>
        <v>354902</v>
      </c>
      <c r="C13" s="398">
        <f>SUM(C10:C12)</f>
        <v>377897</v>
      </c>
      <c r="D13" s="398">
        <f>SUM(D10:D12)</f>
        <v>369201</v>
      </c>
      <c r="E13" s="398">
        <f>SUM(E10:E12)</f>
        <v>-8696</v>
      </c>
      <c r="F13" s="399"/>
      <c r="G13" s="400"/>
      <c r="H13" s="401" t="s">
        <v>639</v>
      </c>
      <c r="I13" s="402"/>
      <c r="J13" s="402"/>
      <c r="K13" s="402"/>
      <c r="L13" s="403"/>
      <c r="M13" s="398">
        <f>SUM(M10:M12)</f>
        <v>410217</v>
      </c>
      <c r="N13" s="398">
        <f>SUM(N10:N12)</f>
        <v>411990</v>
      </c>
      <c r="O13" s="398">
        <f>SUM(O10:O12)</f>
        <v>1773</v>
      </c>
      <c r="P13" s="399"/>
    </row>
    <row r="14" spans="1:16">
      <c r="A14" s="392" t="s">
        <v>822</v>
      </c>
      <c r="B14" s="387">
        <v>7118</v>
      </c>
      <c r="C14" s="387">
        <f>'Balance Sheet Data'!F9</f>
        <v>6967</v>
      </c>
      <c r="D14" s="387">
        <f>'Balance Sheet Data'!R9</f>
        <v>7480</v>
      </c>
      <c r="E14" s="387">
        <f>+D14-C14</f>
        <v>513</v>
      </c>
      <c r="F14" s="388"/>
      <c r="G14" s="404"/>
      <c r="H14" s="394" t="s">
        <v>822</v>
      </c>
      <c r="I14" s="395"/>
      <c r="J14" s="395"/>
      <c r="K14" s="395"/>
      <c r="L14" s="396"/>
      <c r="M14" s="387">
        <f>'Balance Sheet Data'!T9</f>
        <v>7200</v>
      </c>
      <c r="N14" s="387">
        <f>'Balance Sheet Data'!U9</f>
        <v>7713</v>
      </c>
      <c r="O14" s="387">
        <f>+N14-M14</f>
        <v>513</v>
      </c>
      <c r="P14" s="388"/>
    </row>
    <row r="15" spans="1:16">
      <c r="A15" s="392" t="s">
        <v>640</v>
      </c>
      <c r="B15" s="387">
        <v>61075</v>
      </c>
      <c r="C15" s="387">
        <f>'Balance Sheet Data'!F10</f>
        <v>49284</v>
      </c>
      <c r="D15" s="387">
        <f>'Balance Sheet Data'!R10</f>
        <v>51614</v>
      </c>
      <c r="E15" s="387">
        <f>+D15-C15</f>
        <v>2330</v>
      </c>
      <c r="F15" s="388">
        <v>2</v>
      </c>
      <c r="G15" s="404"/>
      <c r="H15" s="394" t="s">
        <v>640</v>
      </c>
      <c r="I15" s="395"/>
      <c r="J15" s="395"/>
      <c r="K15" s="395"/>
      <c r="L15" s="396"/>
      <c r="M15" s="387">
        <f>'Balance Sheet Data'!T10</f>
        <v>45320</v>
      </c>
      <c r="N15" s="387">
        <f>'Balance Sheet Data'!U10</f>
        <v>47303</v>
      </c>
      <c r="O15" s="387">
        <f>+N15-M15</f>
        <v>1983</v>
      </c>
      <c r="P15" s="388">
        <v>2</v>
      </c>
    </row>
    <row r="16" spans="1:16">
      <c r="A16" s="392" t="s">
        <v>641</v>
      </c>
      <c r="B16" s="387">
        <f>'Balance Sheet Data'!D11</f>
        <v>3344</v>
      </c>
      <c r="C16" s="387">
        <f>'Balance Sheet Data'!F11</f>
        <v>7248</v>
      </c>
      <c r="D16" s="387">
        <f>'Balance Sheet Data'!R11</f>
        <v>5896</v>
      </c>
      <c r="E16" s="387">
        <f>+D16-C16</f>
        <v>-1352</v>
      </c>
      <c r="F16" s="1790">
        <v>3</v>
      </c>
      <c r="G16" s="404"/>
      <c r="H16" s="394" t="s">
        <v>641</v>
      </c>
      <c r="I16" s="395"/>
      <c r="J16" s="395"/>
      <c r="K16" s="395"/>
      <c r="L16" s="396"/>
      <c r="M16" s="387">
        <f>'Balance Sheet Data'!T11</f>
        <v>3168</v>
      </c>
      <c r="N16" s="387">
        <f>'Balance Sheet Data'!U11</f>
        <v>3168</v>
      </c>
      <c r="O16" s="387">
        <f>+N16-M16</f>
        <v>0</v>
      </c>
      <c r="P16" s="388">
        <v>3</v>
      </c>
    </row>
    <row r="17" spans="1:16" ht="15.75" customHeight="1">
      <c r="A17" s="392" t="s">
        <v>869</v>
      </c>
      <c r="B17" s="387">
        <v>63</v>
      </c>
      <c r="C17" s="387">
        <f>'Balance Sheet Data'!F12</f>
        <v>0</v>
      </c>
      <c r="D17" s="387">
        <f>'Balance Sheet Data'!R12</f>
        <v>63</v>
      </c>
      <c r="E17" s="387">
        <f>+D17-C17</f>
        <v>63</v>
      </c>
      <c r="F17" s="388"/>
      <c r="G17" s="404"/>
      <c r="H17" s="392" t="s">
        <v>869</v>
      </c>
      <c r="I17" s="395"/>
      <c r="J17" s="395"/>
      <c r="K17" s="395"/>
      <c r="L17" s="396"/>
      <c r="M17" s="387">
        <f>'Balance Sheet Data'!T12</f>
        <v>0</v>
      </c>
      <c r="N17" s="387">
        <f>'Balance Sheet Data'!U12</f>
        <v>63</v>
      </c>
      <c r="O17" s="387">
        <f>+N17-M17</f>
        <v>63</v>
      </c>
      <c r="P17" s="388"/>
    </row>
    <row r="18" spans="1:16">
      <c r="A18" s="397" t="s">
        <v>642</v>
      </c>
      <c r="B18" s="405">
        <f>SUM(B14:B17)</f>
        <v>71600</v>
      </c>
      <c r="C18" s="405">
        <f>SUM(C14:C17)</f>
        <v>63499</v>
      </c>
      <c r="D18" s="405">
        <f>SUM(D14:D17)</f>
        <v>65053</v>
      </c>
      <c r="E18" s="405">
        <f>SUM(E14:E17)</f>
        <v>1554</v>
      </c>
      <c r="F18" s="406"/>
      <c r="G18" s="407"/>
      <c r="H18" s="401" t="s">
        <v>642</v>
      </c>
      <c r="I18" s="402"/>
      <c r="J18" s="402"/>
      <c r="K18" s="402"/>
      <c r="L18" s="403"/>
      <c r="M18" s="405">
        <f>SUM(M14:M17)</f>
        <v>55688</v>
      </c>
      <c r="N18" s="405">
        <f>SUM(N14:N17)</f>
        <v>58247</v>
      </c>
      <c r="O18" s="405">
        <f>SUM(O14:O17)</f>
        <v>2559</v>
      </c>
      <c r="P18" s="406"/>
    </row>
    <row r="19" spans="1:16">
      <c r="A19" s="392" t="s">
        <v>643</v>
      </c>
      <c r="B19" s="387">
        <v>-80635</v>
      </c>
      <c r="C19" s="387">
        <f>'Balance Sheet Data'!F14</f>
        <v>-73794</v>
      </c>
      <c r="D19" s="387">
        <f>'Balance Sheet Data'!R14</f>
        <v>-75148</v>
      </c>
      <c r="E19" s="387">
        <f>+D19-C19</f>
        <v>-1354</v>
      </c>
      <c r="F19" s="388">
        <v>2</v>
      </c>
      <c r="G19" s="404"/>
      <c r="H19" s="394" t="s">
        <v>643</v>
      </c>
      <c r="I19" s="395"/>
      <c r="J19" s="395"/>
      <c r="K19" s="395"/>
      <c r="L19" s="396"/>
      <c r="M19" s="387">
        <f>'Balance Sheet Data'!T14</f>
        <v>-67425</v>
      </c>
      <c r="N19" s="387">
        <f>'Balance Sheet Data'!U14</f>
        <v>-70551</v>
      </c>
      <c r="O19" s="387">
        <f>+N19-M19</f>
        <v>-3126</v>
      </c>
      <c r="P19" s="388">
        <v>2</v>
      </c>
    </row>
    <row r="20" spans="1:16">
      <c r="A20" s="392" t="s">
        <v>644</v>
      </c>
      <c r="B20" s="387">
        <v>-7934</v>
      </c>
      <c r="C20" s="387">
        <f>'Balance Sheet Data'!F15</f>
        <v>-6330</v>
      </c>
      <c r="D20" s="387">
        <f>'Balance Sheet Data'!R15</f>
        <v>-7616</v>
      </c>
      <c r="E20" s="387">
        <f>+D20-C20</f>
        <v>-1286</v>
      </c>
      <c r="F20" s="388">
        <v>4</v>
      </c>
      <c r="G20" s="404"/>
      <c r="H20" s="394" t="s">
        <v>644</v>
      </c>
      <c r="I20" s="395"/>
      <c r="J20" s="395"/>
      <c r="K20" s="395"/>
      <c r="L20" s="396"/>
      <c r="M20" s="387">
        <f>'Balance Sheet Data'!T15</f>
        <v>-4780</v>
      </c>
      <c r="N20" s="387">
        <f>'Balance Sheet Data'!U15</f>
        <v>-6384</v>
      </c>
      <c r="O20" s="387">
        <f>+N20-M20</f>
        <v>-1604</v>
      </c>
      <c r="P20" s="388"/>
    </row>
    <row r="21" spans="1:16">
      <c r="A21" s="392" t="s">
        <v>645</v>
      </c>
      <c r="B21" s="387">
        <f>'Balance Sheet Data'!D16</f>
        <v>0</v>
      </c>
      <c r="C21" s="387">
        <f>'Balance Sheet Data'!F16</f>
        <v>0</v>
      </c>
      <c r="D21" s="387">
        <f>'Balance Sheet Data'!R16</f>
        <v>0</v>
      </c>
      <c r="E21" s="387">
        <f>+D21-C21</f>
        <v>0</v>
      </c>
      <c r="F21" s="388"/>
      <c r="G21" s="404"/>
      <c r="H21" s="394" t="s">
        <v>645</v>
      </c>
      <c r="I21" s="395"/>
      <c r="J21" s="395"/>
      <c r="K21" s="395"/>
      <c r="L21" s="396"/>
      <c r="M21" s="387">
        <f>'Balance Sheet Data'!T16</f>
        <v>0</v>
      </c>
      <c r="N21" s="387">
        <f>'Balance Sheet Data'!U16</f>
        <v>0</v>
      </c>
      <c r="O21" s="387">
        <f>+N21-M21</f>
        <v>0</v>
      </c>
      <c r="P21" s="388"/>
    </row>
    <row r="22" spans="1:16">
      <c r="A22" s="392" t="s">
        <v>167</v>
      </c>
      <c r="B22" s="387">
        <v>-236</v>
      </c>
      <c r="C22" s="387">
        <f>'Balance Sheet Data'!F17</f>
        <v>-329</v>
      </c>
      <c r="D22" s="387">
        <f>'Balance Sheet Data'!R17</f>
        <v>-231</v>
      </c>
      <c r="E22" s="387">
        <f>+D22-C22</f>
        <v>98</v>
      </c>
      <c r="F22" s="388"/>
      <c r="G22" s="404"/>
      <c r="H22" s="394" t="s">
        <v>167</v>
      </c>
      <c r="I22" s="395"/>
      <c r="J22" s="395"/>
      <c r="K22" s="395"/>
      <c r="L22" s="396"/>
      <c r="M22" s="387">
        <f>'Balance Sheet Data'!T17</f>
        <v>-250</v>
      </c>
      <c r="N22" s="387">
        <f>'Balance Sheet Data'!U17</f>
        <v>-152</v>
      </c>
      <c r="O22" s="387">
        <f>+N22-M22</f>
        <v>98</v>
      </c>
      <c r="P22" s="388"/>
    </row>
    <row r="23" spans="1:16">
      <c r="A23" s="392" t="s">
        <v>646</v>
      </c>
      <c r="B23" s="387">
        <f>'Balance Sheet Data'!D18</f>
        <v>0</v>
      </c>
      <c r="C23" s="387">
        <f>'Balance Sheet Data'!F18</f>
        <v>0</v>
      </c>
      <c r="D23" s="387">
        <f>'Balance Sheet Data'!R18</f>
        <v>0</v>
      </c>
      <c r="E23" s="387">
        <f>+D23-C23</f>
        <v>0</v>
      </c>
      <c r="F23" s="388"/>
      <c r="G23" s="404"/>
      <c r="H23" s="394" t="s">
        <v>646</v>
      </c>
      <c r="I23" s="395"/>
      <c r="J23" s="395"/>
      <c r="K23" s="395"/>
      <c r="L23" s="396"/>
      <c r="M23" s="387">
        <f>'Balance Sheet Data'!T18</f>
        <v>0</v>
      </c>
      <c r="N23" s="387">
        <f>'Balance Sheet Data'!U18</f>
        <v>0</v>
      </c>
      <c r="O23" s="387">
        <f>+N23-M23</f>
        <v>0</v>
      </c>
      <c r="P23" s="388"/>
    </row>
    <row r="24" spans="1:16">
      <c r="A24" s="397" t="s">
        <v>647</v>
      </c>
      <c r="B24" s="398">
        <f>SUM(B19:B23)</f>
        <v>-88805</v>
      </c>
      <c r="C24" s="398">
        <f>SUM(C19:C23)</f>
        <v>-80453</v>
      </c>
      <c r="D24" s="398">
        <f>SUM(D19:D23)</f>
        <v>-82995</v>
      </c>
      <c r="E24" s="398">
        <f>SUM(E19:E23)</f>
        <v>-2542</v>
      </c>
      <c r="F24" s="399"/>
      <c r="G24" s="400"/>
      <c r="H24" s="401" t="s">
        <v>647</v>
      </c>
      <c r="I24" s="402"/>
      <c r="J24" s="402"/>
      <c r="K24" s="402"/>
      <c r="L24" s="403"/>
      <c r="M24" s="398">
        <f>SUM(M19:M23)</f>
        <v>-72455</v>
      </c>
      <c r="N24" s="398">
        <f>SUM(N19:N23)</f>
        <v>-77087</v>
      </c>
      <c r="O24" s="398">
        <f>SUM(O19:O23)</f>
        <v>-4632</v>
      </c>
      <c r="P24" s="399"/>
    </row>
    <row r="25" spans="1:16">
      <c r="A25" s="392" t="s">
        <v>644</v>
      </c>
      <c r="B25" s="387">
        <v>-121934</v>
      </c>
      <c r="C25" s="387">
        <f>'Balance Sheet Data'!F20</f>
        <v>-133972</v>
      </c>
      <c r="D25" s="387">
        <f>'Balance Sheet Data'!R20</f>
        <v>-131537</v>
      </c>
      <c r="E25" s="387">
        <f>+D25-C25</f>
        <v>2435</v>
      </c>
      <c r="F25" s="388">
        <v>4</v>
      </c>
      <c r="G25" s="404"/>
      <c r="H25" s="394" t="s">
        <v>644</v>
      </c>
      <c r="I25" s="395"/>
      <c r="J25" s="395"/>
      <c r="K25" s="395"/>
      <c r="L25" s="396"/>
      <c r="M25" s="387">
        <f>'Balance Sheet Data'!T20</f>
        <v>-144416</v>
      </c>
      <c r="N25" s="387">
        <f>'Balance Sheet Data'!U20</f>
        <v>-144379</v>
      </c>
      <c r="O25" s="387">
        <f>+N25-M25</f>
        <v>37</v>
      </c>
      <c r="P25" s="388"/>
    </row>
    <row r="26" spans="1:16">
      <c r="A26" s="392" t="s">
        <v>643</v>
      </c>
      <c r="B26" s="387">
        <v>0</v>
      </c>
      <c r="C26" s="387">
        <f>'Balance Sheet Data'!F21</f>
        <v>-1657</v>
      </c>
      <c r="D26" s="387">
        <f>'Balance Sheet Data'!R21</f>
        <v>0</v>
      </c>
      <c r="E26" s="387">
        <f>+D26-C26</f>
        <v>1657</v>
      </c>
      <c r="F26" s="388"/>
      <c r="G26" s="404"/>
      <c r="H26" s="392" t="s">
        <v>643</v>
      </c>
      <c r="I26" s="395"/>
      <c r="J26" s="395"/>
      <c r="K26" s="395"/>
      <c r="L26" s="396"/>
      <c r="M26" s="387">
        <f>'Balance Sheet Data'!T21</f>
        <v>-1657</v>
      </c>
      <c r="N26" s="387">
        <f>'Balance Sheet Data'!U21</f>
        <v>0</v>
      </c>
      <c r="O26" s="387">
        <f>+N26-M26</f>
        <v>1657</v>
      </c>
      <c r="P26" s="388"/>
    </row>
    <row r="27" spans="1:16">
      <c r="A27" s="1791" t="s">
        <v>167</v>
      </c>
      <c r="B27" s="387">
        <v>-1787</v>
      </c>
      <c r="C27" s="387">
        <f>'Balance Sheet Data'!F22</f>
        <v>-1883</v>
      </c>
      <c r="D27" s="387">
        <f>'Balance Sheet Data'!R22</f>
        <v>-1774</v>
      </c>
      <c r="E27" s="387">
        <f>+D27-C27</f>
        <v>109</v>
      </c>
      <c r="F27" s="388"/>
      <c r="G27" s="404"/>
      <c r="H27" s="394" t="s">
        <v>167</v>
      </c>
      <c r="I27" s="395"/>
      <c r="J27" s="395"/>
      <c r="K27" s="395"/>
      <c r="L27" s="396"/>
      <c r="M27" s="387">
        <f>'Balance Sheet Data'!T22</f>
        <v>-1943</v>
      </c>
      <c r="N27" s="387">
        <f>'Balance Sheet Data'!U22</f>
        <v>-1834</v>
      </c>
      <c r="O27" s="387">
        <f>+N27-M27</f>
        <v>109</v>
      </c>
      <c r="P27" s="388"/>
    </row>
    <row r="28" spans="1:16">
      <c r="A28" s="397" t="s">
        <v>648</v>
      </c>
      <c r="B28" s="201">
        <f>B13+B18+B24+B25+B27+B26</f>
        <v>213976</v>
      </c>
      <c r="C28" s="201">
        <f>C13+C18+C24+C25+C27+C26</f>
        <v>223431</v>
      </c>
      <c r="D28" s="201">
        <f>D13+D18+D24+D25+D27+D26</f>
        <v>217948</v>
      </c>
      <c r="E28" s="201">
        <f>E13+E18+E24+E25+E27+E26</f>
        <v>-5483</v>
      </c>
      <c r="F28" s="406"/>
      <c r="G28" s="407"/>
      <c r="H28" s="401" t="s">
        <v>648</v>
      </c>
      <c r="I28" s="402"/>
      <c r="J28" s="402"/>
      <c r="K28" s="402"/>
      <c r="L28" s="403"/>
      <c r="M28" s="201">
        <f>M13+M18+M24+M25+M27+M26</f>
        <v>245434</v>
      </c>
      <c r="N28" s="201">
        <f>N13+N18+N24+N25+N27+N26</f>
        <v>246937</v>
      </c>
      <c r="O28" s="201">
        <f>O13+O18+O24+O25+O27+O26</f>
        <v>1503</v>
      </c>
      <c r="P28" s="406"/>
    </row>
    <row r="29" spans="1:16">
      <c r="A29" s="397" t="s">
        <v>649</v>
      </c>
      <c r="B29" s="408"/>
      <c r="C29" s="408"/>
      <c r="D29" s="408"/>
      <c r="E29" s="408"/>
      <c r="F29" s="409"/>
      <c r="G29" s="410"/>
      <c r="H29" s="401" t="s">
        <v>649</v>
      </c>
      <c r="I29" s="402"/>
      <c r="J29" s="402"/>
      <c r="K29" s="402"/>
      <c r="L29" s="403"/>
      <c r="M29" s="411"/>
      <c r="N29" s="408"/>
      <c r="O29" s="412"/>
      <c r="P29" s="409"/>
    </row>
    <row r="30" spans="1:16">
      <c r="A30" s="413" t="s">
        <v>934</v>
      </c>
      <c r="B30" s="387">
        <f>'Balance Sheet Data'!D25</f>
        <v>-247752</v>
      </c>
      <c r="C30" s="387">
        <f>'Balance Sheet Data'!F25</f>
        <v>-263280</v>
      </c>
      <c r="D30" s="387">
        <f>'Balance Sheet Data'!R25</f>
        <v>-262939</v>
      </c>
      <c r="E30" s="387">
        <f>+D30-C30</f>
        <v>341</v>
      </c>
      <c r="F30" s="388"/>
      <c r="G30" s="404"/>
      <c r="H30" s="394" t="s">
        <v>934</v>
      </c>
      <c r="I30" s="395"/>
      <c r="J30" s="395"/>
      <c r="K30" s="395"/>
      <c r="L30" s="414"/>
      <c r="M30" s="387">
        <f>'Balance Sheet Data'!T25</f>
        <v>-310668</v>
      </c>
      <c r="N30" s="387">
        <f>'Balance Sheet Data'!U25</f>
        <v>-312003</v>
      </c>
      <c r="O30" s="387">
        <f>+N30-M30</f>
        <v>-1335</v>
      </c>
      <c r="P30" s="388"/>
    </row>
    <row r="31" spans="1:16">
      <c r="A31" s="392" t="s">
        <v>650</v>
      </c>
      <c r="B31" s="387">
        <v>79401</v>
      </c>
      <c r="C31" s="387">
        <f>'Balance Sheet Data'!F26</f>
        <v>87980</v>
      </c>
      <c r="D31" s="387">
        <f>'Balance Sheet Data'!R26</f>
        <v>79399</v>
      </c>
      <c r="E31" s="387">
        <f>+D31-C31</f>
        <v>-8581</v>
      </c>
      <c r="F31" s="388"/>
      <c r="G31" s="404"/>
      <c r="H31" s="394" t="s">
        <v>650</v>
      </c>
      <c r="I31" s="395"/>
      <c r="J31" s="395"/>
      <c r="K31" s="395"/>
      <c r="L31" s="396"/>
      <c r="M31" s="387">
        <f>'Balance Sheet Data'!T26</f>
        <v>87980</v>
      </c>
      <c r="N31" s="387">
        <f>'Balance Sheet Data'!U26</f>
        <v>79399</v>
      </c>
      <c r="O31" s="387">
        <f>+N31-M31</f>
        <v>-8581</v>
      </c>
      <c r="P31" s="388">
        <v>4</v>
      </c>
    </row>
    <row r="32" spans="1:16">
      <c r="A32" s="392" t="s">
        <v>651</v>
      </c>
      <c r="B32" s="387">
        <f>'Balance Sheet Data'!D27</f>
        <v>0</v>
      </c>
      <c r="C32" s="387">
        <f>'Balance Sheet Data'!F27</f>
        <v>5902</v>
      </c>
      <c r="D32" s="387">
        <f>'Balance Sheet Data'!R27</f>
        <v>11217</v>
      </c>
      <c r="E32" s="387">
        <f>+D32-C32</f>
        <v>5315</v>
      </c>
      <c r="F32" s="388"/>
      <c r="G32" s="404"/>
      <c r="H32" s="394" t="s">
        <v>627</v>
      </c>
      <c r="I32" s="395"/>
      <c r="J32" s="395"/>
      <c r="K32" s="395"/>
      <c r="L32" s="396"/>
      <c r="M32" s="387">
        <f>'Balance Sheet Data'!T27</f>
        <v>31287</v>
      </c>
      <c r="N32" s="387">
        <f>'Balance Sheet Data'!U27</f>
        <v>31292</v>
      </c>
      <c r="O32" s="387">
        <f>+N32-M32</f>
        <v>5</v>
      </c>
      <c r="P32" s="388"/>
    </row>
    <row r="33" spans="1:16">
      <c r="A33" s="392" t="s">
        <v>652</v>
      </c>
      <c r="B33" s="387">
        <v>-45625</v>
      </c>
      <c r="C33" s="387">
        <f>'Balance Sheet Data'!F28</f>
        <v>-54033</v>
      </c>
      <c r="D33" s="387">
        <f>'Balance Sheet Data'!R28</f>
        <v>-45625</v>
      </c>
      <c r="E33" s="387">
        <f>+D33-C33</f>
        <v>8408</v>
      </c>
      <c r="F33" s="388">
        <v>4</v>
      </c>
      <c r="G33" s="404"/>
      <c r="H33" s="394" t="s">
        <v>652</v>
      </c>
      <c r="I33" s="395"/>
      <c r="J33" s="395"/>
      <c r="K33" s="395"/>
      <c r="L33" s="396"/>
      <c r="M33" s="387">
        <f>'Balance Sheet Data'!T28</f>
        <v>-54033</v>
      </c>
      <c r="N33" s="387">
        <f>'Balance Sheet Data'!U28</f>
        <v>-45625</v>
      </c>
      <c r="O33" s="387">
        <f>+N33-M33</f>
        <v>8408</v>
      </c>
      <c r="P33" s="388">
        <v>4</v>
      </c>
    </row>
    <row r="34" spans="1:16">
      <c r="A34" s="415" t="s">
        <v>653</v>
      </c>
      <c r="B34" s="209">
        <f>SUM(B30:B33)</f>
        <v>-213976</v>
      </c>
      <c r="C34" s="209">
        <f>SUM(C30:C33)</f>
        <v>-223431</v>
      </c>
      <c r="D34" s="209">
        <f>SUM(D30:D33)</f>
        <v>-217948</v>
      </c>
      <c r="E34" s="209">
        <f>SUM(E30:E33)</f>
        <v>5483</v>
      </c>
      <c r="F34" s="416"/>
      <c r="G34" s="407"/>
      <c r="H34" s="415" t="s">
        <v>653</v>
      </c>
      <c r="I34" s="417"/>
      <c r="J34" s="417"/>
      <c r="K34" s="417"/>
      <c r="L34" s="417"/>
      <c r="M34" s="209">
        <f>SUM(M30:M33)</f>
        <v>-245434</v>
      </c>
      <c r="N34" s="209">
        <f>SUM(N30:N33)</f>
        <v>-246937</v>
      </c>
      <c r="O34" s="209">
        <f>SUM(O30:O33)</f>
        <v>-1503</v>
      </c>
      <c r="P34" s="418"/>
    </row>
    <row r="35" spans="1:16" ht="3.75" customHeight="1"/>
    <row r="36" spans="1:16" ht="12.75" customHeight="1">
      <c r="A36" s="2306" t="s">
        <v>1384</v>
      </c>
      <c r="B36" s="2137"/>
      <c r="C36" s="2137"/>
      <c r="D36" s="2137"/>
      <c r="E36" s="2137"/>
      <c r="F36" s="2138"/>
      <c r="H36" s="2307" t="s">
        <v>1385</v>
      </c>
      <c r="I36" s="2132"/>
      <c r="J36" s="2132"/>
      <c r="K36" s="2132"/>
      <c r="L36" s="2132"/>
      <c r="M36" s="2132"/>
      <c r="N36" s="2132"/>
      <c r="O36" s="2132"/>
      <c r="P36" s="2133"/>
    </row>
    <row r="37" spans="1:16">
      <c r="A37" s="2216"/>
      <c r="B37" s="2284"/>
      <c r="C37" s="2284"/>
      <c r="D37" s="2284"/>
      <c r="E37" s="2284"/>
      <c r="F37" s="2218"/>
      <c r="H37" s="2285"/>
      <c r="I37" s="2308"/>
      <c r="J37" s="2286"/>
      <c r="K37" s="2286"/>
      <c r="L37" s="2286"/>
      <c r="M37" s="2286"/>
      <c r="N37" s="2286"/>
      <c r="O37" s="2286"/>
      <c r="P37" s="2287"/>
    </row>
    <row r="38" spans="1:16">
      <c r="A38" s="2216"/>
      <c r="B38" s="2284"/>
      <c r="C38" s="2284"/>
      <c r="D38" s="2284"/>
      <c r="E38" s="2284"/>
      <c r="F38" s="2218"/>
      <c r="H38" s="2285"/>
      <c r="I38" s="2308"/>
      <c r="J38" s="2286"/>
      <c r="K38" s="2286"/>
      <c r="L38" s="2286"/>
      <c r="M38" s="2286"/>
      <c r="N38" s="2286"/>
      <c r="O38" s="2286"/>
      <c r="P38" s="2287"/>
    </row>
    <row r="39" spans="1:16">
      <c r="A39" s="2095"/>
      <c r="B39" s="2284"/>
      <c r="C39" s="2284"/>
      <c r="D39" s="2284"/>
      <c r="E39" s="2284"/>
      <c r="F39" s="2218"/>
      <c r="H39" s="2285"/>
      <c r="I39" s="2308"/>
      <c r="J39" s="2286"/>
      <c r="K39" s="2286"/>
      <c r="L39" s="2286"/>
      <c r="M39" s="2286"/>
      <c r="N39" s="2286"/>
      <c r="O39" s="2286"/>
      <c r="P39" s="2287"/>
    </row>
    <row r="40" spans="1:16">
      <c r="A40" s="2216"/>
      <c r="B40" s="2284"/>
      <c r="C40" s="2284"/>
      <c r="D40" s="2284"/>
      <c r="E40" s="2284"/>
      <c r="F40" s="2218"/>
      <c r="H40" s="2285"/>
      <c r="I40" s="2308"/>
      <c r="J40" s="2286"/>
      <c r="K40" s="2286"/>
      <c r="L40" s="2286"/>
      <c r="M40" s="2286"/>
      <c r="N40" s="2286"/>
      <c r="O40" s="2286"/>
      <c r="P40" s="2287"/>
    </row>
    <row r="41" spans="1:16" ht="144" customHeight="1">
      <c r="A41" s="2139"/>
      <c r="B41" s="2140"/>
      <c r="C41" s="2140"/>
      <c r="D41" s="2140"/>
      <c r="E41" s="2140"/>
      <c r="F41" s="2141"/>
      <c r="H41" s="2134"/>
      <c r="I41" s="2135"/>
      <c r="J41" s="2135"/>
      <c r="K41" s="2135"/>
      <c r="L41" s="2135"/>
      <c r="M41" s="2135"/>
      <c r="N41" s="2135"/>
      <c r="O41" s="2135"/>
      <c r="P41" s="2136"/>
    </row>
    <row r="42" spans="1:16" ht="3.75" customHeight="1"/>
    <row r="44" spans="1:16">
      <c r="A44" s="317"/>
    </row>
    <row r="51" spans="12:13">
      <c r="L51" s="191"/>
      <c r="M51" s="191"/>
    </row>
    <row r="52" spans="12:13">
      <c r="L52" s="191"/>
      <c r="M52" s="191"/>
    </row>
    <row r="53" spans="12:13">
      <c r="L53" s="191"/>
      <c r="M53" s="191"/>
    </row>
    <row r="54" spans="12:13">
      <c r="L54" s="191"/>
      <c r="M54" s="191"/>
    </row>
    <row r="55" spans="12:13" ht="12.75" customHeight="1">
      <c r="L55" s="192"/>
      <c r="M55" s="192"/>
    </row>
  </sheetData>
  <mergeCells count="5">
    <mergeCell ref="A3:P5"/>
    <mergeCell ref="A36:F41"/>
    <mergeCell ref="H36:P41"/>
    <mergeCell ref="C7:E7"/>
    <mergeCell ref="M7:O7"/>
  </mergeCells>
  <phoneticPr fontId="8" type="noConversion"/>
  <printOptions horizontalCentered="1" verticalCentered="1"/>
  <pageMargins left="0.27559055118110237" right="0.19685039370078741" top="0.19685039370078741" bottom="0.39370078740157483" header="0" footer="0.19685039370078741"/>
  <pageSetup paperSize="9" scale="89" orientation="landscape" r:id="rId1"/>
  <headerFooter alignWithMargins="0">
    <oddFooter>&amp;CPage &amp;P</oddFooter>
  </headerFooter>
  <ignoredErrors>
    <ignoredError sqref="E13 O24 E24 O13"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R61"/>
  <sheetViews>
    <sheetView showGridLines="0" topLeftCell="A28" zoomScaleNormal="100" workbookViewId="0">
      <selection activeCell="A24" sqref="A24:R24"/>
    </sheetView>
  </sheetViews>
  <sheetFormatPr defaultRowHeight="13.2"/>
  <cols>
    <col min="1" max="1" width="22.109375" customWidth="1"/>
    <col min="2" max="2" width="9.6640625" customWidth="1"/>
    <col min="3" max="6" width="10" customWidth="1"/>
    <col min="7" max="7" width="0.6640625" customWidth="1"/>
    <col min="8" max="8" width="9.6640625" customWidth="1"/>
    <col min="9" max="10" width="10" customWidth="1"/>
    <col min="11" max="11" width="0.6640625" customWidth="1"/>
    <col min="12" max="12" width="9.33203125" customWidth="1"/>
    <col min="13" max="18" width="10" customWidth="1"/>
  </cols>
  <sheetData>
    <row r="1" spans="1:18" ht="21.6" thickBot="1">
      <c r="A1" s="195" t="str">
        <f>'Summary Page'!A1</f>
        <v xml:space="preserve">Finance Report Month 2 2016/17 </v>
      </c>
      <c r="B1" s="252"/>
      <c r="C1" s="252"/>
      <c r="D1" s="252"/>
      <c r="E1" s="252"/>
      <c r="F1" s="252"/>
      <c r="G1" s="253"/>
      <c r="H1" s="786" t="s">
        <v>556</v>
      </c>
      <c r="I1" s="252"/>
      <c r="J1" s="252"/>
      <c r="K1" s="252"/>
      <c r="L1" s="252"/>
      <c r="M1" s="252"/>
      <c r="N1" s="252"/>
      <c r="O1" s="252"/>
      <c r="P1" s="252"/>
      <c r="Q1" s="252"/>
      <c r="R1" s="254"/>
    </row>
    <row r="2" spans="1:18" ht="3.75" customHeight="1"/>
    <row r="3" spans="1:18" ht="12.75" customHeight="1">
      <c r="A3" s="2129" t="s">
        <v>1361</v>
      </c>
      <c r="B3" s="2130"/>
      <c r="C3" s="2130"/>
      <c r="D3" s="2130"/>
      <c r="E3" s="2130"/>
      <c r="F3" s="2130"/>
      <c r="G3" s="2130"/>
      <c r="H3" s="2130"/>
      <c r="I3" s="2130"/>
      <c r="J3" s="2130"/>
      <c r="K3" s="2130"/>
      <c r="L3" s="2130"/>
      <c r="M3" s="2130"/>
      <c r="N3" s="2130"/>
      <c r="O3" s="2130"/>
      <c r="P3" s="2130"/>
      <c r="Q3" s="2130"/>
      <c r="R3" s="2131"/>
    </row>
    <row r="4" spans="1:18">
      <c r="A4" s="2095"/>
      <c r="B4" s="2096"/>
      <c r="C4" s="2096"/>
      <c r="D4" s="2096"/>
      <c r="E4" s="2096"/>
      <c r="F4" s="2096"/>
      <c r="G4" s="2096"/>
      <c r="H4" s="2096"/>
      <c r="I4" s="2096"/>
      <c r="J4" s="2096"/>
      <c r="K4" s="2096"/>
      <c r="L4" s="2096"/>
      <c r="M4" s="2096"/>
      <c r="N4" s="2096"/>
      <c r="O4" s="2096"/>
      <c r="P4" s="2096"/>
      <c r="Q4" s="2096"/>
      <c r="R4" s="2097"/>
    </row>
    <row r="5" spans="1:18">
      <c r="A5" s="2098"/>
      <c r="B5" s="2099"/>
      <c r="C5" s="2099"/>
      <c r="D5" s="2099"/>
      <c r="E5" s="2099"/>
      <c r="F5" s="2099"/>
      <c r="G5" s="2099"/>
      <c r="H5" s="2099"/>
      <c r="I5" s="2099"/>
      <c r="J5" s="2099"/>
      <c r="K5" s="2099"/>
      <c r="L5" s="2099"/>
      <c r="M5" s="2099"/>
      <c r="N5" s="2099"/>
      <c r="O5" s="2099"/>
      <c r="P5" s="2099"/>
      <c r="Q5" s="2099"/>
      <c r="R5" s="2100"/>
    </row>
    <row r="6" spans="1:18" ht="3.75" customHeight="1"/>
    <row r="7" spans="1:18" ht="3.75" customHeight="1"/>
    <row r="8" spans="1:18" ht="26.4">
      <c r="A8" s="331" t="s">
        <v>691</v>
      </c>
      <c r="B8" s="265" t="s">
        <v>655</v>
      </c>
      <c r="C8" s="265" t="s">
        <v>656</v>
      </c>
      <c r="D8" s="265" t="s">
        <v>672</v>
      </c>
      <c r="E8" s="265" t="s">
        <v>673</v>
      </c>
      <c r="F8" s="265" t="s">
        <v>827</v>
      </c>
      <c r="G8" s="266"/>
      <c r="H8" s="265" t="s">
        <v>674</v>
      </c>
      <c r="I8" s="265" t="s">
        <v>675</v>
      </c>
      <c r="J8" s="267" t="s">
        <v>654</v>
      </c>
      <c r="K8" s="190"/>
      <c r="L8" s="277" t="s">
        <v>733</v>
      </c>
      <c r="M8" s="40"/>
      <c r="N8" s="40"/>
      <c r="O8" s="40"/>
      <c r="P8" s="265" t="s">
        <v>674</v>
      </c>
      <c r="Q8" s="265" t="s">
        <v>675</v>
      </c>
      <c r="R8" s="267"/>
    </row>
    <row r="9" spans="1:18" ht="26.4">
      <c r="A9" s="268" t="s">
        <v>554</v>
      </c>
      <c r="B9" s="190" t="s">
        <v>676</v>
      </c>
      <c r="C9" s="190" t="s">
        <v>677</v>
      </c>
      <c r="D9" s="190" t="s">
        <v>678</v>
      </c>
      <c r="E9" s="190" t="s">
        <v>679</v>
      </c>
      <c r="F9" s="190"/>
      <c r="G9" s="190"/>
      <c r="H9" s="190" t="s">
        <v>680</v>
      </c>
      <c r="I9" s="190" t="s">
        <v>680</v>
      </c>
      <c r="J9" s="70"/>
      <c r="K9" s="190"/>
      <c r="L9" s="37" t="s">
        <v>688</v>
      </c>
      <c r="M9" s="30"/>
      <c r="N9" s="30"/>
      <c r="O9" s="30"/>
      <c r="P9" s="73"/>
      <c r="Q9" s="190" t="s">
        <v>948</v>
      </c>
      <c r="R9" s="70"/>
    </row>
    <row r="10" spans="1:18">
      <c r="A10" s="268"/>
      <c r="B10" s="190" t="s">
        <v>948</v>
      </c>
      <c r="C10" s="190" t="s">
        <v>948</v>
      </c>
      <c r="D10" s="190" t="s">
        <v>948</v>
      </c>
      <c r="E10" s="190" t="s">
        <v>948</v>
      </c>
      <c r="F10" s="190"/>
      <c r="G10" s="190"/>
      <c r="H10" s="190" t="s">
        <v>948</v>
      </c>
      <c r="I10" s="190" t="s">
        <v>948</v>
      </c>
      <c r="J10" s="70"/>
      <c r="K10" s="190"/>
      <c r="L10" s="37" t="s">
        <v>737</v>
      </c>
      <c r="M10" s="30"/>
      <c r="N10" s="30"/>
      <c r="O10" s="30"/>
      <c r="P10" s="73">
        <v>3978</v>
      </c>
      <c r="Q10" s="73">
        <v>3978</v>
      </c>
      <c r="R10" s="79"/>
    </row>
    <row r="11" spans="1:18">
      <c r="A11" s="268" t="s">
        <v>386</v>
      </c>
      <c r="B11" s="191">
        <f>+'Balance Sheet Data'!D38</f>
        <v>895</v>
      </c>
      <c r="C11" s="191">
        <f>+'Balance Sheet Data'!E38</f>
        <v>332</v>
      </c>
      <c r="D11" s="191">
        <f>+'Balance Sheet Data'!F38</f>
        <v>2147</v>
      </c>
      <c r="E11" s="191">
        <f>+'Balance Sheet Data'!G38</f>
        <v>566</v>
      </c>
      <c r="F11" s="191">
        <f t="shared" ref="F11:F16" si="0">SUM(B11:E11)</f>
        <v>3940</v>
      </c>
      <c r="G11" s="191"/>
      <c r="H11" s="191">
        <f t="shared" ref="H11:H16" si="1">SUM(C11:E11)</f>
        <v>3045</v>
      </c>
      <c r="I11" s="191">
        <f>+'Balance Sheet Data'!J38</f>
        <v>3179</v>
      </c>
      <c r="J11" s="274">
        <v>1</v>
      </c>
      <c r="K11" s="191"/>
      <c r="L11" s="37" t="s">
        <v>387</v>
      </c>
      <c r="M11" s="30"/>
      <c r="N11" s="30"/>
      <c r="O11" s="30"/>
      <c r="P11" s="73">
        <v>25665</v>
      </c>
      <c r="Q11" s="73">
        <v>24671</v>
      </c>
      <c r="R11" s="79"/>
    </row>
    <row r="12" spans="1:18">
      <c r="A12" s="268" t="s">
        <v>681</v>
      </c>
      <c r="B12" s="191">
        <f>+'Balance Sheet Data'!D39</f>
        <v>396</v>
      </c>
      <c r="C12" s="191">
        <f>+'Balance Sheet Data'!E39</f>
        <v>317</v>
      </c>
      <c r="D12" s="191">
        <f>+'Balance Sheet Data'!F39</f>
        <v>958</v>
      </c>
      <c r="E12" s="191">
        <f>+'Balance Sheet Data'!G39</f>
        <v>1783</v>
      </c>
      <c r="F12" s="191">
        <f t="shared" si="0"/>
        <v>3454</v>
      </c>
      <c r="G12" s="191"/>
      <c r="H12" s="191">
        <f t="shared" si="1"/>
        <v>3058</v>
      </c>
      <c r="I12" s="191">
        <f>+'Balance Sheet Data'!J39</f>
        <v>3585</v>
      </c>
      <c r="J12" s="274">
        <v>2</v>
      </c>
      <c r="K12" s="191"/>
      <c r="L12" s="37" t="s">
        <v>738</v>
      </c>
      <c r="M12" s="30"/>
      <c r="N12" s="30"/>
      <c r="O12" s="30"/>
      <c r="P12" s="73">
        <v>2040</v>
      </c>
      <c r="Q12" s="73">
        <v>2019</v>
      </c>
      <c r="R12" s="79"/>
    </row>
    <row r="13" spans="1:18">
      <c r="A13" s="268" t="s">
        <v>682</v>
      </c>
      <c r="B13" s="191">
        <f>+'Balance Sheet Data'!D40</f>
        <v>754</v>
      </c>
      <c r="C13" s="191">
        <f>+'Balance Sheet Data'!E40</f>
        <v>82</v>
      </c>
      <c r="D13" s="191">
        <f>+'Balance Sheet Data'!F40</f>
        <v>541</v>
      </c>
      <c r="E13" s="191">
        <f>+'Balance Sheet Data'!G40</f>
        <v>650</v>
      </c>
      <c r="F13" s="191">
        <f t="shared" si="0"/>
        <v>2027</v>
      </c>
      <c r="G13" s="191"/>
      <c r="H13" s="191">
        <f t="shared" si="1"/>
        <v>1273</v>
      </c>
      <c r="I13" s="191">
        <f>+'Balance Sheet Data'!J40</f>
        <v>1710</v>
      </c>
      <c r="J13" s="274">
        <v>3</v>
      </c>
      <c r="K13" s="191"/>
      <c r="L13" s="37" t="s">
        <v>739</v>
      </c>
      <c r="M13" s="30"/>
      <c r="N13" s="30"/>
      <c r="O13" s="30"/>
      <c r="P13" s="281">
        <f>36294-31683</f>
        <v>4611</v>
      </c>
      <c r="Q13" s="281">
        <f>36948-30668</f>
        <v>6280</v>
      </c>
      <c r="R13" s="79"/>
    </row>
    <row r="14" spans="1:18">
      <c r="A14" s="268" t="s">
        <v>683</v>
      </c>
      <c r="B14" s="191">
        <f>+'Balance Sheet Data'!D41</f>
        <v>1350</v>
      </c>
      <c r="C14" s="191">
        <f>+'Balance Sheet Data'!E41</f>
        <v>238</v>
      </c>
      <c r="D14" s="191">
        <f>+'Balance Sheet Data'!F41</f>
        <v>250</v>
      </c>
      <c r="E14" s="191">
        <f>+'Balance Sheet Data'!G41</f>
        <v>2163</v>
      </c>
      <c r="F14" s="191">
        <f t="shared" si="0"/>
        <v>4001</v>
      </c>
      <c r="G14" s="191"/>
      <c r="H14" s="191">
        <f t="shared" si="1"/>
        <v>2651</v>
      </c>
      <c r="I14" s="191">
        <f>+'Balance Sheet Data'!J41</f>
        <v>2468</v>
      </c>
      <c r="J14" s="274">
        <v>4</v>
      </c>
      <c r="K14" s="191"/>
      <c r="L14" s="78" t="s">
        <v>740</v>
      </c>
      <c r="M14" s="30"/>
      <c r="N14" s="30"/>
      <c r="O14" s="30"/>
      <c r="P14" s="74">
        <f>SUM(P9:P13)</f>
        <v>36294</v>
      </c>
      <c r="Q14" s="74">
        <f>SUM(Q9:Q13)</f>
        <v>36948</v>
      </c>
      <c r="R14" s="79"/>
    </row>
    <row r="15" spans="1:18">
      <c r="A15" s="268" t="s">
        <v>684</v>
      </c>
      <c r="B15" s="191">
        <f>+'Balance Sheet Data'!D42</f>
        <v>447</v>
      </c>
      <c r="C15" s="191">
        <f>+'Balance Sheet Data'!E42</f>
        <v>276</v>
      </c>
      <c r="D15" s="191">
        <f>+'Balance Sheet Data'!F42</f>
        <v>24</v>
      </c>
      <c r="E15" s="191">
        <f>+'Balance Sheet Data'!G42</f>
        <v>864</v>
      </c>
      <c r="F15" s="191">
        <f t="shared" si="0"/>
        <v>1611</v>
      </c>
      <c r="G15" s="191"/>
      <c r="H15" s="191">
        <f t="shared" si="1"/>
        <v>1164</v>
      </c>
      <c r="I15" s="191">
        <f>+'Balance Sheet Data'!J42</f>
        <v>1158</v>
      </c>
      <c r="J15" s="274">
        <v>5</v>
      </c>
      <c r="K15" s="191"/>
      <c r="L15" s="78"/>
      <c r="M15" s="30"/>
      <c r="N15" s="30"/>
      <c r="O15" s="30"/>
      <c r="P15" s="74"/>
      <c r="Q15" s="74"/>
      <c r="R15" s="79"/>
    </row>
    <row r="16" spans="1:18">
      <c r="A16" s="268" t="s">
        <v>685</v>
      </c>
      <c r="B16" s="191">
        <f>+'Balance Sheet Data'!D43</f>
        <v>8</v>
      </c>
      <c r="C16" s="191">
        <f>+'Balance Sheet Data'!E43</f>
        <v>68</v>
      </c>
      <c r="D16" s="191">
        <f>+'Balance Sheet Data'!F43</f>
        <v>22</v>
      </c>
      <c r="E16" s="191">
        <f>+'Balance Sheet Data'!G43</f>
        <v>256</v>
      </c>
      <c r="F16" s="191">
        <f t="shared" si="0"/>
        <v>354</v>
      </c>
      <c r="G16" s="191"/>
      <c r="H16" s="191">
        <f t="shared" si="1"/>
        <v>346</v>
      </c>
      <c r="I16" s="191">
        <f>+'Balance Sheet Data'!J43</f>
        <v>306</v>
      </c>
      <c r="J16" s="274"/>
      <c r="K16" s="191"/>
      <c r="L16" s="37" t="s">
        <v>689</v>
      </c>
      <c r="M16" s="30"/>
      <c r="N16" s="30"/>
      <c r="O16" s="30"/>
      <c r="P16" s="73"/>
      <c r="Q16" s="73"/>
      <c r="R16" s="79"/>
    </row>
    <row r="17" spans="1:18" ht="13.5" customHeight="1">
      <c r="A17" s="269" t="s">
        <v>686</v>
      </c>
      <c r="B17" s="174">
        <f>SUM(B11:B16)</f>
        <v>3850</v>
      </c>
      <c r="C17" s="174">
        <f>SUM(C11:C16)</f>
        <v>1313</v>
      </c>
      <c r="D17" s="174">
        <f>SUM(D11:D16)</f>
        <v>3942</v>
      </c>
      <c r="E17" s="174">
        <f>SUM(E11:E16)</f>
        <v>6282</v>
      </c>
      <c r="F17" s="174">
        <f>SUM(F11:F16)</f>
        <v>15387</v>
      </c>
      <c r="G17" s="191"/>
      <c r="H17" s="191">
        <f>SUM(H11:H16)</f>
        <v>11537</v>
      </c>
      <c r="I17" s="191">
        <f>SUM(I11:I16)</f>
        <v>12406</v>
      </c>
      <c r="J17" s="274"/>
      <c r="K17" s="191"/>
      <c r="L17" s="234" t="s">
        <v>734</v>
      </c>
      <c r="M17" s="30"/>
      <c r="N17" s="30"/>
      <c r="O17" s="30"/>
      <c r="P17" s="73">
        <f>6709-653</f>
        <v>6056</v>
      </c>
      <c r="Q17" s="73">
        <f>5865-326</f>
        <v>5539</v>
      </c>
      <c r="R17" s="79"/>
    </row>
    <row r="18" spans="1:18">
      <c r="A18" s="270" t="s">
        <v>687</v>
      </c>
      <c r="B18" s="191"/>
      <c r="C18" s="191"/>
      <c r="D18" s="191"/>
      <c r="E18" s="334"/>
      <c r="F18" s="191">
        <f>+'Balance Sheet Data'!H45</f>
        <v>-7983</v>
      </c>
      <c r="G18" s="191"/>
      <c r="H18" s="191"/>
      <c r="I18" s="191"/>
      <c r="J18" s="275"/>
      <c r="K18" s="191"/>
      <c r="L18" s="234" t="s">
        <v>735</v>
      </c>
      <c r="M18" s="30"/>
      <c r="N18" s="30"/>
      <c r="O18" s="30"/>
      <c r="P18" s="73">
        <v>653</v>
      </c>
      <c r="Q18" s="73">
        <v>326</v>
      </c>
      <c r="R18" s="79"/>
    </row>
    <row r="19" spans="1:18">
      <c r="A19" s="271" t="s">
        <v>688</v>
      </c>
      <c r="B19" s="191"/>
      <c r="C19" s="191"/>
      <c r="D19" s="191"/>
      <c r="E19" s="191"/>
      <c r="F19" s="191">
        <f>+'Balance Sheet Data'!H46</f>
        <v>36294</v>
      </c>
      <c r="G19" s="191"/>
      <c r="H19" s="191"/>
      <c r="I19" s="191"/>
      <c r="J19" s="275">
        <v>6</v>
      </c>
      <c r="K19" s="191"/>
      <c r="L19" s="37" t="s">
        <v>739</v>
      </c>
      <c r="M19" s="30"/>
      <c r="N19" s="30"/>
      <c r="O19" s="30"/>
      <c r="P19" s="281">
        <v>0</v>
      </c>
      <c r="Q19" s="281">
        <v>0</v>
      </c>
      <c r="R19" s="79"/>
    </row>
    <row r="20" spans="1:18">
      <c r="A20" s="271" t="s">
        <v>689</v>
      </c>
      <c r="B20" s="191"/>
      <c r="C20" s="191"/>
      <c r="D20" s="191"/>
      <c r="E20" s="191"/>
      <c r="F20" s="191">
        <f>+'Balance Sheet Data'!H47</f>
        <v>6709</v>
      </c>
      <c r="G20" s="191"/>
      <c r="H20" s="191"/>
      <c r="I20" s="191"/>
      <c r="J20" s="275"/>
      <c r="K20" s="191"/>
      <c r="L20" s="78" t="s">
        <v>736</v>
      </c>
      <c r="M20" s="30"/>
      <c r="N20" s="30"/>
      <c r="O20" s="30"/>
      <c r="P20" s="74">
        <f>SUM(P15:P19)</f>
        <v>6709</v>
      </c>
      <c r="Q20" s="74">
        <f>SUM(Q15:Q19)</f>
        <v>5865</v>
      </c>
      <c r="R20" s="70"/>
    </row>
    <row r="21" spans="1:18">
      <c r="A21" s="271" t="s">
        <v>683</v>
      </c>
      <c r="B21" s="191"/>
      <c r="C21" s="191"/>
      <c r="D21" s="191"/>
      <c r="E21" s="191"/>
      <c r="F21" s="191">
        <f>+'Balance Sheet Data'!H48</f>
        <v>1207</v>
      </c>
      <c r="G21" s="191"/>
      <c r="H21" s="191"/>
      <c r="I21" s="191"/>
      <c r="J21" s="275"/>
      <c r="K21" s="191"/>
      <c r="L21" s="78"/>
      <c r="M21" s="30"/>
      <c r="N21" s="30"/>
      <c r="O21" s="30"/>
      <c r="P21" s="74"/>
      <c r="Q21" s="74"/>
      <c r="R21" s="70"/>
    </row>
    <row r="22" spans="1:18" ht="14.25" customHeight="1">
      <c r="A22" s="332" t="s">
        <v>690</v>
      </c>
      <c r="B22" s="272"/>
      <c r="C22" s="272"/>
      <c r="D22" s="272"/>
      <c r="E22" s="272"/>
      <c r="F22" s="273">
        <f>SUM(F17:F21)</f>
        <v>51614</v>
      </c>
      <c r="G22" s="272"/>
      <c r="H22" s="272"/>
      <c r="I22" s="272"/>
      <c r="J22" s="276"/>
      <c r="K22" s="192"/>
      <c r="L22" s="38"/>
      <c r="M22" s="41"/>
      <c r="N22" s="41"/>
      <c r="O22" s="41"/>
      <c r="P22" s="41"/>
      <c r="Q22" s="41"/>
      <c r="R22" s="60"/>
    </row>
    <row r="23" spans="1:18" ht="3.75" customHeight="1"/>
    <row r="24" spans="1:18" ht="27" customHeight="1">
      <c r="A24" s="2311" t="s">
        <v>1403</v>
      </c>
      <c r="B24" s="2312"/>
      <c r="C24" s="2312"/>
      <c r="D24" s="2312"/>
      <c r="E24" s="2312"/>
      <c r="F24" s="2312"/>
      <c r="G24" s="2312"/>
      <c r="H24" s="2312"/>
      <c r="I24" s="2312"/>
      <c r="J24" s="2312"/>
      <c r="K24" s="2312"/>
      <c r="L24" s="2312"/>
      <c r="M24" s="2312"/>
      <c r="N24" s="2312"/>
      <c r="O24" s="2312"/>
      <c r="P24" s="2312"/>
      <c r="Q24" s="2312"/>
      <c r="R24" s="2313"/>
    </row>
    <row r="25" spans="1:18" ht="26.25" customHeight="1">
      <c r="A25" s="2317" t="s">
        <v>1362</v>
      </c>
      <c r="B25" s="2318"/>
      <c r="C25" s="2318"/>
      <c r="D25" s="2318"/>
      <c r="E25" s="2318"/>
      <c r="F25" s="2318"/>
      <c r="G25" s="2318"/>
      <c r="H25" s="2318"/>
      <c r="I25" s="2318"/>
      <c r="J25" s="2318"/>
      <c r="K25" s="2318"/>
      <c r="L25" s="2318"/>
      <c r="M25" s="2318"/>
      <c r="N25" s="2318"/>
      <c r="O25" s="2318"/>
      <c r="P25" s="2318"/>
      <c r="Q25" s="2318"/>
      <c r="R25" s="2319"/>
    </row>
    <row r="26" spans="1:18" ht="85.5" customHeight="1">
      <c r="A26" s="2314" t="s">
        <v>1386</v>
      </c>
      <c r="B26" s="2315"/>
      <c r="C26" s="2315"/>
      <c r="D26" s="2315"/>
      <c r="E26" s="2315"/>
      <c r="F26" s="2315"/>
      <c r="G26" s="2315"/>
      <c r="H26" s="2315"/>
      <c r="I26" s="2315"/>
      <c r="J26" s="2315"/>
      <c r="K26" s="2315"/>
      <c r="L26" s="2315"/>
      <c r="M26" s="2315"/>
      <c r="N26" s="2315"/>
      <c r="O26" s="2315"/>
      <c r="P26" s="2315"/>
      <c r="Q26" s="2315"/>
      <c r="R26" s="2316"/>
    </row>
    <row r="27" spans="1:18" ht="3.75" customHeight="1"/>
    <row r="38" spans="1:1">
      <c r="A38" s="241"/>
    </row>
    <row r="44" spans="1:1">
      <c r="A44" s="317"/>
    </row>
    <row r="57" spans="12:15">
      <c r="L57" s="191"/>
      <c r="M57" s="191"/>
      <c r="N57" s="191"/>
      <c r="O57" s="191"/>
    </row>
    <row r="58" spans="12:15">
      <c r="L58" s="191"/>
      <c r="M58" s="191"/>
      <c r="N58" s="191"/>
      <c r="O58" s="191"/>
    </row>
    <row r="59" spans="12:15">
      <c r="L59" s="191"/>
      <c r="M59" s="191"/>
      <c r="N59" s="191"/>
      <c r="O59" s="191"/>
    </row>
    <row r="60" spans="12:15">
      <c r="L60" s="191"/>
      <c r="M60" s="191"/>
      <c r="N60" s="191"/>
      <c r="O60" s="191"/>
    </row>
    <row r="61" spans="12:15" ht="12.75" customHeight="1">
      <c r="L61" s="192"/>
      <c r="M61" s="192"/>
      <c r="N61" s="192"/>
      <c r="O61" s="192"/>
    </row>
  </sheetData>
  <mergeCells count="4">
    <mergeCell ref="A3:R5"/>
    <mergeCell ref="A24:R24"/>
    <mergeCell ref="A26:R26"/>
    <mergeCell ref="A25:R25"/>
  </mergeCells>
  <phoneticPr fontId="8" type="noConversion"/>
  <printOptions horizontalCentered="1" verticalCentered="1"/>
  <pageMargins left="0.31496062992125984" right="0.19685039370078741" top="0.19685039370078741" bottom="0.39370078740157483" header="0" footer="0.19685039370078741"/>
  <pageSetup paperSize="9" scale="79" orientation="landscape" r:id="rId1"/>
  <headerFooter alignWithMargins="0">
    <oddFooter>&amp;CPage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X74"/>
  <sheetViews>
    <sheetView showGridLines="0" topLeftCell="A108" zoomScale="80" zoomScaleNormal="80" workbookViewId="0">
      <selection activeCell="S26" sqref="S26"/>
    </sheetView>
  </sheetViews>
  <sheetFormatPr defaultRowHeight="13.2" outlineLevelRow="1"/>
  <cols>
    <col min="1" max="1" width="40.44140625" customWidth="1"/>
    <col min="3" max="3" width="15.44140625" customWidth="1"/>
    <col min="4" max="4" width="17.33203125" customWidth="1"/>
    <col min="5" max="5" width="17.44140625" customWidth="1"/>
    <col min="6" max="6" width="5.6640625" customWidth="1"/>
    <col min="7" max="7" width="1.88671875" customWidth="1"/>
    <col min="8" max="8" width="3.6640625" customWidth="1"/>
    <col min="9" max="9" width="0.6640625" customWidth="1"/>
    <col min="10" max="10" width="43.44140625" customWidth="1"/>
    <col min="11" max="11" width="10.88671875" customWidth="1"/>
    <col min="12" max="12" width="14.109375" customWidth="1"/>
    <col min="13" max="13" width="12.33203125" customWidth="1"/>
    <col min="14" max="14" width="14" customWidth="1"/>
    <col min="15" max="15" width="5.44140625" customWidth="1"/>
    <col min="16" max="16" width="6.109375" customWidth="1"/>
    <col min="17" max="17" width="10.6640625" customWidth="1"/>
    <col min="20" max="20" width="9.6640625" customWidth="1"/>
    <col min="23" max="23" width="10.6640625" customWidth="1"/>
    <col min="24" max="24" width="11.109375" bestFit="1" customWidth="1"/>
  </cols>
  <sheetData>
    <row r="1" spans="1:17" ht="21.6" thickBot="1">
      <c r="A1" s="1850" t="str">
        <f>'Summary Page'!A1</f>
        <v xml:space="preserve">Finance Report Month 2 2016/17 </v>
      </c>
      <c r="B1" s="1851"/>
      <c r="C1" s="1851"/>
      <c r="D1" s="1851"/>
      <c r="E1" s="1851"/>
      <c r="F1" s="1851"/>
      <c r="G1" s="1851"/>
      <c r="H1" s="1852"/>
      <c r="I1" s="1852" t="s">
        <v>925</v>
      </c>
      <c r="J1" s="1851"/>
      <c r="K1" s="1851"/>
      <c r="L1" s="1851"/>
      <c r="M1" s="1851"/>
      <c r="N1" s="1851"/>
      <c r="O1" s="1851"/>
      <c r="P1" s="1853" t="s">
        <v>31</v>
      </c>
      <c r="Q1" s="30"/>
    </row>
    <row r="2" spans="1:17" ht="7.5" customHeight="1">
      <c r="D2" s="41"/>
      <c r="E2" s="41"/>
      <c r="F2" s="41"/>
      <c r="I2" s="41"/>
      <c r="K2" s="41"/>
      <c r="L2" s="41"/>
    </row>
    <row r="3" spans="1:17" ht="12.75" customHeight="1">
      <c r="A3" s="2129" t="s">
        <v>1306</v>
      </c>
      <c r="B3" s="2143"/>
      <c r="C3" s="2143"/>
      <c r="D3" s="2143"/>
      <c r="E3" s="2143"/>
      <c r="F3" s="2143"/>
      <c r="G3" s="2143"/>
      <c r="H3" s="2143"/>
      <c r="I3" s="2143"/>
      <c r="J3" s="2143"/>
      <c r="K3" s="2143"/>
      <c r="L3" s="2143"/>
      <c r="M3" s="2143"/>
      <c r="N3" s="2143"/>
      <c r="O3" s="2143"/>
      <c r="P3" s="2144"/>
    </row>
    <row r="4" spans="1:17">
      <c r="A4" s="2145"/>
      <c r="B4" s="2146"/>
      <c r="C4" s="2146"/>
      <c r="D4" s="2146"/>
      <c r="E4" s="2146"/>
      <c r="F4" s="2146"/>
      <c r="G4" s="2146"/>
      <c r="H4" s="2146"/>
      <c r="I4" s="2146"/>
      <c r="J4" s="2146"/>
      <c r="K4" s="2146"/>
      <c r="L4" s="2146"/>
      <c r="M4" s="2146"/>
      <c r="N4" s="2146"/>
      <c r="O4" s="2146"/>
      <c r="P4" s="2147"/>
    </row>
    <row r="5" spans="1:17" ht="12" customHeight="1"/>
    <row r="6" spans="1:17">
      <c r="A6" s="69"/>
      <c r="B6" s="67"/>
      <c r="C6" s="40"/>
      <c r="D6" s="67"/>
      <c r="E6" s="54"/>
      <c r="F6" s="54"/>
      <c r="G6" s="54"/>
      <c r="H6" s="59"/>
      <c r="J6" s="69" t="s">
        <v>1302</v>
      </c>
      <c r="K6" s="67"/>
      <c r="L6" s="40"/>
      <c r="M6" s="67"/>
      <c r="N6" s="54"/>
      <c r="O6" s="54"/>
      <c r="P6" s="59"/>
    </row>
    <row r="7" spans="1:17">
      <c r="A7" s="55"/>
      <c r="B7" s="30"/>
      <c r="C7" s="1750" t="s">
        <v>721</v>
      </c>
      <c r="D7" s="1818" t="s">
        <v>722</v>
      </c>
      <c r="E7" s="1818" t="s">
        <v>723</v>
      </c>
      <c r="F7" s="1818"/>
      <c r="G7" s="30"/>
      <c r="H7" s="70"/>
      <c r="J7" s="55"/>
      <c r="K7" s="30"/>
      <c r="L7" s="1819" t="s">
        <v>721</v>
      </c>
      <c r="M7" s="1938" t="s">
        <v>722</v>
      </c>
      <c r="N7" s="1818" t="s">
        <v>723</v>
      </c>
      <c r="O7" s="77"/>
      <c r="P7" s="70"/>
    </row>
    <row r="8" spans="1:17">
      <c r="A8" s="55"/>
      <c r="B8" s="30"/>
      <c r="C8" s="56" t="s">
        <v>948</v>
      </c>
      <c r="D8" s="1818" t="s">
        <v>948</v>
      </c>
      <c r="E8" s="1818" t="s">
        <v>948</v>
      </c>
      <c r="G8" s="30"/>
      <c r="H8" s="70"/>
      <c r="J8" s="55"/>
      <c r="K8" s="30"/>
      <c r="L8" s="1818" t="s">
        <v>948</v>
      </c>
      <c r="M8" s="1818" t="s">
        <v>948</v>
      </c>
      <c r="N8" s="1818" t="s">
        <v>948</v>
      </c>
      <c r="O8" s="77"/>
      <c r="P8" s="70"/>
    </row>
    <row r="9" spans="1:17">
      <c r="A9" s="78" t="s">
        <v>33</v>
      </c>
      <c r="B9" s="72"/>
      <c r="C9" s="220">
        <f>+C37</f>
        <v>20978</v>
      </c>
      <c r="D9" s="220">
        <f>+D37</f>
        <v>15710</v>
      </c>
      <c r="E9" s="220">
        <f>+C9-D9</f>
        <v>5268</v>
      </c>
      <c r="F9" s="220"/>
      <c r="G9" s="220"/>
      <c r="H9" s="70"/>
      <c r="J9" s="78" t="s">
        <v>33</v>
      </c>
      <c r="K9" s="72"/>
      <c r="L9" s="220">
        <f>+L37</f>
        <v>75556</v>
      </c>
      <c r="M9" s="220">
        <f>+M37</f>
        <v>76397</v>
      </c>
      <c r="N9" s="220">
        <f>+L9-M9</f>
        <v>-841</v>
      </c>
      <c r="O9" s="223"/>
      <c r="P9" s="70"/>
    </row>
    <row r="10" spans="1:17">
      <c r="A10" s="78" t="s">
        <v>34</v>
      </c>
      <c r="B10" s="72"/>
      <c r="C10" s="220">
        <f>+C51</f>
        <v>3138</v>
      </c>
      <c r="D10" s="220">
        <f>+D51</f>
        <v>1893</v>
      </c>
      <c r="E10" s="220">
        <f>+C10-D10</f>
        <v>1245</v>
      </c>
      <c r="F10" s="220"/>
      <c r="G10" s="220"/>
      <c r="H10" s="70"/>
      <c r="J10" s="78" t="s">
        <v>34</v>
      </c>
      <c r="K10" s="72"/>
      <c r="L10" s="220">
        <f>+L51</f>
        <v>19897</v>
      </c>
      <c r="M10" s="220">
        <f>+M51</f>
        <v>20572</v>
      </c>
      <c r="N10" s="220">
        <f>+L10-M10</f>
        <v>-675</v>
      </c>
      <c r="O10" s="223"/>
      <c r="P10" s="70"/>
    </row>
    <row r="11" spans="1:17" ht="12" customHeight="1">
      <c r="A11" s="142" t="s">
        <v>827</v>
      </c>
      <c r="B11" s="221"/>
      <c r="C11" s="217">
        <f>SUM(C9:C10)</f>
        <v>24116</v>
      </c>
      <c r="D11" s="217">
        <f>SUM(D9:D10)</f>
        <v>17603</v>
      </c>
      <c r="E11" s="222">
        <f>+C11-D11</f>
        <v>6513</v>
      </c>
      <c r="F11" s="217"/>
      <c r="G11" s="222"/>
      <c r="H11" s="60"/>
      <c r="J11" s="142" t="s">
        <v>827</v>
      </c>
      <c r="K11" s="221"/>
      <c r="L11" s="217">
        <f>SUM(L9:L10)</f>
        <v>95453</v>
      </c>
      <c r="M11" s="217">
        <f>SUM(M9:M10)</f>
        <v>96969</v>
      </c>
      <c r="N11" s="222">
        <f>+L11-M11</f>
        <v>-1516</v>
      </c>
      <c r="O11" s="224"/>
      <c r="P11" s="60"/>
    </row>
    <row r="12" spans="1:17" ht="9.75" customHeight="1">
      <c r="A12" s="53"/>
      <c r="C12" s="57"/>
      <c r="D12" s="29"/>
      <c r="E12" s="57"/>
      <c r="F12" s="29"/>
      <c r="G12" s="42"/>
      <c r="J12" s="53"/>
      <c r="L12" s="57"/>
      <c r="M12" s="29"/>
      <c r="N12" s="57"/>
      <c r="O12" s="29"/>
    </row>
    <row r="13" spans="1:17" ht="12.75" customHeight="1">
      <c r="A13" s="2320" t="s">
        <v>1365</v>
      </c>
      <c r="B13" s="2196"/>
      <c r="C13" s="2196"/>
      <c r="D13" s="2196"/>
      <c r="E13" s="2196"/>
      <c r="F13" s="2196"/>
      <c r="G13" s="2196"/>
      <c r="H13" s="2197"/>
      <c r="J13" s="2129" t="s">
        <v>1405</v>
      </c>
      <c r="K13" s="2322"/>
      <c r="L13" s="2322"/>
      <c r="M13" s="2322"/>
      <c r="N13" s="2322"/>
      <c r="O13" s="2322"/>
      <c r="P13" s="2323"/>
    </row>
    <row r="14" spans="1:17">
      <c r="A14" s="2236"/>
      <c r="B14" s="2321"/>
      <c r="C14" s="2321"/>
      <c r="D14" s="2321"/>
      <c r="E14" s="2321"/>
      <c r="F14" s="2321"/>
      <c r="G14" s="2321"/>
      <c r="H14" s="2238"/>
      <c r="J14" s="2324"/>
      <c r="K14" s="2325"/>
      <c r="L14" s="2325"/>
      <c r="M14" s="2325"/>
      <c r="N14" s="2325"/>
      <c r="O14" s="2325"/>
      <c r="P14" s="2326"/>
    </row>
    <row r="15" spans="1:17">
      <c r="A15" s="2236"/>
      <c r="B15" s="2321"/>
      <c r="C15" s="2321"/>
      <c r="D15" s="2321"/>
      <c r="E15" s="2321"/>
      <c r="F15" s="2321"/>
      <c r="G15" s="2321"/>
      <c r="H15" s="2238"/>
      <c r="J15" s="2324"/>
      <c r="K15" s="2325"/>
      <c r="L15" s="2325"/>
      <c r="M15" s="2325"/>
      <c r="N15" s="2325"/>
      <c r="O15" s="2325"/>
      <c r="P15" s="2326"/>
    </row>
    <row r="16" spans="1:17">
      <c r="A16" s="2236"/>
      <c r="B16" s="2321"/>
      <c r="C16" s="2321"/>
      <c r="D16" s="2321"/>
      <c r="E16" s="2321"/>
      <c r="F16" s="2321"/>
      <c r="G16" s="2321"/>
      <c r="H16" s="2238"/>
      <c r="J16" s="2324"/>
      <c r="K16" s="2325"/>
      <c r="L16" s="2325"/>
      <c r="M16" s="2325"/>
      <c r="N16" s="2325"/>
      <c r="O16" s="2325"/>
      <c r="P16" s="2326"/>
    </row>
    <row r="17" spans="1:16">
      <c r="A17" s="2236"/>
      <c r="B17" s="2321"/>
      <c r="C17" s="2321"/>
      <c r="D17" s="2321"/>
      <c r="E17" s="2321"/>
      <c r="F17" s="2321"/>
      <c r="G17" s="2321"/>
      <c r="H17" s="2238"/>
      <c r="J17" s="2324"/>
      <c r="K17" s="2325"/>
      <c r="L17" s="2325"/>
      <c r="M17" s="2325"/>
      <c r="N17" s="2325"/>
      <c r="O17" s="2325"/>
      <c r="P17" s="2326"/>
    </row>
    <row r="18" spans="1:16">
      <c r="A18" s="2236"/>
      <c r="B18" s="2321"/>
      <c r="C18" s="2321"/>
      <c r="D18" s="2321"/>
      <c r="E18" s="2321"/>
      <c r="F18" s="2321"/>
      <c r="G18" s="2321"/>
      <c r="H18" s="2238"/>
      <c r="J18" s="2324"/>
      <c r="K18" s="2325"/>
      <c r="L18" s="2325"/>
      <c r="M18" s="2325"/>
      <c r="N18" s="2325"/>
      <c r="O18" s="2325"/>
      <c r="P18" s="2326"/>
    </row>
    <row r="19" spans="1:16">
      <c r="A19" s="2236"/>
      <c r="B19" s="2321"/>
      <c r="C19" s="2321"/>
      <c r="D19" s="2321"/>
      <c r="E19" s="2321"/>
      <c r="F19" s="2321"/>
      <c r="G19" s="2321"/>
      <c r="H19" s="2238"/>
      <c r="J19" s="2324"/>
      <c r="K19" s="2325"/>
      <c r="L19" s="2325"/>
      <c r="M19" s="2325"/>
      <c r="N19" s="2325"/>
      <c r="O19" s="2325"/>
      <c r="P19" s="2326"/>
    </row>
    <row r="20" spans="1:16">
      <c r="A20" s="2236"/>
      <c r="B20" s="2321"/>
      <c r="C20" s="2321"/>
      <c r="D20" s="2321"/>
      <c r="E20" s="2321"/>
      <c r="F20" s="2321"/>
      <c r="G20" s="2321"/>
      <c r="H20" s="2238"/>
      <c r="J20" s="2324"/>
      <c r="K20" s="2325"/>
      <c r="L20" s="2325"/>
      <c r="M20" s="2325"/>
      <c r="N20" s="2325"/>
      <c r="O20" s="2325"/>
      <c r="P20" s="2326"/>
    </row>
    <row r="21" spans="1:16" ht="36" customHeight="1">
      <c r="A21" s="2236"/>
      <c r="B21" s="2321"/>
      <c r="C21" s="2321"/>
      <c r="D21" s="2321"/>
      <c r="E21" s="2321"/>
      <c r="F21" s="2321"/>
      <c r="G21" s="2321"/>
      <c r="H21" s="2238"/>
      <c r="J21" s="2324"/>
      <c r="K21" s="2325"/>
      <c r="L21" s="2325"/>
      <c r="M21" s="2325"/>
      <c r="N21" s="2325"/>
      <c r="O21" s="2325"/>
      <c r="P21" s="2326"/>
    </row>
    <row r="22" spans="1:16" ht="12" hidden="1" customHeight="1">
      <c r="A22" s="2236"/>
      <c r="B22" s="2321"/>
      <c r="C22" s="2321"/>
      <c r="D22" s="2321"/>
      <c r="E22" s="2321"/>
      <c r="F22" s="2321"/>
      <c r="G22" s="2321"/>
      <c r="H22" s="2238"/>
      <c r="J22" s="2324"/>
      <c r="K22" s="2325"/>
      <c r="L22" s="2325"/>
      <c r="M22" s="2325"/>
      <c r="N22" s="2325"/>
      <c r="O22" s="2325"/>
      <c r="P22" s="2326"/>
    </row>
    <row r="23" spans="1:16" ht="12.75" hidden="1" customHeight="1">
      <c r="A23" s="2236"/>
      <c r="B23" s="2321"/>
      <c r="C23" s="2321"/>
      <c r="D23" s="2321"/>
      <c r="E23" s="2321"/>
      <c r="F23" s="2321"/>
      <c r="G23" s="2321"/>
      <c r="H23" s="2238"/>
      <c r="J23" s="2324"/>
      <c r="K23" s="2325"/>
      <c r="L23" s="2325"/>
      <c r="M23" s="2325"/>
      <c r="N23" s="2325"/>
      <c r="O23" s="2325"/>
      <c r="P23" s="2326"/>
    </row>
    <row r="24" spans="1:16" ht="12.75" hidden="1" customHeight="1">
      <c r="A24" s="2285"/>
      <c r="B24" s="2308"/>
      <c r="C24" s="2308"/>
      <c r="D24" s="2308"/>
      <c r="E24" s="2308"/>
      <c r="F24" s="2308"/>
      <c r="G24" s="2308"/>
      <c r="H24" s="2287"/>
      <c r="J24" s="2324"/>
      <c r="K24" s="2325"/>
      <c r="L24" s="2325"/>
      <c r="M24" s="2325"/>
      <c r="N24" s="2325"/>
      <c r="O24" s="2325"/>
      <c r="P24" s="2326"/>
    </row>
    <row r="25" spans="1:16" ht="12.75" hidden="1" customHeight="1">
      <c r="A25" s="1620" t="s">
        <v>1199</v>
      </c>
      <c r="B25" s="1621"/>
      <c r="C25" s="1621"/>
      <c r="D25" s="1621"/>
      <c r="E25" s="1621"/>
      <c r="F25" s="1621"/>
      <c r="G25" s="1621"/>
      <c r="H25" s="1622"/>
      <c r="J25" s="2324"/>
      <c r="K25" s="2325"/>
      <c r="L25" s="2325"/>
      <c r="M25" s="2325"/>
      <c r="N25" s="2325"/>
      <c r="O25" s="2325"/>
      <c r="P25" s="2326"/>
    </row>
    <row r="26" spans="1:16" ht="9" customHeight="1">
      <c r="A26" s="1623"/>
      <c r="B26" s="1624"/>
      <c r="C26" s="1624"/>
      <c r="D26" s="1624"/>
      <c r="E26" s="1624"/>
      <c r="F26" s="1624"/>
      <c r="G26" s="1624"/>
      <c r="H26" s="1625"/>
      <c r="J26" s="2327"/>
      <c r="K26" s="2328"/>
      <c r="L26" s="2328"/>
      <c r="M26" s="2328"/>
      <c r="N26" s="2328"/>
      <c r="O26" s="2328"/>
      <c r="P26" s="2329"/>
    </row>
    <row r="27" spans="1:16" ht="4.5" customHeight="1">
      <c r="J27" t="s">
        <v>342</v>
      </c>
    </row>
    <row r="28" spans="1:16">
      <c r="A28" s="184"/>
      <c r="B28" s="1822"/>
      <c r="C28" s="1829" t="s">
        <v>721</v>
      </c>
      <c r="D28" s="1829" t="s">
        <v>722</v>
      </c>
      <c r="E28" s="1829" t="s">
        <v>723</v>
      </c>
      <c r="F28" s="1822"/>
      <c r="G28" s="1829"/>
      <c r="H28" s="1833"/>
      <c r="I28" s="178"/>
      <c r="J28" s="184"/>
      <c r="K28" s="1822"/>
      <c r="L28" s="1829" t="s">
        <v>721</v>
      </c>
      <c r="M28" s="1829" t="s">
        <v>722</v>
      </c>
      <c r="N28" s="1829" t="s">
        <v>723</v>
      </c>
      <c r="O28" s="1829"/>
      <c r="P28" s="1823"/>
    </row>
    <row r="29" spans="1:16" ht="18" customHeight="1">
      <c r="A29" s="37"/>
      <c r="B29" s="1825"/>
      <c r="C29" s="1819" t="s">
        <v>948</v>
      </c>
      <c r="D29" s="1819" t="s">
        <v>948</v>
      </c>
      <c r="E29" s="1819" t="s">
        <v>948</v>
      </c>
      <c r="F29" s="289"/>
      <c r="G29" s="1824"/>
      <c r="H29" s="1834"/>
      <c r="I29" s="169"/>
      <c r="J29" s="37"/>
      <c r="K29" s="1825"/>
      <c r="L29" s="1819" t="s">
        <v>948</v>
      </c>
      <c r="M29" s="1819" t="s">
        <v>948</v>
      </c>
      <c r="N29" s="1819" t="s">
        <v>948</v>
      </c>
      <c r="O29" s="1824"/>
      <c r="P29" s="1821"/>
    </row>
    <row r="30" spans="1:16" ht="17.25" customHeight="1">
      <c r="A30" s="78" t="s">
        <v>1227</v>
      </c>
      <c r="B30" s="1819"/>
      <c r="C30" s="1854">
        <v>-13029</v>
      </c>
      <c r="D30" s="1881">
        <v>-13029</v>
      </c>
      <c r="E30" s="1859">
        <f t="shared" ref="E30" si="0">+C30-D30</f>
        <v>0</v>
      </c>
      <c r="F30" s="73"/>
      <c r="G30" s="1818"/>
      <c r="H30" s="1836"/>
      <c r="I30" s="73"/>
      <c r="J30" s="78" t="s">
        <v>1227</v>
      </c>
      <c r="K30" s="1819"/>
      <c r="L30" s="1877">
        <v>-92449</v>
      </c>
      <c r="M30" s="1877">
        <v>-93361</v>
      </c>
      <c r="N30" s="173">
        <f>+L30-M30</f>
        <v>912</v>
      </c>
      <c r="O30" s="1818"/>
      <c r="P30" s="1836"/>
    </row>
    <row r="31" spans="1:16">
      <c r="A31" s="1224"/>
      <c r="B31" s="30"/>
      <c r="C31" s="30"/>
      <c r="D31" s="30"/>
      <c r="E31" s="30"/>
      <c r="F31" s="73"/>
      <c r="G31" s="1820"/>
      <c r="H31" s="1836"/>
      <c r="I31" s="73"/>
      <c r="J31" s="1224"/>
      <c r="K31" s="30"/>
      <c r="L31" s="30"/>
      <c r="M31" s="30"/>
      <c r="N31" s="30"/>
      <c r="O31" s="944"/>
      <c r="P31" s="1836"/>
    </row>
    <row r="32" spans="1:16">
      <c r="A32" s="78" t="s">
        <v>33</v>
      </c>
      <c r="B32" s="30"/>
      <c r="C32" s="30"/>
      <c r="D32" s="30"/>
      <c r="E32" s="30"/>
      <c r="F32" s="73"/>
      <c r="G32" s="944"/>
      <c r="H32" s="602"/>
      <c r="I32" s="73"/>
      <c r="J32" s="78" t="s">
        <v>33</v>
      </c>
      <c r="K32" s="30"/>
      <c r="L32" s="30"/>
      <c r="M32" s="30"/>
      <c r="N32" s="30"/>
      <c r="O32" s="944"/>
      <c r="P32" s="1836"/>
    </row>
    <row r="33" spans="1:16" ht="12.75" customHeight="1">
      <c r="A33" s="1830" t="s">
        <v>1225</v>
      </c>
      <c r="B33" s="204"/>
      <c r="C33" s="1875">
        <v>98</v>
      </c>
      <c r="D33" s="1876">
        <v>112</v>
      </c>
      <c r="E33" s="1856">
        <f t="shared" ref="E33:E36" si="1">+C33-D33</f>
        <v>-14</v>
      </c>
      <c r="F33" s="1826"/>
      <c r="G33" s="944"/>
      <c r="H33" s="298"/>
      <c r="I33" s="73"/>
      <c r="J33" s="1830" t="s">
        <v>1225</v>
      </c>
      <c r="K33" s="204"/>
      <c r="L33" s="1875">
        <v>588</v>
      </c>
      <c r="M33" s="1878">
        <v>588</v>
      </c>
      <c r="N33" s="171">
        <f t="shared" ref="N33:N36" si="2">+L33-M33</f>
        <v>0</v>
      </c>
      <c r="O33" s="944"/>
      <c r="P33" s="1836"/>
    </row>
    <row r="34" spans="1:16">
      <c r="A34" s="1830" t="s">
        <v>1226</v>
      </c>
      <c r="B34" s="171"/>
      <c r="C34" s="1875">
        <v>14743</v>
      </c>
      <c r="D34" s="1876">
        <v>13553</v>
      </c>
      <c r="E34" s="1856">
        <f t="shared" si="1"/>
        <v>1190</v>
      </c>
      <c r="F34" s="1827"/>
      <c r="G34" s="944"/>
      <c r="H34" s="298"/>
      <c r="I34" s="179"/>
      <c r="J34" s="1830" t="s">
        <v>1226</v>
      </c>
      <c r="K34" s="171"/>
      <c r="L34" s="281">
        <v>59087</v>
      </c>
      <c r="M34" s="281">
        <v>59087</v>
      </c>
      <c r="N34" s="171">
        <f t="shared" si="2"/>
        <v>0</v>
      </c>
      <c r="O34" s="944"/>
      <c r="P34" s="1836"/>
    </row>
    <row r="35" spans="1:16">
      <c r="A35" s="1830" t="s">
        <v>1239</v>
      </c>
      <c r="B35" s="73"/>
      <c r="C35" s="1875">
        <v>2023</v>
      </c>
      <c r="D35" s="1876">
        <v>2045</v>
      </c>
      <c r="E35" s="1856">
        <f t="shared" si="1"/>
        <v>-22</v>
      </c>
      <c r="F35" s="1827"/>
      <c r="G35" s="1837"/>
      <c r="H35" s="298"/>
      <c r="I35" s="179"/>
      <c r="J35" s="1830" t="s">
        <v>1239</v>
      </c>
      <c r="K35" s="73"/>
      <c r="L35" s="281">
        <v>4576</v>
      </c>
      <c r="M35" s="281">
        <v>4576</v>
      </c>
      <c r="N35" s="171">
        <f t="shared" si="2"/>
        <v>0</v>
      </c>
      <c r="O35" s="944"/>
      <c r="P35" s="1838"/>
    </row>
    <row r="36" spans="1:16">
      <c r="A36" s="1857" t="s">
        <v>1279</v>
      </c>
      <c r="B36" s="74"/>
      <c r="C36" s="1875">
        <v>4114</v>
      </c>
      <c r="D36" s="1876">
        <v>0</v>
      </c>
      <c r="E36" s="1856">
        <f t="shared" si="1"/>
        <v>4114</v>
      </c>
      <c r="F36" s="179"/>
      <c r="G36" s="944"/>
      <c r="H36" s="1838"/>
      <c r="I36" s="179"/>
      <c r="J36" s="1831" t="str">
        <f>+A36</f>
        <v>Radiotherapy East</v>
      </c>
      <c r="K36" s="74"/>
      <c r="L36" s="179">
        <v>11305</v>
      </c>
      <c r="M36" s="179">
        <f>11305+841</f>
        <v>12146</v>
      </c>
      <c r="N36" s="171">
        <f t="shared" si="2"/>
        <v>-841</v>
      </c>
      <c r="O36" s="223"/>
      <c r="P36" s="1838"/>
    </row>
    <row r="37" spans="1:16">
      <c r="A37" s="172" t="s">
        <v>1220</v>
      </c>
      <c r="B37" s="204"/>
      <c r="C37" s="305">
        <f>SUM(C33:C36)</f>
        <v>20978</v>
      </c>
      <c r="D37" s="305">
        <f>SUM(D33:D36)</f>
        <v>15710</v>
      </c>
      <c r="E37" s="305">
        <f>SUM(E33:E36)</f>
        <v>5268</v>
      </c>
      <c r="F37" s="30"/>
      <c r="G37" s="944"/>
      <c r="H37" s="1839"/>
      <c r="I37" s="179"/>
      <c r="J37" s="172" t="s">
        <v>1220</v>
      </c>
      <c r="K37" s="204"/>
      <c r="L37" s="305">
        <f>SUM(L33:L36)</f>
        <v>75556</v>
      </c>
      <c r="M37" s="305">
        <f>SUM(M33:M36)</f>
        <v>76397</v>
      </c>
      <c r="N37" s="305">
        <f>SUM(N33:N36)</f>
        <v>-841</v>
      </c>
      <c r="O37" s="944"/>
      <c r="P37" s="1842"/>
    </row>
    <row r="38" spans="1:16">
      <c r="A38" s="172"/>
      <c r="B38" s="171"/>
      <c r="C38" s="171"/>
      <c r="D38" s="171"/>
      <c r="E38" s="171"/>
      <c r="F38" s="1828"/>
      <c r="G38" s="944"/>
      <c r="H38" s="1644"/>
      <c r="I38" s="179"/>
      <c r="J38" s="172"/>
      <c r="K38" s="171"/>
      <c r="L38" s="171"/>
      <c r="M38" s="171"/>
      <c r="N38" s="171"/>
      <c r="O38" s="944"/>
      <c r="P38" s="1842"/>
    </row>
    <row r="39" spans="1:16">
      <c r="A39" s="1835" t="s">
        <v>34</v>
      </c>
      <c r="B39" s="944"/>
      <c r="C39" s="944"/>
      <c r="D39" s="944"/>
      <c r="E39" s="944"/>
      <c r="F39" s="944"/>
      <c r="G39" s="944"/>
      <c r="H39" s="1644"/>
      <c r="I39" s="171"/>
      <c r="J39" s="1835" t="s">
        <v>34</v>
      </c>
      <c r="K39" s="944"/>
      <c r="L39" s="944"/>
      <c r="M39" s="944"/>
      <c r="N39" s="944"/>
      <c r="O39" s="944"/>
      <c r="P39" s="1842"/>
    </row>
    <row r="40" spans="1:16">
      <c r="A40" s="172" t="s">
        <v>1221</v>
      </c>
      <c r="B40" s="944"/>
      <c r="C40" s="944"/>
      <c r="D40" s="944"/>
      <c r="E40" s="944"/>
      <c r="F40" s="944"/>
      <c r="G40" s="944"/>
      <c r="H40" s="1644"/>
      <c r="I40" s="171"/>
      <c r="J40" s="172" t="s">
        <v>1221</v>
      </c>
      <c r="K40" s="944"/>
      <c r="L40" s="944"/>
      <c r="M40" s="944"/>
      <c r="N40" s="944"/>
      <c r="O40" s="944"/>
      <c r="P40" s="1842"/>
    </row>
    <row r="41" spans="1:16">
      <c r="A41" s="1753" t="s">
        <v>1311</v>
      </c>
      <c r="B41" s="171"/>
      <c r="C41" s="1875">
        <v>665</v>
      </c>
      <c r="D41" s="1876">
        <v>0</v>
      </c>
      <c r="E41" s="171">
        <f t="shared" ref="E41:E50" si="3">+C41-D41</f>
        <v>665</v>
      </c>
      <c r="F41" s="1837"/>
      <c r="G41" s="1837"/>
      <c r="H41" s="206"/>
      <c r="I41" s="171"/>
      <c r="J41" s="1753" t="str">
        <f t="shared" ref="J41:J45" si="4">+A41</f>
        <v>SPECT CT  Nuclear Medicine</v>
      </c>
      <c r="K41" s="171"/>
      <c r="L41" s="171">
        <v>1000</v>
      </c>
      <c r="M41" s="171">
        <v>1000</v>
      </c>
      <c r="N41" s="171">
        <f t="shared" ref="N41:N50" si="5">+L41-M41</f>
        <v>0</v>
      </c>
      <c r="O41" s="944"/>
      <c r="P41" s="1843"/>
    </row>
    <row r="42" spans="1:16">
      <c r="A42" s="1753" t="s">
        <v>1278</v>
      </c>
      <c r="B42" s="171"/>
      <c r="C42" s="1875">
        <v>1000</v>
      </c>
      <c r="D42" s="1876">
        <v>396</v>
      </c>
      <c r="E42" s="171">
        <f t="shared" si="3"/>
        <v>604</v>
      </c>
      <c r="F42" s="944"/>
      <c r="G42" s="944"/>
      <c r="H42" s="1644"/>
      <c r="I42" s="182"/>
      <c r="J42" s="1753" t="str">
        <f t="shared" si="4"/>
        <v>Compact LINACS</v>
      </c>
      <c r="K42" s="171"/>
      <c r="L42" s="171">
        <v>1000</v>
      </c>
      <c r="M42" s="171">
        <v>1036</v>
      </c>
      <c r="N42" s="171">
        <f t="shared" si="5"/>
        <v>-36</v>
      </c>
      <c r="O42" s="944"/>
      <c r="P42" s="1843"/>
    </row>
    <row r="43" spans="1:16">
      <c r="A43" s="1753" t="s">
        <v>1280</v>
      </c>
      <c r="B43" s="216"/>
      <c r="C43" s="1875">
        <v>200</v>
      </c>
      <c r="D43" s="1876">
        <v>0</v>
      </c>
      <c r="E43" s="171">
        <f t="shared" si="3"/>
        <v>200</v>
      </c>
      <c r="F43" s="944"/>
      <c r="G43" s="944"/>
      <c r="H43" s="298"/>
      <c r="I43" s="182"/>
      <c r="J43" s="1753" t="str">
        <f t="shared" si="4"/>
        <v>Electrical Substation - TKT Services</v>
      </c>
      <c r="K43" s="216"/>
      <c r="L43" s="757">
        <v>2300</v>
      </c>
      <c r="M43" s="1880">
        <v>2300</v>
      </c>
      <c r="N43" s="171">
        <f t="shared" si="5"/>
        <v>0</v>
      </c>
      <c r="O43" s="944"/>
      <c r="P43" s="1843"/>
    </row>
    <row r="44" spans="1:16">
      <c r="A44" s="1753" t="s">
        <v>583</v>
      </c>
      <c r="B44" s="171"/>
      <c r="C44" s="1875">
        <v>132</v>
      </c>
      <c r="D44" s="1876">
        <v>155</v>
      </c>
      <c r="E44" s="171">
        <f t="shared" si="3"/>
        <v>-23</v>
      </c>
      <c r="F44" s="944"/>
      <c r="G44" s="944"/>
      <c r="H44" s="298"/>
      <c r="I44" s="182"/>
      <c r="J44" s="1753" t="str">
        <f t="shared" si="4"/>
        <v>EPR</v>
      </c>
      <c r="K44" s="171"/>
      <c r="L44" s="171">
        <v>1008</v>
      </c>
      <c r="M44" s="171">
        <v>1016</v>
      </c>
      <c r="N44" s="171">
        <f t="shared" si="5"/>
        <v>-8</v>
      </c>
      <c r="O44" s="944"/>
      <c r="P44" s="1843"/>
    </row>
    <row r="45" spans="1:16">
      <c r="A45" s="1224" t="s">
        <v>1312</v>
      </c>
      <c r="B45" s="174"/>
      <c r="C45" s="1875">
        <v>10</v>
      </c>
      <c r="D45" s="1876">
        <v>0</v>
      </c>
      <c r="E45" s="171">
        <f t="shared" si="3"/>
        <v>10</v>
      </c>
      <c r="F45" s="1820"/>
      <c r="G45" s="1820"/>
      <c r="H45" s="1821"/>
      <c r="I45" s="182"/>
      <c r="J45" s="1753" t="str">
        <f t="shared" si="4"/>
        <v>Replacement CT PRH</v>
      </c>
      <c r="K45" s="174"/>
      <c r="L45" s="171">
        <v>1300</v>
      </c>
      <c r="M45" s="171">
        <v>1100</v>
      </c>
      <c r="N45" s="171">
        <f t="shared" si="5"/>
        <v>200</v>
      </c>
      <c r="O45" s="1844"/>
      <c r="P45" s="1845"/>
    </row>
    <row r="46" spans="1:16">
      <c r="A46" s="172" t="s">
        <v>1222</v>
      </c>
      <c r="B46" s="30"/>
      <c r="C46" s="30"/>
      <c r="D46" s="30"/>
      <c r="E46" s="171"/>
      <c r="F46" s="1820"/>
      <c r="G46" s="1820"/>
      <c r="H46" s="1821"/>
      <c r="I46" s="182"/>
      <c r="J46" s="172" t="s">
        <v>1222</v>
      </c>
      <c r="K46" s="30"/>
      <c r="L46" s="30"/>
      <c r="M46" s="43"/>
      <c r="N46" s="171"/>
      <c r="O46" s="944"/>
      <c r="P46" s="1843"/>
    </row>
    <row r="47" spans="1:16" s="323" customFormat="1" ht="14.25" customHeight="1">
      <c r="A47" s="1753" t="s">
        <v>613</v>
      </c>
      <c r="B47" s="30"/>
      <c r="C47" s="1875">
        <v>715</v>
      </c>
      <c r="D47" s="1876">
        <v>560</v>
      </c>
      <c r="E47" s="171">
        <f t="shared" si="3"/>
        <v>155</v>
      </c>
      <c r="F47" s="320"/>
      <c r="G47" s="320"/>
      <c r="H47" s="321"/>
      <c r="I47" s="322"/>
      <c r="J47" s="1753" t="s">
        <v>613</v>
      </c>
      <c r="K47" s="30"/>
      <c r="L47" s="171">
        <v>5639</v>
      </c>
      <c r="M47" s="171">
        <v>5702</v>
      </c>
      <c r="N47" s="171">
        <f t="shared" si="5"/>
        <v>-63</v>
      </c>
      <c r="O47" s="1844"/>
      <c r="P47" s="1845"/>
    </row>
    <row r="48" spans="1:16" s="323" customFormat="1" ht="14.25" customHeight="1">
      <c r="A48" s="1753" t="s">
        <v>352</v>
      </c>
      <c r="B48" s="30"/>
      <c r="C48" s="1875">
        <v>8</v>
      </c>
      <c r="D48" s="1876">
        <v>102</v>
      </c>
      <c r="E48" s="171">
        <f t="shared" si="3"/>
        <v>-94</v>
      </c>
      <c r="F48" s="320"/>
      <c r="G48" s="320"/>
      <c r="H48" s="321"/>
      <c r="I48" s="322"/>
      <c r="J48" s="1753" t="s">
        <v>352</v>
      </c>
      <c r="K48" s="30"/>
      <c r="L48" s="171">
        <v>2008</v>
      </c>
      <c r="M48" s="171">
        <v>2008</v>
      </c>
      <c r="N48" s="171">
        <f t="shared" si="5"/>
        <v>0</v>
      </c>
      <c r="O48" s="1844"/>
      <c r="P48" s="1845"/>
    </row>
    <row r="49" spans="1:24" s="323" customFormat="1" ht="14.25" customHeight="1">
      <c r="A49" s="1753" t="s">
        <v>616</v>
      </c>
      <c r="B49" s="30"/>
      <c r="C49" s="1875">
        <v>258</v>
      </c>
      <c r="D49" s="1876">
        <v>514</v>
      </c>
      <c r="E49" s="171">
        <f t="shared" si="3"/>
        <v>-256</v>
      </c>
      <c r="F49" s="320"/>
      <c r="G49" s="320"/>
      <c r="H49" s="321"/>
      <c r="I49" s="322"/>
      <c r="J49" s="1753" t="s">
        <v>616</v>
      </c>
      <c r="K49" s="30"/>
      <c r="L49" s="171">
        <v>3450</v>
      </c>
      <c r="M49" s="171">
        <v>3450</v>
      </c>
      <c r="N49" s="171">
        <f t="shared" si="5"/>
        <v>0</v>
      </c>
      <c r="O49" s="1844"/>
      <c r="P49" s="1845"/>
    </row>
    <row r="50" spans="1:24" s="323" customFormat="1" ht="17.25" customHeight="1">
      <c r="A50" s="1753" t="s">
        <v>617</v>
      </c>
      <c r="B50" s="30"/>
      <c r="C50" s="1875">
        <v>150</v>
      </c>
      <c r="D50" s="1876">
        <v>166</v>
      </c>
      <c r="E50" s="171">
        <f t="shared" si="3"/>
        <v>-16</v>
      </c>
      <c r="F50" s="320"/>
      <c r="G50" s="320"/>
      <c r="H50" s="321"/>
      <c r="I50" s="322"/>
      <c r="J50" s="1753" t="s">
        <v>617</v>
      </c>
      <c r="K50" s="30"/>
      <c r="L50" s="171">
        <v>2192</v>
      </c>
      <c r="M50" s="171">
        <v>2960</v>
      </c>
      <c r="N50" s="171">
        <f t="shared" si="5"/>
        <v>-768</v>
      </c>
      <c r="O50" s="1844"/>
      <c r="P50" s="1845"/>
    </row>
    <row r="51" spans="1:24" s="323" customFormat="1" ht="17.25" customHeight="1">
      <c r="A51" s="172" t="s">
        <v>1223</v>
      </c>
      <c r="B51" s="30"/>
      <c r="C51" s="305">
        <f>SUM(C41:C50)</f>
        <v>3138</v>
      </c>
      <c r="D51" s="305">
        <f>SUM(D41:D50)</f>
        <v>1893</v>
      </c>
      <c r="E51" s="305">
        <f>SUM(E41:E50)</f>
        <v>1245</v>
      </c>
      <c r="F51" s="320"/>
      <c r="G51" s="320"/>
      <c r="H51" s="321"/>
      <c r="I51" s="322"/>
      <c r="J51" s="172" t="s">
        <v>1223</v>
      </c>
      <c r="K51" s="30"/>
      <c r="L51" s="305">
        <f>SUM(L41:L50)</f>
        <v>19897</v>
      </c>
      <c r="M51" s="305">
        <f>SUM(M41:M50)</f>
        <v>20572</v>
      </c>
      <c r="N51" s="305">
        <f>SUM(N41:N50)</f>
        <v>-675</v>
      </c>
      <c r="O51" s="1844"/>
      <c r="P51" s="1845"/>
    </row>
    <row r="52" spans="1:24" s="323" customFormat="1" ht="10.5" customHeight="1">
      <c r="A52" s="172"/>
      <c r="B52" s="30"/>
      <c r="C52" s="1841"/>
      <c r="D52" s="1841"/>
      <c r="E52" s="1841"/>
      <c r="F52" s="320"/>
      <c r="G52" s="320"/>
      <c r="H52" s="321"/>
      <c r="I52" s="322"/>
      <c r="J52" s="172"/>
      <c r="K52" s="30"/>
      <c r="L52" s="1841"/>
      <c r="M52" s="1841"/>
      <c r="N52" s="1841"/>
      <c r="O52" s="1844"/>
      <c r="P52" s="1845"/>
    </row>
    <row r="53" spans="1:24" s="323" customFormat="1" ht="17.25" customHeight="1" thickBot="1">
      <c r="A53" s="172" t="s">
        <v>1224</v>
      </c>
      <c r="B53" s="320"/>
      <c r="C53" s="1855">
        <f>+C30+C37+C51</f>
        <v>11087</v>
      </c>
      <c r="D53" s="1855">
        <f>+D30+D37+D51</f>
        <v>4574</v>
      </c>
      <c r="E53" s="1832">
        <f>+C53-D53</f>
        <v>6513</v>
      </c>
      <c r="F53" s="320"/>
      <c r="G53" s="320"/>
      <c r="H53" s="321"/>
      <c r="I53" s="322"/>
      <c r="J53" s="172" t="s">
        <v>1224</v>
      </c>
      <c r="K53" s="320"/>
      <c r="L53" s="1832">
        <f>+L30+L37+L51</f>
        <v>3004</v>
      </c>
      <c r="M53" s="1832">
        <f>+M30+M37+M51</f>
        <v>3608</v>
      </c>
      <c r="N53" s="1832">
        <f>+N30+N37+N51</f>
        <v>-604</v>
      </c>
      <c r="O53" s="1844"/>
      <c r="P53" s="1845"/>
    </row>
    <row r="54" spans="1:24" ht="9" customHeight="1" thickTop="1">
      <c r="A54" s="759"/>
      <c r="B54" s="760"/>
      <c r="C54" s="760"/>
      <c r="D54" s="760"/>
      <c r="E54" s="760"/>
      <c r="F54" s="760"/>
      <c r="G54" s="760"/>
      <c r="H54" s="1840"/>
      <c r="J54" s="1846"/>
      <c r="K54" s="1847"/>
      <c r="L54" s="1847"/>
      <c r="M54" s="1848"/>
      <c r="N54" s="1848"/>
      <c r="O54" s="1848"/>
      <c r="P54" s="1849"/>
    </row>
    <row r="55" spans="1:24" ht="3.75" customHeight="1">
      <c r="P55" s="185"/>
      <c r="Q55" s="185"/>
      <c r="R55" s="185"/>
      <c r="S55" s="175"/>
      <c r="T55" s="185"/>
      <c r="U55" s="185"/>
      <c r="V55" s="175"/>
      <c r="W55" s="171"/>
      <c r="X55" s="189"/>
    </row>
    <row r="56" spans="1:24" ht="12.75" hidden="1" customHeight="1">
      <c r="A56" s="2330"/>
      <c r="B56" s="2132"/>
      <c r="C56" s="2132"/>
      <c r="D56" s="2132"/>
      <c r="E56" s="2132"/>
      <c r="F56" s="2132"/>
      <c r="G56" s="2132"/>
      <c r="H56" s="2133"/>
      <c r="J56" s="2331"/>
      <c r="K56" s="2185"/>
      <c r="L56" s="2185"/>
      <c r="M56" s="2185"/>
      <c r="N56" s="2185"/>
      <c r="O56" s="2185"/>
      <c r="P56" s="2186"/>
      <c r="Q56" s="185"/>
      <c r="R56" s="185"/>
      <c r="S56" s="175"/>
      <c r="T56" s="185"/>
      <c r="U56" s="185"/>
      <c r="V56" s="175"/>
      <c r="W56" s="171"/>
      <c r="X56" s="189"/>
    </row>
    <row r="57" spans="1:24" ht="25.5" hidden="1" customHeight="1">
      <c r="A57" s="2134"/>
      <c r="B57" s="2135"/>
      <c r="C57" s="2135"/>
      <c r="D57" s="2135"/>
      <c r="E57" s="2135"/>
      <c r="F57" s="2135"/>
      <c r="G57" s="2135"/>
      <c r="H57" s="2136"/>
      <c r="J57" s="2187"/>
      <c r="K57" s="2188"/>
      <c r="L57" s="2188"/>
      <c r="M57" s="2188"/>
      <c r="N57" s="2188"/>
      <c r="O57" s="2188"/>
      <c r="P57" s="2189"/>
      <c r="Q57" s="185"/>
      <c r="R57" s="185"/>
      <c r="S57" s="175"/>
      <c r="T57" s="185"/>
      <c r="U57" s="185"/>
      <c r="V57" s="175"/>
      <c r="W57" s="171"/>
      <c r="X57" s="189"/>
    </row>
    <row r="58" spans="1:24" ht="3.75" hidden="1" customHeight="1">
      <c r="P58" s="185"/>
      <c r="Q58" s="185"/>
      <c r="R58" s="185"/>
      <c r="S58" s="175"/>
      <c r="T58" s="185"/>
      <c r="U58" s="185"/>
      <c r="V58" s="175"/>
      <c r="W58" s="171"/>
      <c r="X58" s="189"/>
    </row>
    <row r="59" spans="1:24" hidden="1">
      <c r="A59" s="69" t="s">
        <v>562</v>
      </c>
      <c r="B59" s="40"/>
      <c r="C59" s="40"/>
      <c r="D59" s="40"/>
      <c r="E59" s="40"/>
      <c r="F59" s="40"/>
      <c r="G59" s="40"/>
      <c r="H59" s="59"/>
      <c r="J59" s="92" t="s">
        <v>563</v>
      </c>
      <c r="K59" s="84"/>
      <c r="L59" s="84"/>
      <c r="M59" s="84"/>
      <c r="N59" s="84"/>
      <c r="O59" s="84"/>
      <c r="P59" s="300"/>
      <c r="Q59" s="187"/>
      <c r="R59" s="187"/>
      <c r="S59" s="187"/>
      <c r="T59" s="187"/>
      <c r="U59" s="187"/>
      <c r="V59" s="187"/>
      <c r="W59" s="176"/>
      <c r="X59" s="35"/>
    </row>
    <row r="60" spans="1:24" hidden="1">
      <c r="A60" s="234" t="s">
        <v>565</v>
      </c>
      <c r="B60" s="30"/>
      <c r="C60" s="30"/>
      <c r="D60" s="30"/>
      <c r="E60" s="30"/>
      <c r="F60" s="30"/>
      <c r="G60" s="30"/>
      <c r="H60" s="70"/>
      <c r="J60" s="234" t="s">
        <v>552</v>
      </c>
      <c r="K60" s="43"/>
      <c r="L60" s="43"/>
      <c r="M60" s="43"/>
      <c r="N60" s="43"/>
      <c r="O60" s="43"/>
      <c r="P60" s="79"/>
      <c r="Q60" s="35"/>
      <c r="R60" s="35"/>
      <c r="S60" s="35"/>
      <c r="T60" s="35"/>
      <c r="U60" s="35"/>
      <c r="V60" s="35"/>
      <c r="W60" s="35"/>
    </row>
    <row r="61" spans="1:24" ht="9.75" hidden="1" customHeight="1">
      <c r="A61" s="37"/>
      <c r="B61" s="30"/>
      <c r="C61" s="30"/>
      <c r="D61" s="30"/>
      <c r="E61" s="30"/>
      <c r="F61" s="30"/>
      <c r="G61" s="30"/>
      <c r="H61" s="70"/>
      <c r="J61" s="39"/>
      <c r="K61" s="43"/>
      <c r="L61" s="43"/>
      <c r="M61" s="43"/>
      <c r="N61" s="43"/>
      <c r="O61" s="43"/>
      <c r="P61" s="301"/>
      <c r="Q61" s="187"/>
      <c r="R61" s="187"/>
      <c r="S61" s="187"/>
      <c r="T61" s="187"/>
      <c r="U61" s="187"/>
      <c r="V61" s="187"/>
      <c r="W61" s="176"/>
      <c r="X61" s="35"/>
    </row>
    <row r="62" spans="1:24" ht="7.5" hidden="1" customHeight="1">
      <c r="A62" s="37"/>
      <c r="B62" s="30"/>
      <c r="C62" s="30"/>
      <c r="D62" s="30"/>
      <c r="E62" s="30"/>
      <c r="F62" s="30"/>
      <c r="G62" s="30"/>
      <c r="H62" s="70"/>
      <c r="J62" s="39"/>
      <c r="K62" s="43"/>
      <c r="L62" s="43"/>
      <c r="M62" s="43"/>
      <c r="N62" s="43"/>
      <c r="O62" s="43"/>
      <c r="P62" s="302"/>
      <c r="Q62" s="175"/>
      <c r="R62" s="175"/>
      <c r="S62" s="175"/>
      <c r="T62" s="175"/>
      <c r="U62" s="175"/>
      <c r="V62" s="175"/>
      <c r="W62" s="171"/>
      <c r="X62" s="35"/>
    </row>
    <row r="63" spans="1:24" ht="6.75" hidden="1" customHeight="1">
      <c r="A63" s="38"/>
      <c r="B63" s="41"/>
      <c r="C63" s="41"/>
      <c r="D63" s="41"/>
      <c r="E63" s="41"/>
      <c r="F63" s="41"/>
      <c r="G63" s="41"/>
      <c r="H63" s="60"/>
      <c r="J63" s="303"/>
      <c r="K63" s="304"/>
      <c r="L63" s="304"/>
      <c r="M63" s="304"/>
      <c r="N63" s="304"/>
      <c r="O63" s="304"/>
      <c r="P63" s="60"/>
    </row>
    <row r="64" spans="1:24" ht="4.5" customHeight="1">
      <c r="J64" s="30"/>
      <c r="K64" s="30"/>
      <c r="L64" s="30"/>
      <c r="M64" s="30"/>
      <c r="N64" s="30"/>
      <c r="O64" s="30"/>
      <c r="P64" s="171"/>
      <c r="Q64" s="175"/>
      <c r="R64" s="175"/>
      <c r="S64" s="175"/>
      <c r="T64" s="175"/>
      <c r="U64" s="175"/>
      <c r="V64" s="175"/>
      <c r="W64" s="171"/>
      <c r="X64" s="35"/>
    </row>
    <row r="65" spans="1:24" hidden="1" outlineLevel="1">
      <c r="A65" t="s">
        <v>1240</v>
      </c>
      <c r="C65" s="186">
        <f>+C51+C37</f>
        <v>24116</v>
      </c>
      <c r="D65" s="186">
        <f>+D51+D37</f>
        <v>17603</v>
      </c>
      <c r="J65" s="30"/>
      <c r="K65" s="30"/>
      <c r="L65" s="30"/>
      <c r="M65" s="204">
        <f>+M37+M51</f>
        <v>96969</v>
      </c>
      <c r="N65" s="30"/>
      <c r="O65" s="30"/>
      <c r="P65" s="30"/>
      <c r="Q65" s="188"/>
      <c r="R65" s="188"/>
      <c r="S65" s="188"/>
      <c r="T65" s="188"/>
      <c r="U65" s="188"/>
      <c r="V65" s="188"/>
      <c r="W65" s="188"/>
      <c r="X65" s="35"/>
    </row>
    <row r="66" spans="1:24" hidden="1" outlineLevel="1">
      <c r="A66" t="s">
        <v>916</v>
      </c>
      <c r="J66" s="30"/>
      <c r="K66" s="30"/>
      <c r="L66" s="30"/>
      <c r="M66" s="30">
        <v>500</v>
      </c>
      <c r="N66" s="30"/>
      <c r="O66" s="30"/>
      <c r="P66" s="30"/>
      <c r="Q66" s="188"/>
      <c r="R66" s="188"/>
      <c r="S66" s="188"/>
      <c r="T66" s="188"/>
      <c r="U66" s="188"/>
      <c r="V66" s="188"/>
      <c r="W66" s="188"/>
      <c r="X66" s="35"/>
    </row>
    <row r="67" spans="1:24" hidden="1" outlineLevel="1">
      <c r="A67" t="s">
        <v>827</v>
      </c>
      <c r="D67" s="186">
        <f>SUM(D65:D66)</f>
        <v>17603</v>
      </c>
      <c r="J67" s="30"/>
      <c r="K67" s="30"/>
      <c r="L67" s="30"/>
      <c r="M67" s="204">
        <f>SUM(M65:M66)</f>
        <v>97469</v>
      </c>
      <c r="N67" s="30"/>
      <c r="O67" s="30"/>
      <c r="P67" s="30"/>
      <c r="Q67" s="188"/>
      <c r="R67" s="188"/>
      <c r="S67" s="188"/>
      <c r="T67" s="188"/>
      <c r="U67" s="188"/>
      <c r="V67" s="188"/>
      <c r="W67" s="188"/>
      <c r="X67" s="35"/>
    </row>
    <row r="68" spans="1:24" hidden="1" outlineLevel="1">
      <c r="J68" s="30"/>
      <c r="K68" s="30"/>
      <c r="L68" s="30"/>
      <c r="M68" s="30"/>
      <c r="N68" s="30"/>
      <c r="O68" s="30"/>
      <c r="P68" s="30"/>
      <c r="Q68" s="188"/>
      <c r="R68" s="188"/>
      <c r="S68" s="188"/>
      <c r="T68" s="188"/>
      <c r="U68" s="188"/>
      <c r="V68" s="188"/>
      <c r="W68" s="188"/>
      <c r="X68" s="35"/>
    </row>
    <row r="69" spans="1:24" ht="3.75" customHeight="1" collapsed="1">
      <c r="Q69" s="188"/>
      <c r="R69" s="188"/>
      <c r="S69" s="188"/>
      <c r="T69" s="188"/>
      <c r="U69" s="188"/>
      <c r="V69" s="188"/>
      <c r="W69" s="188"/>
      <c r="X69" s="35"/>
    </row>
    <row r="70" spans="1:24">
      <c r="P70" s="183"/>
      <c r="Q70" s="183"/>
      <c r="R70" s="183"/>
      <c r="S70" s="183"/>
      <c r="T70" s="183"/>
      <c r="U70" s="183"/>
      <c r="V70" s="183"/>
      <c r="W70" s="183"/>
      <c r="X70" s="35"/>
    </row>
    <row r="71" spans="1:24">
      <c r="P71" s="44"/>
      <c r="Q71" s="44"/>
      <c r="R71" s="44"/>
      <c r="S71" s="44"/>
      <c r="T71" s="44"/>
      <c r="U71" s="44"/>
      <c r="V71" s="44"/>
      <c r="W71" s="44"/>
    </row>
    <row r="72" spans="1:24" ht="13.8">
      <c r="A72" s="1919"/>
      <c r="M72" s="186"/>
      <c r="P72" s="183"/>
      <c r="Q72" s="183"/>
      <c r="R72" s="183"/>
      <c r="S72" s="183"/>
      <c r="T72" s="183"/>
      <c r="U72" s="183"/>
      <c r="V72" s="183"/>
      <c r="W72" s="183"/>
      <c r="X72" s="35"/>
    </row>
    <row r="73" spans="1:24">
      <c r="P73" s="44"/>
      <c r="Q73" s="44"/>
      <c r="R73" s="44"/>
      <c r="S73" s="44"/>
      <c r="T73" s="44"/>
      <c r="U73" s="44"/>
      <c r="V73" s="44"/>
      <c r="W73" s="44"/>
    </row>
    <row r="74" spans="1:24">
      <c r="M74" s="186"/>
    </row>
  </sheetData>
  <mergeCells count="6">
    <mergeCell ref="A13:H23"/>
    <mergeCell ref="A24:H24"/>
    <mergeCell ref="A3:P4"/>
    <mergeCell ref="J13:P26"/>
    <mergeCell ref="A56:H57"/>
    <mergeCell ref="J56:P57"/>
  </mergeCells>
  <phoneticPr fontId="8" type="noConversion"/>
  <printOptions horizontalCentered="1" verticalCentered="1"/>
  <pageMargins left="0.27559055118110237" right="0.23622047244094491" top="0.19685039370078741" bottom="0.39370078740157483" header="0" footer="0.19685039370078741"/>
  <pageSetup paperSize="9" scale="66" orientation="landscape" r:id="rId1"/>
  <headerFooter alignWithMargins="0">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4.9989318521683403E-2"/>
    <pageSetUpPr fitToPage="1"/>
  </sheetPr>
  <dimension ref="A1:Q73"/>
  <sheetViews>
    <sheetView topLeftCell="C22" workbookViewId="0">
      <selection activeCell="A6" sqref="A6:M8"/>
    </sheetView>
  </sheetViews>
  <sheetFormatPr defaultRowHeight="13.2"/>
  <cols>
    <col min="1" max="1" width="34.33203125" customWidth="1"/>
    <col min="6" max="6" width="1.109375" customWidth="1"/>
    <col min="7" max="7" width="26.5546875" bestFit="1" customWidth="1"/>
    <col min="8" max="8" width="10" customWidth="1"/>
    <col min="12" max="12" width="1.33203125" customWidth="1"/>
    <col min="13" max="13" width="26.88671875" bestFit="1" customWidth="1"/>
    <col min="14" max="14" width="16.44140625" customWidth="1"/>
  </cols>
  <sheetData>
    <row r="1" spans="1:17" ht="17.399999999999999">
      <c r="A1" s="193" t="str">
        <f>'Summary Page'!A1</f>
        <v xml:space="preserve">Finance Report Month 2 2016/17 </v>
      </c>
      <c r="B1" s="115"/>
      <c r="C1" s="115"/>
      <c r="D1" s="115"/>
      <c r="E1" s="115"/>
      <c r="F1" s="115"/>
      <c r="G1" s="115"/>
      <c r="H1" s="115"/>
      <c r="I1" s="115"/>
      <c r="J1" s="115"/>
      <c r="K1" s="115"/>
      <c r="L1" s="115"/>
      <c r="M1" s="115"/>
      <c r="N1" s="115"/>
      <c r="O1" s="115"/>
      <c r="P1" s="115"/>
      <c r="Q1" s="194" t="s">
        <v>460</v>
      </c>
    </row>
    <row r="2" spans="1:17" ht="17.399999999999999">
      <c r="A2" s="47"/>
      <c r="K2" s="110"/>
    </row>
    <row r="3" spans="1:17">
      <c r="A3" s="2129" t="s">
        <v>461</v>
      </c>
      <c r="B3" s="2130"/>
      <c r="C3" s="2130"/>
      <c r="D3" s="2130"/>
      <c r="E3" s="2130"/>
      <c r="F3" s="2130"/>
      <c r="G3" s="2130"/>
      <c r="H3" s="2130"/>
      <c r="I3" s="2130"/>
      <c r="J3" s="2130"/>
      <c r="K3" s="2130"/>
      <c r="L3" s="2130"/>
      <c r="M3" s="2130"/>
      <c r="N3" s="2130"/>
      <c r="O3" s="2130"/>
      <c r="P3" s="2130"/>
      <c r="Q3" s="2131"/>
    </row>
    <row r="4" spans="1:17">
      <c r="A4" s="2095"/>
      <c r="B4" s="2096"/>
      <c r="C4" s="2096"/>
      <c r="D4" s="2096"/>
      <c r="E4" s="2096"/>
      <c r="F4" s="2096"/>
      <c r="G4" s="2096"/>
      <c r="H4" s="2096"/>
      <c r="I4" s="2096"/>
      <c r="J4" s="2096"/>
      <c r="K4" s="2096"/>
      <c r="L4" s="2096"/>
      <c r="M4" s="2096"/>
      <c r="N4" s="2096"/>
      <c r="O4" s="2096"/>
      <c r="P4" s="2096"/>
      <c r="Q4" s="2097"/>
    </row>
    <row r="5" spans="1:17">
      <c r="A5" s="2098"/>
      <c r="B5" s="2099"/>
      <c r="C5" s="2099"/>
      <c r="D5" s="2099"/>
      <c r="E5" s="2099"/>
      <c r="F5" s="2099"/>
      <c r="G5" s="2099"/>
      <c r="H5" s="2099"/>
      <c r="I5" s="2099"/>
      <c r="J5" s="2099"/>
      <c r="K5" s="2099"/>
      <c r="L5" s="2099"/>
      <c r="M5" s="2099"/>
      <c r="N5" s="2099"/>
      <c r="O5" s="2099"/>
      <c r="P5" s="2099"/>
      <c r="Q5" s="2100"/>
    </row>
    <row r="6" spans="1:17" ht="3.75" customHeight="1"/>
    <row r="7" spans="1:17">
      <c r="A7" s="796" t="s">
        <v>930</v>
      </c>
      <c r="B7" s="797"/>
      <c r="C7" s="798"/>
      <c r="D7" s="797"/>
      <c r="E7" s="797"/>
      <c r="F7" s="797"/>
      <c r="G7" s="799"/>
      <c r="H7" s="800"/>
      <c r="I7" s="801"/>
      <c r="J7" s="800"/>
      <c r="K7" s="801"/>
      <c r="L7" s="802"/>
      <c r="M7" s="802"/>
      <c r="N7" s="802"/>
      <c r="O7" s="802"/>
      <c r="P7" s="802"/>
      <c r="Q7" s="802"/>
    </row>
    <row r="8" spans="1:17" ht="6" customHeight="1">
      <c r="A8" s="797"/>
      <c r="B8" s="798"/>
      <c r="C8" s="798"/>
      <c r="D8" s="798"/>
      <c r="E8" s="798"/>
      <c r="F8" s="797"/>
      <c r="G8" s="801"/>
      <c r="H8" s="800"/>
      <c r="I8" s="800"/>
      <c r="J8" s="800"/>
      <c r="K8" s="800"/>
      <c r="L8" s="802"/>
      <c r="M8" s="802"/>
      <c r="N8" s="802"/>
      <c r="O8" s="802"/>
      <c r="P8" s="802"/>
      <c r="Q8" s="802"/>
    </row>
    <row r="9" spans="1:17">
      <c r="A9" s="803" t="s">
        <v>462</v>
      </c>
      <c r="B9" s="802"/>
      <c r="C9" s="800" t="s">
        <v>721</v>
      </c>
      <c r="D9" s="800" t="s">
        <v>722</v>
      </c>
      <c r="E9" s="800" t="s">
        <v>723</v>
      </c>
      <c r="F9" s="797"/>
      <c r="G9" s="803" t="s">
        <v>462</v>
      </c>
      <c r="H9" s="802"/>
      <c r="I9" s="800" t="s">
        <v>721</v>
      </c>
      <c r="J9" s="800" t="s">
        <v>722</v>
      </c>
      <c r="K9" s="800" t="s">
        <v>723</v>
      </c>
      <c r="L9" s="802"/>
      <c r="M9" s="803" t="s">
        <v>462</v>
      </c>
      <c r="N9" s="802"/>
      <c r="O9" s="800" t="s">
        <v>721</v>
      </c>
      <c r="P9" s="800" t="s">
        <v>722</v>
      </c>
      <c r="Q9" s="800" t="s">
        <v>723</v>
      </c>
    </row>
    <row r="10" spans="1:17">
      <c r="A10" s="803"/>
      <c r="B10" s="802"/>
      <c r="C10" s="800" t="s">
        <v>948</v>
      </c>
      <c r="D10" s="800" t="s">
        <v>948</v>
      </c>
      <c r="E10" s="800" t="s">
        <v>948</v>
      </c>
      <c r="F10" s="797"/>
      <c r="G10" s="803"/>
      <c r="H10" s="802"/>
      <c r="I10" s="800" t="s">
        <v>948</v>
      </c>
      <c r="J10" s="800" t="s">
        <v>948</v>
      </c>
      <c r="K10" s="800" t="s">
        <v>948</v>
      </c>
      <c r="L10" s="802"/>
      <c r="M10" s="803"/>
      <c r="N10" s="802"/>
      <c r="O10" s="800" t="s">
        <v>948</v>
      </c>
      <c r="P10" s="800" t="s">
        <v>948</v>
      </c>
      <c r="Q10" s="800" t="s">
        <v>948</v>
      </c>
    </row>
    <row r="11" spans="1:17">
      <c r="A11" s="2335" t="s">
        <v>463</v>
      </c>
      <c r="B11" s="126" t="s">
        <v>862</v>
      </c>
      <c r="C11" s="792">
        <v>-13.831</v>
      </c>
      <c r="D11" s="792">
        <v>-13.874000000000001</v>
      </c>
      <c r="E11" s="793">
        <v>-4.2999999999999997E-2</v>
      </c>
      <c r="G11" s="2335" t="s">
        <v>464</v>
      </c>
      <c r="H11" s="126" t="s">
        <v>862</v>
      </c>
      <c r="I11" s="792">
        <v>-1657.9</v>
      </c>
      <c r="J11" s="792">
        <v>-1653.9880000000001</v>
      </c>
      <c r="K11" s="793">
        <v>3.9119999999999999</v>
      </c>
      <c r="M11" s="791" t="s">
        <v>465</v>
      </c>
      <c r="N11" s="126" t="s">
        <v>862</v>
      </c>
      <c r="O11" s="792">
        <v>-231.79599999999999</v>
      </c>
      <c r="P11" s="792">
        <v>-232.48599999999999</v>
      </c>
      <c r="Q11" s="793">
        <v>-0.69</v>
      </c>
    </row>
    <row r="12" spans="1:17">
      <c r="A12" s="2336"/>
      <c r="B12" s="129" t="s">
        <v>466</v>
      </c>
      <c r="C12" s="762">
        <v>911.26</v>
      </c>
      <c r="D12" s="762">
        <v>881.83299999999997</v>
      </c>
      <c r="E12" s="200">
        <v>-29.427</v>
      </c>
      <c r="G12" s="2336"/>
      <c r="H12" s="129" t="s">
        <v>466</v>
      </c>
      <c r="I12" s="762">
        <v>1322.914</v>
      </c>
      <c r="J12" s="762">
        <v>1414.7139999999999</v>
      </c>
      <c r="K12" s="200">
        <v>91.801000000000002</v>
      </c>
      <c r="M12" s="794"/>
      <c r="N12" s="129" t="s">
        <v>466</v>
      </c>
      <c r="O12" s="762">
        <v>163.49299999999999</v>
      </c>
      <c r="P12" s="762">
        <v>167.97200000000001</v>
      </c>
      <c r="Q12" s="200">
        <v>4.4790000000000001</v>
      </c>
    </row>
    <row r="13" spans="1:17">
      <c r="A13" s="2337"/>
      <c r="B13" s="369" t="s">
        <v>467</v>
      </c>
      <c r="C13" s="764">
        <v>897.428</v>
      </c>
      <c r="D13" s="764">
        <v>867.95899999999995</v>
      </c>
      <c r="E13" s="371">
        <v>-29.47</v>
      </c>
      <c r="G13" s="2337"/>
      <c r="H13" s="369" t="s">
        <v>467</v>
      </c>
      <c r="I13" s="764">
        <v>-334.98599999999999</v>
      </c>
      <c r="J13" s="764">
        <v>-239.273</v>
      </c>
      <c r="K13" s="371">
        <v>95.712999999999994</v>
      </c>
      <c r="M13" s="795"/>
      <c r="N13" s="369" t="s">
        <v>467</v>
      </c>
      <c r="O13" s="764">
        <v>-68.302999999999997</v>
      </c>
      <c r="P13" s="764">
        <v>-64.513999999999996</v>
      </c>
      <c r="Q13" s="371">
        <v>3.7890000000000001</v>
      </c>
    </row>
    <row r="14" spans="1:17">
      <c r="A14" s="2335" t="s">
        <v>468</v>
      </c>
      <c r="B14" s="126" t="s">
        <v>862</v>
      </c>
      <c r="C14" s="792">
        <v>-231.92599999999999</v>
      </c>
      <c r="D14" s="792">
        <v>-241.88300000000001</v>
      </c>
      <c r="E14" s="793">
        <v>-9.9570000000000007</v>
      </c>
      <c r="G14" s="2335" t="s">
        <v>469</v>
      </c>
      <c r="H14" s="126" t="s">
        <v>862</v>
      </c>
      <c r="I14" s="792">
        <v>-481.92700000000002</v>
      </c>
      <c r="J14" s="792">
        <v>-482.05500000000001</v>
      </c>
      <c r="K14" s="793">
        <v>-0.128</v>
      </c>
      <c r="M14" s="791" t="s">
        <v>470</v>
      </c>
      <c r="N14" s="126" t="s">
        <v>862</v>
      </c>
      <c r="O14" s="792">
        <v>-188.101</v>
      </c>
      <c r="P14" s="792">
        <v>-187.661</v>
      </c>
      <c r="Q14" s="793">
        <v>0.44</v>
      </c>
    </row>
    <row r="15" spans="1:17">
      <c r="A15" s="2336"/>
      <c r="B15" s="129" t="s">
        <v>466</v>
      </c>
      <c r="C15" s="762">
        <v>127.246</v>
      </c>
      <c r="D15" s="762">
        <v>132.501</v>
      </c>
      <c r="E15" s="200">
        <v>5.2549999999999999</v>
      </c>
      <c r="G15" s="2336"/>
      <c r="H15" s="129" t="s">
        <v>466</v>
      </c>
      <c r="I15" s="762">
        <v>606.43499999999995</v>
      </c>
      <c r="J15" s="762">
        <v>586.447</v>
      </c>
      <c r="K15" s="200">
        <v>-19.986999999999998</v>
      </c>
      <c r="M15" s="794"/>
      <c r="N15" s="129" t="s">
        <v>466</v>
      </c>
      <c r="O15" s="762">
        <v>131.33799999999999</v>
      </c>
      <c r="P15" s="762">
        <v>117.542</v>
      </c>
      <c r="Q15" s="200">
        <v>-13.795999999999999</v>
      </c>
    </row>
    <row r="16" spans="1:17">
      <c r="A16" s="2337"/>
      <c r="B16" s="369" t="s">
        <v>467</v>
      </c>
      <c r="C16" s="764">
        <v>-104.68</v>
      </c>
      <c r="D16" s="764">
        <v>-109.38200000000001</v>
      </c>
      <c r="E16" s="371">
        <v>-4.702</v>
      </c>
      <c r="G16" s="2337"/>
      <c r="H16" s="369" t="s">
        <v>467</v>
      </c>
      <c r="I16" s="764">
        <v>124.508</v>
      </c>
      <c r="J16" s="764">
        <v>104.392</v>
      </c>
      <c r="K16" s="371">
        <v>-20.116</v>
      </c>
      <c r="M16" s="795"/>
      <c r="N16" s="369" t="s">
        <v>467</v>
      </c>
      <c r="O16" s="764">
        <v>-56.762999999999998</v>
      </c>
      <c r="P16" s="764">
        <v>-70.119</v>
      </c>
      <c r="Q16" s="371">
        <v>-13.355</v>
      </c>
    </row>
    <row r="17" spans="1:17">
      <c r="A17" s="2335" t="s">
        <v>471</v>
      </c>
      <c r="B17" s="126" t="s">
        <v>466</v>
      </c>
      <c r="C17" s="792">
        <v>90.95</v>
      </c>
      <c r="D17" s="792">
        <v>91.22</v>
      </c>
      <c r="E17" s="793">
        <v>0.26900000000000002</v>
      </c>
      <c r="G17" s="2335" t="s">
        <v>472</v>
      </c>
      <c r="H17" s="126" t="s">
        <v>862</v>
      </c>
      <c r="I17" s="792">
        <v>-1492.7919999999999</v>
      </c>
      <c r="J17" s="792">
        <v>-1476.3679999999999</v>
      </c>
      <c r="K17" s="793">
        <v>16.423999999999999</v>
      </c>
      <c r="M17" s="791" t="s">
        <v>473</v>
      </c>
      <c r="N17" s="126" t="s">
        <v>862</v>
      </c>
      <c r="O17" s="792">
        <v>-2351.268</v>
      </c>
      <c r="P17" s="792">
        <v>-2545.2750000000001</v>
      </c>
      <c r="Q17" s="793">
        <v>-194.00700000000001</v>
      </c>
    </row>
    <row r="18" spans="1:17">
      <c r="A18" s="2336"/>
      <c r="B18" s="369" t="s">
        <v>467</v>
      </c>
      <c r="C18" s="764">
        <v>90.95</v>
      </c>
      <c r="D18" s="764">
        <v>91.22</v>
      </c>
      <c r="E18" s="371">
        <v>0.26900000000000002</v>
      </c>
      <c r="G18" s="2336"/>
      <c r="H18" s="129" t="s">
        <v>466</v>
      </c>
      <c r="I18" s="762">
        <v>1098.133</v>
      </c>
      <c r="J18" s="762">
        <v>1064.8420000000001</v>
      </c>
      <c r="K18" s="200">
        <v>-33.292000000000002</v>
      </c>
      <c r="M18" s="794"/>
      <c r="N18" s="129" t="s">
        <v>466</v>
      </c>
      <c r="O18" s="762">
        <v>1752.346</v>
      </c>
      <c r="P18" s="762">
        <v>1866.636</v>
      </c>
      <c r="Q18" s="200">
        <v>114.29</v>
      </c>
    </row>
    <row r="19" spans="1:17">
      <c r="A19" s="2335" t="s">
        <v>474</v>
      </c>
      <c r="B19" s="126" t="s">
        <v>862</v>
      </c>
      <c r="C19" s="792">
        <v>-0.28699999999999998</v>
      </c>
      <c r="D19" s="792">
        <v>-0.71599999999999997</v>
      </c>
      <c r="E19" s="793">
        <v>-0.42899999999999999</v>
      </c>
      <c r="G19" s="2337"/>
      <c r="H19" s="369" t="s">
        <v>467</v>
      </c>
      <c r="I19" s="764">
        <v>-394.65899999999999</v>
      </c>
      <c r="J19" s="764">
        <v>-411.52600000000001</v>
      </c>
      <c r="K19" s="371">
        <v>-16.867999999999999</v>
      </c>
      <c r="M19" s="795"/>
      <c r="N19" s="369" t="s">
        <v>467</v>
      </c>
      <c r="O19" s="764">
        <v>-598.92200000000003</v>
      </c>
      <c r="P19" s="764">
        <v>-678.63900000000001</v>
      </c>
      <c r="Q19" s="371">
        <v>-79.716999999999999</v>
      </c>
    </row>
    <row r="20" spans="1:17">
      <c r="A20" s="2336"/>
      <c r="B20" s="129" t="s">
        <v>466</v>
      </c>
      <c r="C20" s="762">
        <v>148.08099999999999</v>
      </c>
      <c r="D20" s="762">
        <v>150.10300000000001</v>
      </c>
      <c r="E20" s="200">
        <v>2.0219999999999998</v>
      </c>
      <c r="G20" s="2335" t="s">
        <v>475</v>
      </c>
      <c r="H20" s="126" t="s">
        <v>862</v>
      </c>
      <c r="I20" s="792">
        <v>-329.83</v>
      </c>
      <c r="J20" s="792">
        <v>-419.38799999999998</v>
      </c>
      <c r="K20" s="793">
        <v>-89.557000000000002</v>
      </c>
      <c r="M20" s="791" t="s">
        <v>476</v>
      </c>
      <c r="N20" s="126" t="s">
        <v>862</v>
      </c>
      <c r="O20" s="792">
        <v>-2787.9430000000002</v>
      </c>
      <c r="P20" s="792">
        <v>-2724.9650000000001</v>
      </c>
      <c r="Q20" s="793">
        <v>62.978000000000002</v>
      </c>
    </row>
    <row r="21" spans="1:17">
      <c r="A21" s="2337"/>
      <c r="B21" s="369" t="s">
        <v>467</v>
      </c>
      <c r="C21" s="764">
        <v>147.79400000000001</v>
      </c>
      <c r="D21" s="764">
        <v>149.387</v>
      </c>
      <c r="E21" s="371">
        <v>1.593</v>
      </c>
      <c r="G21" s="2336"/>
      <c r="H21" s="129" t="s">
        <v>466</v>
      </c>
      <c r="I21" s="762">
        <v>211.839</v>
      </c>
      <c r="J21" s="762">
        <v>245.90299999999999</v>
      </c>
      <c r="K21" s="200">
        <v>34.064</v>
      </c>
      <c r="M21" s="794"/>
      <c r="N21" s="129" t="s">
        <v>466</v>
      </c>
      <c r="O21" s="762">
        <v>2008.2670000000001</v>
      </c>
      <c r="P21" s="762">
        <v>2182.7730000000001</v>
      </c>
      <c r="Q21" s="200">
        <v>174.506</v>
      </c>
    </row>
    <row r="22" spans="1:17">
      <c r="A22" s="2335" t="s">
        <v>477</v>
      </c>
      <c r="B22" s="126" t="s">
        <v>862</v>
      </c>
      <c r="C22" s="792">
        <v>-2521.154</v>
      </c>
      <c r="D22" s="792">
        <v>-2614.0610000000001</v>
      </c>
      <c r="E22" s="793">
        <v>-92.906999999999996</v>
      </c>
      <c r="G22" s="2337"/>
      <c r="H22" s="369" t="s">
        <v>467</v>
      </c>
      <c r="I22" s="764">
        <v>-117.991</v>
      </c>
      <c r="J22" s="764">
        <v>-173.48400000000001</v>
      </c>
      <c r="K22" s="371">
        <v>-55.493000000000002</v>
      </c>
      <c r="M22" s="795"/>
      <c r="N22" s="369" t="s">
        <v>467</v>
      </c>
      <c r="O22" s="764">
        <v>-779.67600000000004</v>
      </c>
      <c r="P22" s="764">
        <v>-542.19200000000001</v>
      </c>
      <c r="Q22" s="371">
        <v>237.48400000000001</v>
      </c>
    </row>
    <row r="23" spans="1:17">
      <c r="A23" s="2336"/>
      <c r="B23" s="129" t="s">
        <v>466</v>
      </c>
      <c r="C23" s="762">
        <v>1503.912</v>
      </c>
      <c r="D23" s="762">
        <v>1461.8879999999999</v>
      </c>
      <c r="E23" s="200">
        <v>-42.024000000000001</v>
      </c>
      <c r="G23" s="2335" t="s">
        <v>478</v>
      </c>
      <c r="H23" s="126" t="s">
        <v>862</v>
      </c>
      <c r="I23" s="792">
        <v>-534.72799999999995</v>
      </c>
      <c r="J23" s="792">
        <v>-554.01900000000001</v>
      </c>
      <c r="K23" s="793">
        <v>-19.292000000000002</v>
      </c>
      <c r="M23" s="791" t="s">
        <v>479</v>
      </c>
      <c r="N23" s="126" t="s">
        <v>862</v>
      </c>
      <c r="O23" s="792">
        <v>-1522.4580000000001</v>
      </c>
      <c r="P23" s="792">
        <v>-1355.5909999999999</v>
      </c>
      <c r="Q23" s="793">
        <v>166.86600000000001</v>
      </c>
    </row>
    <row r="24" spans="1:17">
      <c r="A24" s="2337"/>
      <c r="B24" s="369" t="s">
        <v>467</v>
      </c>
      <c r="C24" s="764">
        <v>-1017.242</v>
      </c>
      <c r="D24" s="764">
        <v>-1152.173</v>
      </c>
      <c r="E24" s="371">
        <v>-134.93100000000001</v>
      </c>
      <c r="G24" s="2336"/>
      <c r="H24" s="129" t="s">
        <v>466</v>
      </c>
      <c r="I24" s="762">
        <v>352.71600000000001</v>
      </c>
      <c r="J24" s="762">
        <v>385.53</v>
      </c>
      <c r="K24" s="200">
        <v>32.814999999999998</v>
      </c>
      <c r="M24" s="794"/>
      <c r="N24" s="129" t="s">
        <v>466</v>
      </c>
      <c r="O24" s="762">
        <v>1386.1959999999999</v>
      </c>
      <c r="P24" s="762">
        <v>1408.104</v>
      </c>
      <c r="Q24" s="200">
        <v>21.908000000000001</v>
      </c>
    </row>
    <row r="25" spans="1:17">
      <c r="A25" s="2335" t="s">
        <v>480</v>
      </c>
      <c r="B25" s="126" t="s">
        <v>862</v>
      </c>
      <c r="C25" s="792">
        <v>-496.83</v>
      </c>
      <c r="D25" s="792">
        <v>-505.63900000000001</v>
      </c>
      <c r="E25" s="793">
        <v>-8.8089999999999993</v>
      </c>
      <c r="G25" s="2337"/>
      <c r="H25" s="369" t="s">
        <v>467</v>
      </c>
      <c r="I25" s="764">
        <v>-182.012</v>
      </c>
      <c r="J25" s="764">
        <v>-168.489</v>
      </c>
      <c r="K25" s="371">
        <v>13.523</v>
      </c>
      <c r="M25" s="795"/>
      <c r="N25" s="369" t="s">
        <v>467</v>
      </c>
      <c r="O25" s="764">
        <v>-136.261</v>
      </c>
      <c r="P25" s="764">
        <v>52.512</v>
      </c>
      <c r="Q25" s="371">
        <v>188.774</v>
      </c>
    </row>
    <row r="26" spans="1:17">
      <c r="A26" s="2336"/>
      <c r="B26" s="129" t="s">
        <v>466</v>
      </c>
      <c r="C26" s="762">
        <v>370.74900000000002</v>
      </c>
      <c r="D26" s="762">
        <v>375.00700000000001</v>
      </c>
      <c r="E26" s="200">
        <v>4.2569999999999997</v>
      </c>
      <c r="G26" s="2335" t="s">
        <v>481</v>
      </c>
      <c r="H26" s="126" t="s">
        <v>862</v>
      </c>
      <c r="I26" s="792">
        <v>-36.167999999999999</v>
      </c>
      <c r="J26" s="792">
        <v>-36.054000000000002</v>
      </c>
      <c r="K26" s="793">
        <v>0.114</v>
      </c>
      <c r="M26" s="791" t="s">
        <v>482</v>
      </c>
      <c r="N26" s="126" t="s">
        <v>862</v>
      </c>
      <c r="O26" s="792">
        <v>-461.61</v>
      </c>
      <c r="P26" s="792">
        <v>-505.43799999999999</v>
      </c>
      <c r="Q26" s="793">
        <v>-43.828000000000003</v>
      </c>
    </row>
    <row r="27" spans="1:17">
      <c r="A27" s="2337"/>
      <c r="B27" s="369" t="s">
        <v>467</v>
      </c>
      <c r="C27" s="764">
        <v>-126.081</v>
      </c>
      <c r="D27" s="764">
        <v>-130.63300000000001</v>
      </c>
      <c r="E27" s="371">
        <v>-4.5519999999999996</v>
      </c>
      <c r="G27" s="2336"/>
      <c r="H27" s="129" t="s">
        <v>466</v>
      </c>
      <c r="I27" s="762">
        <v>91.593000000000004</v>
      </c>
      <c r="J27" s="762">
        <v>89.795000000000002</v>
      </c>
      <c r="K27" s="200">
        <v>-1.7969999999999999</v>
      </c>
      <c r="M27" s="794"/>
      <c r="N27" s="129" t="s">
        <v>466</v>
      </c>
      <c r="O27" s="762">
        <v>436.88099999999997</v>
      </c>
      <c r="P27" s="762">
        <v>526.41700000000003</v>
      </c>
      <c r="Q27" s="200">
        <v>89.536000000000001</v>
      </c>
    </row>
    <row r="28" spans="1:17">
      <c r="A28" s="2335" t="s">
        <v>483</v>
      </c>
      <c r="B28" s="126" t="s">
        <v>862</v>
      </c>
      <c r="C28" s="792">
        <v>0</v>
      </c>
      <c r="D28" s="792">
        <v>24.6</v>
      </c>
      <c r="E28" s="793">
        <v>24.6</v>
      </c>
      <c r="G28" s="2337"/>
      <c r="H28" s="369" t="s">
        <v>467</v>
      </c>
      <c r="I28" s="764">
        <v>55.424999999999997</v>
      </c>
      <c r="J28" s="764">
        <v>53.741</v>
      </c>
      <c r="K28" s="371">
        <v>-1.6839999999999999</v>
      </c>
      <c r="M28" s="795"/>
      <c r="N28" s="369" t="s">
        <v>467</v>
      </c>
      <c r="O28" s="764">
        <v>-24.728999999999999</v>
      </c>
      <c r="P28" s="764">
        <v>20.978999999999999</v>
      </c>
      <c r="Q28" s="371">
        <v>45.707999999999998</v>
      </c>
    </row>
    <row r="29" spans="1:17">
      <c r="A29" s="2336"/>
      <c r="B29" s="129" t="s">
        <v>466</v>
      </c>
      <c r="C29" s="762">
        <v>186.774</v>
      </c>
      <c r="D29" s="762">
        <v>243.74799999999999</v>
      </c>
      <c r="E29" s="200">
        <v>56.973999999999997</v>
      </c>
      <c r="G29" s="2335" t="s">
        <v>484</v>
      </c>
      <c r="H29" s="126" t="s">
        <v>862</v>
      </c>
      <c r="I29" s="792">
        <v>-1827.646</v>
      </c>
      <c r="J29" s="792">
        <v>-1840.6010000000001</v>
      </c>
      <c r="K29" s="793">
        <v>-12.955</v>
      </c>
      <c r="M29" s="791" t="s">
        <v>485</v>
      </c>
      <c r="N29" s="126" t="s">
        <v>862</v>
      </c>
      <c r="O29" s="792">
        <v>-6.1909999999999998</v>
      </c>
      <c r="P29" s="792">
        <v>0</v>
      </c>
      <c r="Q29" s="793">
        <v>6.1909999999999998</v>
      </c>
    </row>
    <row r="30" spans="1:17">
      <c r="A30" s="2337"/>
      <c r="B30" s="369" t="s">
        <v>467</v>
      </c>
      <c r="C30" s="764">
        <v>186.774</v>
      </c>
      <c r="D30" s="764">
        <v>268.34800000000001</v>
      </c>
      <c r="E30" s="371">
        <v>81.573999999999998</v>
      </c>
      <c r="G30" s="2336"/>
      <c r="H30" s="129" t="s">
        <v>466</v>
      </c>
      <c r="I30" s="762">
        <v>883.31799999999998</v>
      </c>
      <c r="J30" s="762">
        <v>956.27800000000002</v>
      </c>
      <c r="K30" s="200">
        <v>72.959999999999994</v>
      </c>
      <c r="M30" s="794"/>
      <c r="N30" s="129" t="s">
        <v>466</v>
      </c>
      <c r="O30" s="762">
        <v>148.149</v>
      </c>
      <c r="P30" s="762">
        <v>81.872</v>
      </c>
      <c r="Q30" s="200">
        <v>-66.277000000000001</v>
      </c>
    </row>
    <row r="31" spans="1:17">
      <c r="A31" s="2335" t="s">
        <v>486</v>
      </c>
      <c r="B31" s="126" t="s">
        <v>862</v>
      </c>
      <c r="C31" s="792">
        <v>-72.385000000000005</v>
      </c>
      <c r="D31" s="792">
        <v>-75.38</v>
      </c>
      <c r="E31" s="793">
        <v>-2.996</v>
      </c>
      <c r="G31" s="2337"/>
      <c r="H31" s="369" t="s">
        <v>467</v>
      </c>
      <c r="I31" s="764">
        <v>-944.32799999999997</v>
      </c>
      <c r="J31" s="764">
        <v>-884.32299999999998</v>
      </c>
      <c r="K31" s="371">
        <v>60.005000000000003</v>
      </c>
      <c r="M31" s="795"/>
      <c r="N31" s="369" t="s">
        <v>467</v>
      </c>
      <c r="O31" s="764">
        <v>141.958</v>
      </c>
      <c r="P31" s="764">
        <v>81.872</v>
      </c>
      <c r="Q31" s="371">
        <v>-60.085999999999999</v>
      </c>
    </row>
    <row r="32" spans="1:17">
      <c r="A32" s="2336"/>
      <c r="B32" s="129" t="s">
        <v>466</v>
      </c>
      <c r="C32" s="762">
        <v>67.438999999999993</v>
      </c>
      <c r="D32" s="762">
        <v>68.683999999999997</v>
      </c>
      <c r="E32" s="200">
        <v>1.2450000000000001</v>
      </c>
      <c r="G32" s="2335" t="s">
        <v>487</v>
      </c>
      <c r="H32" s="126" t="s">
        <v>862</v>
      </c>
      <c r="I32" s="792">
        <v>-0.28000000000000003</v>
      </c>
      <c r="J32" s="792">
        <v>0</v>
      </c>
      <c r="K32" s="793">
        <v>0.28000000000000003</v>
      </c>
      <c r="M32" s="791" t="s">
        <v>488</v>
      </c>
      <c r="N32" s="126" t="s">
        <v>862</v>
      </c>
      <c r="O32" s="792">
        <v>-42.887</v>
      </c>
      <c r="P32" s="792">
        <v>-42.197000000000003</v>
      </c>
      <c r="Q32" s="793">
        <v>0.69</v>
      </c>
    </row>
    <row r="33" spans="1:17">
      <c r="A33" s="2337"/>
      <c r="B33" s="369" t="s">
        <v>467</v>
      </c>
      <c r="C33" s="764">
        <v>-4.9450000000000003</v>
      </c>
      <c r="D33" s="764">
        <v>-6.6959999999999997</v>
      </c>
      <c r="E33" s="371">
        <v>-1.7509999999999999</v>
      </c>
      <c r="G33" s="2336"/>
      <c r="H33" s="129" t="s">
        <v>466</v>
      </c>
      <c r="I33" s="762">
        <v>131.149</v>
      </c>
      <c r="J33" s="762">
        <v>146.88499999999999</v>
      </c>
      <c r="K33" s="200">
        <v>15.736000000000001</v>
      </c>
      <c r="M33" s="794"/>
      <c r="N33" s="129" t="s">
        <v>466</v>
      </c>
      <c r="O33" s="762">
        <v>181.518</v>
      </c>
      <c r="P33" s="762">
        <v>159.41</v>
      </c>
      <c r="Q33" s="200">
        <v>-22.108000000000001</v>
      </c>
    </row>
    <row r="34" spans="1:17">
      <c r="A34" s="2335" t="s">
        <v>489</v>
      </c>
      <c r="B34" s="126" t="s">
        <v>862</v>
      </c>
      <c r="C34" s="792">
        <v>-261.44799999999998</v>
      </c>
      <c r="D34" s="792">
        <v>-260.798</v>
      </c>
      <c r="E34" s="793">
        <v>0.65</v>
      </c>
      <c r="G34" s="2337"/>
      <c r="H34" s="369" t="s">
        <v>467</v>
      </c>
      <c r="I34" s="764">
        <v>130.869</v>
      </c>
      <c r="J34" s="764">
        <v>146.88499999999999</v>
      </c>
      <c r="K34" s="371">
        <v>16.015999999999998</v>
      </c>
      <c r="M34" s="795"/>
      <c r="N34" s="369" t="s">
        <v>467</v>
      </c>
      <c r="O34" s="764">
        <v>138.63200000000001</v>
      </c>
      <c r="P34" s="764">
        <v>117.21299999999999</v>
      </c>
      <c r="Q34" s="371">
        <v>-21.417999999999999</v>
      </c>
    </row>
    <row r="35" spans="1:17">
      <c r="A35" s="2336"/>
      <c r="B35" s="129" t="s">
        <v>466</v>
      </c>
      <c r="C35" s="762">
        <v>104.608</v>
      </c>
      <c r="D35" s="762">
        <v>106.53100000000001</v>
      </c>
      <c r="E35" s="200">
        <v>1.923</v>
      </c>
      <c r="G35" s="2335" t="s">
        <v>490</v>
      </c>
      <c r="H35" s="126" t="s">
        <v>862</v>
      </c>
      <c r="I35" s="792">
        <v>-9.2509999999999994</v>
      </c>
      <c r="J35" s="792">
        <v>-4.2039999999999997</v>
      </c>
      <c r="K35" s="793">
        <v>5.0469999999999997</v>
      </c>
      <c r="M35" s="791" t="s">
        <v>491</v>
      </c>
      <c r="N35" s="126" t="s">
        <v>862</v>
      </c>
      <c r="O35" s="792">
        <v>-981.30100000000004</v>
      </c>
      <c r="P35" s="792">
        <v>-1021.3869999999999</v>
      </c>
      <c r="Q35" s="793">
        <v>-40.087000000000003</v>
      </c>
    </row>
    <row r="36" spans="1:17">
      <c r="A36" s="2337"/>
      <c r="B36" s="369" t="s">
        <v>467</v>
      </c>
      <c r="C36" s="764">
        <v>-156.84</v>
      </c>
      <c r="D36" s="764">
        <v>-154.267</v>
      </c>
      <c r="E36" s="371">
        <v>2.573</v>
      </c>
      <c r="G36" s="2336"/>
      <c r="H36" s="129" t="s">
        <v>466</v>
      </c>
      <c r="I36" s="762">
        <v>133.66800000000001</v>
      </c>
      <c r="J36" s="762">
        <v>177.71600000000001</v>
      </c>
      <c r="K36" s="200">
        <v>44.048000000000002</v>
      </c>
      <c r="M36" s="794"/>
      <c r="N36" s="129" t="s">
        <v>466</v>
      </c>
      <c r="O36" s="762">
        <v>550.58000000000004</v>
      </c>
      <c r="P36" s="762">
        <v>440.30200000000002</v>
      </c>
      <c r="Q36" s="200">
        <v>-110.27800000000001</v>
      </c>
    </row>
    <row r="37" spans="1:17">
      <c r="A37" s="2335" t="s">
        <v>492</v>
      </c>
      <c r="B37" s="126" t="s">
        <v>862</v>
      </c>
      <c r="C37" s="792">
        <v>-5.9249999999999998</v>
      </c>
      <c r="D37" s="792">
        <v>-6.7270000000000003</v>
      </c>
      <c r="E37" s="793">
        <v>-0.80200000000000005</v>
      </c>
      <c r="G37" s="2337"/>
      <c r="H37" s="369" t="s">
        <v>467</v>
      </c>
      <c r="I37" s="764">
        <v>124.416</v>
      </c>
      <c r="J37" s="764">
        <v>173.512</v>
      </c>
      <c r="K37" s="371">
        <v>49.095999999999997</v>
      </c>
      <c r="M37" s="795"/>
      <c r="N37" s="369" t="s">
        <v>467</v>
      </c>
      <c r="O37" s="764">
        <v>-430.721</v>
      </c>
      <c r="P37" s="764">
        <v>-581.08600000000001</v>
      </c>
      <c r="Q37" s="371">
        <v>-150.36500000000001</v>
      </c>
    </row>
    <row r="38" spans="1:17">
      <c r="A38" s="2336"/>
      <c r="B38" s="129" t="s">
        <v>466</v>
      </c>
      <c r="C38" s="762">
        <v>838.44500000000005</v>
      </c>
      <c r="D38" s="762">
        <v>814.30200000000002</v>
      </c>
      <c r="E38" s="200">
        <v>-24.143000000000001</v>
      </c>
      <c r="G38" s="2335" t="s">
        <v>493</v>
      </c>
      <c r="H38" s="126" t="s">
        <v>862</v>
      </c>
      <c r="I38" s="792">
        <v>-13.816000000000001</v>
      </c>
      <c r="J38" s="792">
        <v>-11.186</v>
      </c>
      <c r="K38" s="793">
        <v>2.63</v>
      </c>
      <c r="M38" s="791" t="s">
        <v>494</v>
      </c>
      <c r="N38" s="126" t="s">
        <v>862</v>
      </c>
      <c r="O38" s="792">
        <v>-1645.174</v>
      </c>
      <c r="P38" s="792">
        <v>-1692.492</v>
      </c>
      <c r="Q38" s="793">
        <v>-47.317999999999998</v>
      </c>
    </row>
    <row r="39" spans="1:17">
      <c r="A39" s="2337"/>
      <c r="B39" s="369" t="s">
        <v>467</v>
      </c>
      <c r="C39" s="764">
        <v>832.52</v>
      </c>
      <c r="D39" s="764">
        <v>807.57600000000002</v>
      </c>
      <c r="E39" s="371">
        <v>-24.943999999999999</v>
      </c>
      <c r="G39" s="2336"/>
      <c r="H39" s="129" t="s">
        <v>466</v>
      </c>
      <c r="I39" s="762">
        <v>95.906999999999996</v>
      </c>
      <c r="J39" s="762">
        <v>91.945999999999998</v>
      </c>
      <c r="K39" s="200">
        <v>-3.9609999999999999</v>
      </c>
      <c r="M39" s="794"/>
      <c r="N39" s="129" t="s">
        <v>466</v>
      </c>
      <c r="O39" s="762">
        <v>1131.4680000000001</v>
      </c>
      <c r="P39" s="762">
        <v>1163.951</v>
      </c>
      <c r="Q39" s="200">
        <v>32.482999999999997</v>
      </c>
    </row>
    <row r="40" spans="1:17">
      <c r="A40" s="2335" t="s">
        <v>495</v>
      </c>
      <c r="B40" s="126" t="s">
        <v>862</v>
      </c>
      <c r="C40" s="792">
        <v>-868.55100000000004</v>
      </c>
      <c r="D40" s="792">
        <v>-922.99900000000002</v>
      </c>
      <c r="E40" s="793">
        <v>-54.448</v>
      </c>
      <c r="G40" s="2337"/>
      <c r="H40" s="369" t="s">
        <v>467</v>
      </c>
      <c r="I40" s="764">
        <v>82.090999999999994</v>
      </c>
      <c r="J40" s="764">
        <v>80.760000000000005</v>
      </c>
      <c r="K40" s="371">
        <v>-1.331</v>
      </c>
      <c r="M40" s="795"/>
      <c r="N40" s="369" t="s">
        <v>467</v>
      </c>
      <c r="O40" s="764">
        <v>-513.70600000000002</v>
      </c>
      <c r="P40" s="764">
        <v>-528.54100000000005</v>
      </c>
      <c r="Q40" s="371">
        <v>-14.835000000000001</v>
      </c>
    </row>
    <row r="41" spans="1:17">
      <c r="A41" s="2336"/>
      <c r="B41" s="129" t="s">
        <v>466</v>
      </c>
      <c r="C41" s="762">
        <v>539.22299999999996</v>
      </c>
      <c r="D41" s="762">
        <v>596.42999999999995</v>
      </c>
      <c r="E41" s="200">
        <v>57.207999999999998</v>
      </c>
      <c r="G41" s="2335" t="s">
        <v>496</v>
      </c>
      <c r="H41" s="126" t="s">
        <v>862</v>
      </c>
      <c r="I41" s="792">
        <v>-4.1000000000000002E-2</v>
      </c>
      <c r="J41" s="792">
        <v>0</v>
      </c>
      <c r="K41" s="793">
        <v>4.1000000000000002E-2</v>
      </c>
      <c r="M41" s="804" t="s">
        <v>910</v>
      </c>
      <c r="N41" s="164" t="s">
        <v>862</v>
      </c>
      <c r="O41" s="805">
        <v>-10218.727999999999</v>
      </c>
      <c r="P41" s="805">
        <v>-10307.492</v>
      </c>
      <c r="Q41" s="806">
        <v>-88.763999999999996</v>
      </c>
    </row>
    <row r="42" spans="1:17">
      <c r="A42" s="2337"/>
      <c r="B42" s="369" t="s">
        <v>467</v>
      </c>
      <c r="C42" s="764">
        <v>-329.32799999999997</v>
      </c>
      <c r="D42" s="764">
        <v>-326.56799999999998</v>
      </c>
      <c r="E42" s="371">
        <v>2.76</v>
      </c>
      <c r="G42" s="2336"/>
      <c r="H42" s="129" t="s">
        <v>466</v>
      </c>
      <c r="I42" s="762">
        <v>60.512999999999998</v>
      </c>
      <c r="J42" s="762">
        <v>54.668999999999997</v>
      </c>
      <c r="K42" s="200">
        <v>-5.8440000000000003</v>
      </c>
      <c r="M42" s="807"/>
      <c r="N42" s="131" t="s">
        <v>466</v>
      </c>
      <c r="O42" s="763">
        <v>7890.2349999999997</v>
      </c>
      <c r="P42" s="763">
        <v>8114.9769999999999</v>
      </c>
      <c r="Q42" s="202">
        <v>224.74199999999999</v>
      </c>
    </row>
    <row r="43" spans="1:17">
      <c r="A43" s="2335" t="s">
        <v>497</v>
      </c>
      <c r="B43" s="126" t="s">
        <v>862</v>
      </c>
      <c r="C43" s="792">
        <v>-151.43</v>
      </c>
      <c r="D43" s="792">
        <v>-151.011</v>
      </c>
      <c r="E43" s="793">
        <v>0.41899999999999998</v>
      </c>
      <c r="G43" s="2337"/>
      <c r="H43" s="369" t="s">
        <v>467</v>
      </c>
      <c r="I43" s="764">
        <v>60.472000000000001</v>
      </c>
      <c r="J43" s="764">
        <v>54.668999999999997</v>
      </c>
      <c r="K43" s="371">
        <v>-5.8029999999999999</v>
      </c>
      <c r="M43" s="808"/>
      <c r="N43" s="132" t="s">
        <v>467</v>
      </c>
      <c r="O43" s="809">
        <v>-2328.4929999999999</v>
      </c>
      <c r="P43" s="809">
        <v>-2192.5149999999999</v>
      </c>
      <c r="Q43" s="210">
        <v>135.97800000000001</v>
      </c>
    </row>
    <row r="44" spans="1:17">
      <c r="A44" s="2336"/>
      <c r="B44" s="129" t="s">
        <v>466</v>
      </c>
      <c r="C44" s="762">
        <v>69.992000000000004</v>
      </c>
      <c r="D44" s="762">
        <v>64.558999999999997</v>
      </c>
      <c r="E44" s="200">
        <v>-5.4329999999999998</v>
      </c>
      <c r="G44" s="2335" t="s">
        <v>498</v>
      </c>
      <c r="H44" s="126" t="s">
        <v>862</v>
      </c>
      <c r="I44" s="792">
        <v>-54.287999999999997</v>
      </c>
      <c r="J44" s="792">
        <v>-41.491999999999997</v>
      </c>
      <c r="K44" s="793">
        <v>12.795999999999999</v>
      </c>
      <c r="M44" s="791" t="s">
        <v>499</v>
      </c>
      <c r="N44" s="126" t="s">
        <v>862</v>
      </c>
      <c r="O44" s="792">
        <v>-683.69399999999996</v>
      </c>
      <c r="P44" s="792">
        <v>-684.56799999999998</v>
      </c>
      <c r="Q44" s="793">
        <v>-0.874</v>
      </c>
    </row>
    <row r="45" spans="1:17">
      <c r="A45" s="2337"/>
      <c r="B45" s="369" t="s">
        <v>467</v>
      </c>
      <c r="C45" s="764">
        <v>-81.438000000000002</v>
      </c>
      <c r="D45" s="764">
        <v>-86.451999999999998</v>
      </c>
      <c r="E45" s="371">
        <v>-5.0140000000000002</v>
      </c>
      <c r="G45" s="2336"/>
      <c r="H45" s="129" t="s">
        <v>466</v>
      </c>
      <c r="I45" s="762">
        <v>445.423</v>
      </c>
      <c r="J45" s="762">
        <v>449.44</v>
      </c>
      <c r="K45" s="200">
        <v>4.016</v>
      </c>
      <c r="M45" s="794"/>
      <c r="N45" s="129" t="s">
        <v>466</v>
      </c>
      <c r="O45" s="762">
        <v>316.58600000000001</v>
      </c>
      <c r="P45" s="762">
        <v>322.298</v>
      </c>
      <c r="Q45" s="200">
        <v>5.7110000000000003</v>
      </c>
    </row>
    <row r="46" spans="1:17">
      <c r="A46" s="2335" t="s">
        <v>500</v>
      </c>
      <c r="B46" s="126" t="s">
        <v>862</v>
      </c>
      <c r="C46" s="792">
        <v>-230.39099999999999</v>
      </c>
      <c r="D46" s="792">
        <v>-230.25299999999999</v>
      </c>
      <c r="E46" s="793">
        <v>0.13800000000000001</v>
      </c>
      <c r="G46" s="2337"/>
      <c r="H46" s="369" t="s">
        <v>467</v>
      </c>
      <c r="I46" s="764">
        <v>391.13499999999999</v>
      </c>
      <c r="J46" s="764">
        <v>407.94799999999998</v>
      </c>
      <c r="K46" s="371">
        <v>16.812999999999999</v>
      </c>
      <c r="M46" s="795"/>
      <c r="N46" s="369" t="s">
        <v>467</v>
      </c>
      <c r="O46" s="764">
        <v>-367.108</v>
      </c>
      <c r="P46" s="764">
        <v>-362.27</v>
      </c>
      <c r="Q46" s="371">
        <v>4.8380000000000001</v>
      </c>
    </row>
    <row r="47" spans="1:17">
      <c r="A47" s="2336"/>
      <c r="B47" s="129" t="s">
        <v>466</v>
      </c>
      <c r="C47" s="762">
        <v>383.54700000000003</v>
      </c>
      <c r="D47" s="762">
        <v>389.11799999999999</v>
      </c>
      <c r="E47" s="200">
        <v>5.5709999999999997</v>
      </c>
      <c r="G47" s="2335" t="s">
        <v>501</v>
      </c>
      <c r="H47" s="126" t="s">
        <v>862</v>
      </c>
      <c r="I47" s="792">
        <v>-730.30200000000002</v>
      </c>
      <c r="J47" s="792">
        <v>-713.1</v>
      </c>
      <c r="K47" s="793">
        <v>17.202000000000002</v>
      </c>
      <c r="M47" s="791" t="s">
        <v>502</v>
      </c>
      <c r="N47" s="126" t="s">
        <v>862</v>
      </c>
      <c r="O47" s="792">
        <v>-1842.261</v>
      </c>
      <c r="P47" s="792">
        <v>-1826.077</v>
      </c>
      <c r="Q47" s="793">
        <v>16.184000000000001</v>
      </c>
    </row>
    <row r="48" spans="1:17">
      <c r="A48" s="2337"/>
      <c r="B48" s="369" t="s">
        <v>467</v>
      </c>
      <c r="C48" s="764">
        <v>153.155</v>
      </c>
      <c r="D48" s="764">
        <v>158.864</v>
      </c>
      <c r="E48" s="371">
        <v>5.7089999999999996</v>
      </c>
      <c r="G48" s="2336"/>
      <c r="H48" s="129" t="s">
        <v>466</v>
      </c>
      <c r="I48" s="762">
        <v>504.15199999999999</v>
      </c>
      <c r="J48" s="762">
        <v>535.83900000000006</v>
      </c>
      <c r="K48" s="200">
        <v>31.687000000000001</v>
      </c>
      <c r="M48" s="794"/>
      <c r="N48" s="129" t="s">
        <v>466</v>
      </c>
      <c r="O48" s="762">
        <v>1381.105</v>
      </c>
      <c r="P48" s="762">
        <v>1419.6980000000001</v>
      </c>
      <c r="Q48" s="200">
        <v>38.593000000000004</v>
      </c>
    </row>
    <row r="49" spans="1:17">
      <c r="A49" s="2335" t="s">
        <v>503</v>
      </c>
      <c r="B49" s="126" t="s">
        <v>862</v>
      </c>
      <c r="C49" s="792">
        <v>-10.72</v>
      </c>
      <c r="D49" s="792">
        <v>-10.659000000000001</v>
      </c>
      <c r="E49" s="793">
        <v>6.0999999999999999E-2</v>
      </c>
      <c r="G49" s="2337"/>
      <c r="H49" s="369" t="s">
        <v>467</v>
      </c>
      <c r="I49" s="764">
        <v>-226.15</v>
      </c>
      <c r="J49" s="764">
        <v>-177.261</v>
      </c>
      <c r="K49" s="371">
        <v>48.889000000000003</v>
      </c>
      <c r="M49" s="795"/>
      <c r="N49" s="369" t="s">
        <v>467</v>
      </c>
      <c r="O49" s="764">
        <v>-461.15600000000001</v>
      </c>
      <c r="P49" s="764">
        <v>-406.37799999999999</v>
      </c>
      <c r="Q49" s="371">
        <v>54.777999999999999</v>
      </c>
    </row>
    <row r="50" spans="1:17">
      <c r="A50" s="2336"/>
      <c r="B50" s="129" t="s">
        <v>466</v>
      </c>
      <c r="C50" s="762">
        <v>257.036</v>
      </c>
      <c r="D50" s="762">
        <v>251.905</v>
      </c>
      <c r="E50" s="200">
        <v>-5.1310000000000002</v>
      </c>
      <c r="G50" s="2335" t="s">
        <v>504</v>
      </c>
      <c r="H50" s="126" t="s">
        <v>862</v>
      </c>
      <c r="I50" s="792">
        <v>-602.48699999999997</v>
      </c>
      <c r="J50" s="792">
        <v>-614.69000000000005</v>
      </c>
      <c r="K50" s="793">
        <v>-12.202999999999999</v>
      </c>
      <c r="M50" s="791" t="s">
        <v>505</v>
      </c>
      <c r="N50" s="126" t="s">
        <v>862</v>
      </c>
      <c r="O50" s="792">
        <v>-1008.005</v>
      </c>
      <c r="P50" s="792">
        <v>-991.92899999999997</v>
      </c>
      <c r="Q50" s="793">
        <v>16.077000000000002</v>
      </c>
    </row>
    <row r="51" spans="1:17">
      <c r="A51" s="2337"/>
      <c r="B51" s="369" t="s">
        <v>467</v>
      </c>
      <c r="C51" s="764">
        <v>246.316</v>
      </c>
      <c r="D51" s="764">
        <v>241.24600000000001</v>
      </c>
      <c r="E51" s="371">
        <v>-5.07</v>
      </c>
      <c r="G51" s="2336"/>
      <c r="H51" s="129" t="s">
        <v>466</v>
      </c>
      <c r="I51" s="762">
        <v>560.601</v>
      </c>
      <c r="J51" s="762">
        <v>595.89599999999996</v>
      </c>
      <c r="K51" s="200">
        <v>35.295000000000002</v>
      </c>
      <c r="M51" s="794"/>
      <c r="N51" s="129" t="s">
        <v>466</v>
      </c>
      <c r="O51" s="762">
        <v>676.57100000000003</v>
      </c>
      <c r="P51" s="762">
        <v>690.54100000000005</v>
      </c>
      <c r="Q51" s="200">
        <v>13.968999999999999</v>
      </c>
    </row>
    <row r="52" spans="1:17">
      <c r="A52" s="2335" t="s">
        <v>506</v>
      </c>
      <c r="B52" s="126" t="s">
        <v>862</v>
      </c>
      <c r="C52" s="792">
        <v>-3217.4140000000002</v>
      </c>
      <c r="D52" s="792">
        <v>-3218.6289999999999</v>
      </c>
      <c r="E52" s="793">
        <v>-1.2150000000000001</v>
      </c>
      <c r="G52" s="2337"/>
      <c r="H52" s="369" t="s">
        <v>467</v>
      </c>
      <c r="I52" s="764">
        <v>-41.886000000000003</v>
      </c>
      <c r="J52" s="764">
        <v>-18.794</v>
      </c>
      <c r="K52" s="371">
        <v>23.091999999999999</v>
      </c>
      <c r="M52" s="795"/>
      <c r="N52" s="369" t="s">
        <v>467</v>
      </c>
      <c r="O52" s="764">
        <v>-331.43400000000003</v>
      </c>
      <c r="P52" s="764">
        <v>-301.38799999999998</v>
      </c>
      <c r="Q52" s="371">
        <v>30.045999999999999</v>
      </c>
    </row>
    <row r="53" spans="1:17">
      <c r="A53" s="2336"/>
      <c r="B53" s="129" t="s">
        <v>466</v>
      </c>
      <c r="C53" s="762">
        <v>2220.5990000000002</v>
      </c>
      <c r="D53" s="762">
        <v>2199.4760000000001</v>
      </c>
      <c r="E53" s="200">
        <v>-21.123000000000001</v>
      </c>
      <c r="G53" s="2335" t="s">
        <v>507</v>
      </c>
      <c r="H53" s="126" t="s">
        <v>862</v>
      </c>
      <c r="I53" s="792">
        <v>-75.77</v>
      </c>
      <c r="J53" s="792">
        <v>-86.212000000000003</v>
      </c>
      <c r="K53" s="793">
        <v>-10.442</v>
      </c>
      <c r="M53" s="791" t="s">
        <v>508</v>
      </c>
      <c r="N53" s="126" t="s">
        <v>862</v>
      </c>
      <c r="O53" s="792">
        <v>-2169.1819999999998</v>
      </c>
      <c r="P53" s="792">
        <v>-2158.6390000000001</v>
      </c>
      <c r="Q53" s="793">
        <v>10.542999999999999</v>
      </c>
    </row>
    <row r="54" spans="1:17">
      <c r="A54" s="2337"/>
      <c r="B54" s="369" t="s">
        <v>467</v>
      </c>
      <c r="C54" s="764">
        <v>-996.81399999999996</v>
      </c>
      <c r="D54" s="764">
        <v>-1019.153</v>
      </c>
      <c r="E54" s="371">
        <v>-22.338000000000001</v>
      </c>
      <c r="G54" s="2336"/>
      <c r="H54" s="129" t="s">
        <v>466</v>
      </c>
      <c r="I54" s="762">
        <v>308.34399999999999</v>
      </c>
      <c r="J54" s="762">
        <v>333.33699999999999</v>
      </c>
      <c r="K54" s="200">
        <v>24.992999999999999</v>
      </c>
      <c r="M54" s="794"/>
      <c r="N54" s="129" t="s">
        <v>466</v>
      </c>
      <c r="O54" s="762">
        <v>1411.529</v>
      </c>
      <c r="P54" s="762">
        <v>1432.123</v>
      </c>
      <c r="Q54" s="200">
        <v>20.593</v>
      </c>
    </row>
    <row r="55" spans="1:17">
      <c r="A55" s="2335" t="s">
        <v>509</v>
      </c>
      <c r="B55" s="126" t="s">
        <v>862</v>
      </c>
      <c r="C55" s="792">
        <v>-697.67899999999997</v>
      </c>
      <c r="D55" s="792">
        <v>-705.71699999999998</v>
      </c>
      <c r="E55" s="793">
        <v>-8.0370000000000008</v>
      </c>
      <c r="G55" s="2337"/>
      <c r="H55" s="369" t="s">
        <v>467</v>
      </c>
      <c r="I55" s="764">
        <v>232.57400000000001</v>
      </c>
      <c r="J55" s="764">
        <v>247.124</v>
      </c>
      <c r="K55" s="371">
        <v>14.551</v>
      </c>
      <c r="M55" s="795"/>
      <c r="N55" s="369" t="s">
        <v>467</v>
      </c>
      <c r="O55" s="764">
        <v>-757.65300000000002</v>
      </c>
      <c r="P55" s="764">
        <v>-726.51599999999996</v>
      </c>
      <c r="Q55" s="371">
        <v>31.137</v>
      </c>
    </row>
    <row r="56" spans="1:17">
      <c r="A56" s="2336"/>
      <c r="B56" s="129" t="s">
        <v>466</v>
      </c>
      <c r="C56" s="762">
        <v>270.34100000000001</v>
      </c>
      <c r="D56" s="762">
        <v>276.66399999999999</v>
      </c>
      <c r="E56" s="200">
        <v>6.3230000000000004</v>
      </c>
      <c r="G56" s="2335" t="s">
        <v>510</v>
      </c>
      <c r="H56" s="126" t="s">
        <v>862</v>
      </c>
      <c r="I56" s="792">
        <v>-357.03199999999998</v>
      </c>
      <c r="J56" s="792">
        <v>-356</v>
      </c>
      <c r="K56" s="793">
        <v>1.032</v>
      </c>
      <c r="M56" s="791" t="s">
        <v>511</v>
      </c>
      <c r="N56" s="126" t="s">
        <v>466</v>
      </c>
      <c r="O56" s="792">
        <v>44.348999999999997</v>
      </c>
      <c r="P56" s="792">
        <v>18.797000000000001</v>
      </c>
      <c r="Q56" s="793">
        <v>-25.552</v>
      </c>
    </row>
    <row r="57" spans="1:17">
      <c r="A57" s="2337"/>
      <c r="B57" s="369" t="s">
        <v>467</v>
      </c>
      <c r="C57" s="764">
        <v>-427.33800000000002</v>
      </c>
      <c r="D57" s="764">
        <v>-429.053</v>
      </c>
      <c r="E57" s="371">
        <v>-1.714</v>
      </c>
      <c r="G57" s="2336"/>
      <c r="H57" s="129" t="s">
        <v>466</v>
      </c>
      <c r="I57" s="762">
        <v>314.58699999999999</v>
      </c>
      <c r="J57" s="762">
        <v>327.98700000000002</v>
      </c>
      <c r="K57" s="200">
        <v>13.398999999999999</v>
      </c>
      <c r="M57" s="795"/>
      <c r="N57" s="369" t="s">
        <v>467</v>
      </c>
      <c r="O57" s="764">
        <v>44.348999999999997</v>
      </c>
      <c r="P57" s="764">
        <v>18.797000000000001</v>
      </c>
      <c r="Q57" s="371">
        <v>-25.552</v>
      </c>
    </row>
    <row r="58" spans="1:17">
      <c r="A58" s="2335" t="s">
        <v>512</v>
      </c>
      <c r="B58" s="126" t="s">
        <v>862</v>
      </c>
      <c r="C58" s="792">
        <v>-575.86</v>
      </c>
      <c r="D58" s="792">
        <v>-568.11900000000003</v>
      </c>
      <c r="E58" s="793">
        <v>7.7409999999999997</v>
      </c>
      <c r="G58" s="2337"/>
      <c r="H58" s="369" t="s">
        <v>467</v>
      </c>
      <c r="I58" s="764">
        <v>-42.445</v>
      </c>
      <c r="J58" s="764">
        <v>-28.013000000000002</v>
      </c>
      <c r="K58" s="371">
        <v>14.432</v>
      </c>
      <c r="M58" s="2332" t="s">
        <v>914</v>
      </c>
      <c r="N58" s="164" t="s">
        <v>862</v>
      </c>
      <c r="O58" s="805">
        <v>-5703.1419999999998</v>
      </c>
      <c r="P58" s="805">
        <v>-5661.2120000000004</v>
      </c>
      <c r="Q58" s="806">
        <v>41.930999999999997</v>
      </c>
    </row>
    <row r="59" spans="1:17">
      <c r="A59" s="2336"/>
      <c r="B59" s="129" t="s">
        <v>466</v>
      </c>
      <c r="C59" s="762">
        <v>441.75</v>
      </c>
      <c r="D59" s="762">
        <v>472.42099999999999</v>
      </c>
      <c r="E59" s="200">
        <v>30.670999999999999</v>
      </c>
      <c r="G59" s="2332" t="s">
        <v>909</v>
      </c>
      <c r="H59" s="164" t="s">
        <v>862</v>
      </c>
      <c r="I59" s="805">
        <v>-8204.2579999999998</v>
      </c>
      <c r="J59" s="805">
        <v>-8289.357</v>
      </c>
      <c r="K59" s="806">
        <v>-85.099000000000004</v>
      </c>
      <c r="M59" s="2333"/>
      <c r="N59" s="131" t="s">
        <v>466</v>
      </c>
      <c r="O59" s="763">
        <v>3830.1410000000001</v>
      </c>
      <c r="P59" s="763">
        <v>3883.4560000000001</v>
      </c>
      <c r="Q59" s="202">
        <v>53.314999999999998</v>
      </c>
    </row>
    <row r="60" spans="1:17">
      <c r="A60" s="2337"/>
      <c r="B60" s="369" t="s">
        <v>467</v>
      </c>
      <c r="C60" s="764">
        <v>-134.11000000000001</v>
      </c>
      <c r="D60" s="764">
        <v>-95.697999999999993</v>
      </c>
      <c r="E60" s="371">
        <v>38.411000000000001</v>
      </c>
      <c r="G60" s="2333"/>
      <c r="H60" s="131" t="s">
        <v>466</v>
      </c>
      <c r="I60" s="763">
        <v>7121.29</v>
      </c>
      <c r="J60" s="763">
        <v>7457.2240000000002</v>
      </c>
      <c r="K60" s="202">
        <v>335.93400000000003</v>
      </c>
      <c r="M60" s="2334"/>
      <c r="N60" s="132" t="s">
        <v>467</v>
      </c>
      <c r="O60" s="809">
        <v>-1873.001</v>
      </c>
      <c r="P60" s="809">
        <v>-1777.7560000000001</v>
      </c>
      <c r="Q60" s="210">
        <v>95.245000000000005</v>
      </c>
    </row>
    <row r="61" spans="1:17">
      <c r="A61" s="2332" t="s">
        <v>908</v>
      </c>
      <c r="B61" s="164" t="s">
        <v>862</v>
      </c>
      <c r="C61" s="805">
        <v>-9355.8320000000003</v>
      </c>
      <c r="D61" s="805">
        <v>-9501.866</v>
      </c>
      <c r="E61" s="806">
        <v>-146.03399999999999</v>
      </c>
      <c r="G61" s="2334"/>
      <c r="H61" s="132" t="s">
        <v>467</v>
      </c>
      <c r="I61" s="809">
        <v>-1082.9680000000001</v>
      </c>
      <c r="J61" s="809">
        <v>-832.13300000000004</v>
      </c>
      <c r="K61" s="210">
        <v>250.83500000000001</v>
      </c>
      <c r="M61" s="2332" t="s">
        <v>456</v>
      </c>
      <c r="N61" s="164" t="s">
        <v>862</v>
      </c>
      <c r="O61" s="805">
        <v>-221.01599999999999</v>
      </c>
      <c r="P61" s="805">
        <v>-229.309</v>
      </c>
      <c r="Q61" s="806">
        <v>-8.2919999999999998</v>
      </c>
    </row>
    <row r="62" spans="1:17">
      <c r="A62" s="2333"/>
      <c r="B62" s="131" t="s">
        <v>466</v>
      </c>
      <c r="C62" s="763">
        <v>8531.9500000000007</v>
      </c>
      <c r="D62" s="763">
        <v>8576.39</v>
      </c>
      <c r="E62" s="202">
        <v>44.439</v>
      </c>
      <c r="G62" s="2335" t="s">
        <v>513</v>
      </c>
      <c r="H62" s="126" t="s">
        <v>862</v>
      </c>
      <c r="I62" s="792">
        <v>-604.16</v>
      </c>
      <c r="J62" s="792">
        <v>-727.90700000000004</v>
      </c>
      <c r="K62" s="793">
        <v>-123.747</v>
      </c>
      <c r="M62" s="2333"/>
      <c r="N62" s="131" t="s">
        <v>466</v>
      </c>
      <c r="O62" s="763">
        <v>3063.5949999999998</v>
      </c>
      <c r="P62" s="763">
        <v>2979.674</v>
      </c>
      <c r="Q62" s="202">
        <v>-83.921000000000006</v>
      </c>
    </row>
    <row r="63" spans="1:17">
      <c r="A63" s="2334"/>
      <c r="B63" s="132" t="s">
        <v>467</v>
      </c>
      <c r="C63" s="809">
        <v>-823.88099999999997</v>
      </c>
      <c r="D63" s="809">
        <v>-925.476</v>
      </c>
      <c r="E63" s="210">
        <v>-101.595</v>
      </c>
      <c r="G63" s="2336"/>
      <c r="H63" s="129" t="s">
        <v>466</v>
      </c>
      <c r="I63" s="762">
        <v>432.86399999999998</v>
      </c>
      <c r="J63" s="762">
        <v>521.52200000000005</v>
      </c>
      <c r="K63" s="200">
        <v>88.658000000000001</v>
      </c>
      <c r="M63" s="2333"/>
      <c r="N63" s="131" t="s">
        <v>467</v>
      </c>
      <c r="O63" s="763">
        <v>3056.5790000000002</v>
      </c>
      <c r="P63" s="763">
        <v>2964.3649999999998</v>
      </c>
      <c r="Q63" s="202">
        <v>-92.213999999999999</v>
      </c>
    </row>
    <row r="64" spans="1:17">
      <c r="G64" s="2337"/>
      <c r="H64" s="369" t="s">
        <v>467</v>
      </c>
      <c r="I64" s="764">
        <v>-171.29599999999999</v>
      </c>
      <c r="J64" s="764">
        <v>-206.38499999999999</v>
      </c>
      <c r="K64" s="371">
        <v>-35.088999999999999</v>
      </c>
      <c r="M64" s="2334"/>
      <c r="N64" s="132" t="s">
        <v>514</v>
      </c>
      <c r="O64" s="809">
        <v>214</v>
      </c>
      <c r="P64" s="809">
        <v>214</v>
      </c>
      <c r="Q64" s="210">
        <v>0</v>
      </c>
    </row>
    <row r="65" spans="7:11">
      <c r="G65" s="2335" t="s">
        <v>515</v>
      </c>
      <c r="H65" s="126" t="s">
        <v>862</v>
      </c>
      <c r="I65" s="792">
        <v>-105.265</v>
      </c>
      <c r="J65" s="792">
        <v>-109.477</v>
      </c>
      <c r="K65" s="793">
        <v>-4.2119999999999997</v>
      </c>
    </row>
    <row r="66" spans="7:11">
      <c r="G66" s="2336"/>
      <c r="H66" s="129" t="s">
        <v>466</v>
      </c>
      <c r="I66" s="762">
        <v>313.22300000000001</v>
      </c>
      <c r="J66" s="762">
        <v>259.69799999999998</v>
      </c>
      <c r="K66" s="200">
        <v>-53.524999999999999</v>
      </c>
    </row>
    <row r="67" spans="7:11">
      <c r="G67" s="2337"/>
      <c r="H67" s="369" t="s">
        <v>467</v>
      </c>
      <c r="I67" s="764">
        <v>207.958</v>
      </c>
      <c r="J67" s="764">
        <v>150.22200000000001</v>
      </c>
      <c r="K67" s="371">
        <v>-57.735999999999997</v>
      </c>
    </row>
    <row r="68" spans="7:11">
      <c r="G68" s="2335" t="s">
        <v>516</v>
      </c>
      <c r="H68" s="126" t="s">
        <v>862</v>
      </c>
      <c r="I68" s="792">
        <v>-1001.573</v>
      </c>
      <c r="J68" s="792">
        <v>-999.88199999999995</v>
      </c>
      <c r="K68" s="793">
        <v>1.6910000000000001</v>
      </c>
    </row>
    <row r="69" spans="7:11">
      <c r="G69" s="2336"/>
      <c r="H69" s="129" t="s">
        <v>466</v>
      </c>
      <c r="I69" s="762">
        <v>793.93700000000001</v>
      </c>
      <c r="J69" s="762">
        <v>803.89800000000002</v>
      </c>
      <c r="K69" s="200">
        <v>9.9610000000000003</v>
      </c>
    </row>
    <row r="70" spans="7:11">
      <c r="G70" s="2337"/>
      <c r="H70" s="369" t="s">
        <v>467</v>
      </c>
      <c r="I70" s="764">
        <v>-207.636</v>
      </c>
      <c r="J70" s="764">
        <v>-195.98400000000001</v>
      </c>
      <c r="K70" s="371">
        <v>11.651999999999999</v>
      </c>
    </row>
    <row r="71" spans="7:11">
      <c r="G71" s="2332" t="s">
        <v>915</v>
      </c>
      <c r="H71" s="164" t="s">
        <v>862</v>
      </c>
      <c r="I71" s="805">
        <v>-1710.998</v>
      </c>
      <c r="J71" s="805">
        <v>-1837.2660000000001</v>
      </c>
      <c r="K71" s="806">
        <v>-126.268</v>
      </c>
    </row>
    <row r="72" spans="7:11">
      <c r="G72" s="2333"/>
      <c r="H72" s="131" t="s">
        <v>466</v>
      </c>
      <c r="I72" s="763">
        <v>1540.0229999999999</v>
      </c>
      <c r="J72" s="763">
        <v>1585.1179999999999</v>
      </c>
      <c r="K72" s="202">
        <v>45.094999999999999</v>
      </c>
    </row>
    <row r="73" spans="7:11">
      <c r="G73" s="2334"/>
      <c r="H73" s="132" t="s">
        <v>467</v>
      </c>
      <c r="I73" s="809">
        <v>-170.97399999999999</v>
      </c>
      <c r="J73" s="809">
        <v>-252.148</v>
      </c>
      <c r="K73" s="210">
        <v>-81.173000000000002</v>
      </c>
    </row>
  </sheetData>
  <mergeCells count="42">
    <mergeCell ref="G71:G73"/>
    <mergeCell ref="G44:G46"/>
    <mergeCell ref="A46:A48"/>
    <mergeCell ref="G47:G49"/>
    <mergeCell ref="A43:A45"/>
    <mergeCell ref="G68:G70"/>
    <mergeCell ref="A52:A54"/>
    <mergeCell ref="G50:G52"/>
    <mergeCell ref="G65:G67"/>
    <mergeCell ref="A61:A63"/>
    <mergeCell ref="A49:A51"/>
    <mergeCell ref="A3:Q5"/>
    <mergeCell ref="A11:A13"/>
    <mergeCell ref="G11:G13"/>
    <mergeCell ref="A14:A16"/>
    <mergeCell ref="G14:G16"/>
    <mergeCell ref="A34:A36"/>
    <mergeCell ref="G32:G34"/>
    <mergeCell ref="G35:G37"/>
    <mergeCell ref="A37:A39"/>
    <mergeCell ref="A31:A33"/>
    <mergeCell ref="G29:G31"/>
    <mergeCell ref="G38:G40"/>
    <mergeCell ref="A40:A42"/>
    <mergeCell ref="G41:G43"/>
    <mergeCell ref="A17:A18"/>
    <mergeCell ref="A19:A21"/>
    <mergeCell ref="G17:G19"/>
    <mergeCell ref="G26:G28"/>
    <mergeCell ref="G20:G22"/>
    <mergeCell ref="A22:A24"/>
    <mergeCell ref="G23:G25"/>
    <mergeCell ref="A25:A27"/>
    <mergeCell ref="A28:A30"/>
    <mergeCell ref="M61:M64"/>
    <mergeCell ref="G62:G64"/>
    <mergeCell ref="G56:G58"/>
    <mergeCell ref="A58:A60"/>
    <mergeCell ref="M58:M60"/>
    <mergeCell ref="G59:G61"/>
    <mergeCell ref="A55:A57"/>
    <mergeCell ref="G53:G55"/>
  </mergeCells>
  <phoneticPr fontId="118" type="noConversion"/>
  <pageMargins left="0.70866141732283472" right="0.70866141732283472" top="0.74803149606299213" bottom="0.74803149606299213" header="0.31496062992125984" footer="0.31496062992125984"/>
  <pageSetup paperSize="9" scale="53" orientation="landscape" r:id="rId1"/>
  <headerFooter>
    <oddFooter>&amp;CPage 14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54"/>
  <sheetViews>
    <sheetView showGridLines="0" topLeftCell="A4" zoomScale="80" zoomScaleNormal="80" workbookViewId="0">
      <selection activeCell="C11" sqref="C11"/>
    </sheetView>
  </sheetViews>
  <sheetFormatPr defaultColWidth="9.109375" defaultRowHeight="13.2"/>
  <cols>
    <col min="1" max="1" width="30.6640625" style="816" customWidth="1"/>
    <col min="2" max="5" width="14.33203125" style="816" customWidth="1"/>
    <col min="6" max="6" width="0.6640625" style="816" customWidth="1"/>
    <col min="7" max="7" width="30.88671875" style="816" customWidth="1"/>
    <col min="8" max="11" width="14.33203125" style="816" customWidth="1"/>
    <col min="12" max="16384" width="9.109375" style="816"/>
  </cols>
  <sheetData>
    <row r="1" spans="1:11" ht="17.399999999999999">
      <c r="A1" s="877" t="str">
        <f>'Summary Page'!A1</f>
        <v xml:space="preserve">Finance Report Month 2 2016/17 </v>
      </c>
      <c r="B1" s="878"/>
      <c r="C1" s="878"/>
      <c r="D1" s="878"/>
      <c r="E1" s="878"/>
      <c r="F1" s="878"/>
      <c r="G1" s="878"/>
      <c r="H1" s="878"/>
      <c r="I1" s="878"/>
      <c r="J1" s="878"/>
      <c r="K1" s="879" t="s">
        <v>702</v>
      </c>
    </row>
    <row r="2" spans="1:11" ht="3.75" customHeight="1">
      <c r="A2" s="880"/>
      <c r="K2" s="881"/>
    </row>
    <row r="3" spans="1:11">
      <c r="A3" s="2260" t="s">
        <v>1151</v>
      </c>
      <c r="B3" s="2338"/>
      <c r="C3" s="2338"/>
      <c r="D3" s="2338"/>
      <c r="E3" s="2338"/>
      <c r="F3" s="2338"/>
      <c r="G3" s="2338"/>
      <c r="H3" s="2338"/>
      <c r="I3" s="2338"/>
      <c r="J3" s="2338"/>
      <c r="K3" s="2339"/>
    </row>
    <row r="4" spans="1:11">
      <c r="A4" s="2340"/>
      <c r="B4" s="2341"/>
      <c r="C4" s="2341"/>
      <c r="D4" s="2341"/>
      <c r="E4" s="2341"/>
      <c r="F4" s="2341"/>
      <c r="G4" s="2341"/>
      <c r="H4" s="2341"/>
      <c r="I4" s="2341"/>
      <c r="J4" s="2341"/>
      <c r="K4" s="2342"/>
    </row>
    <row r="5" spans="1:11">
      <c r="A5" s="2340"/>
      <c r="B5" s="2341"/>
      <c r="C5" s="2341"/>
      <c r="D5" s="2341"/>
      <c r="E5" s="2341"/>
      <c r="F5" s="2341"/>
      <c r="G5" s="2341"/>
      <c r="H5" s="2341"/>
      <c r="I5" s="2341"/>
      <c r="J5" s="2341"/>
      <c r="K5" s="2342"/>
    </row>
    <row r="6" spans="1:11" ht="6" customHeight="1">
      <c r="A6" s="2343"/>
      <c r="B6" s="2344"/>
      <c r="C6" s="2344"/>
      <c r="D6" s="2344"/>
      <c r="E6" s="2344"/>
      <c r="F6" s="2344"/>
      <c r="G6" s="2344"/>
      <c r="H6" s="2344"/>
      <c r="I6" s="2344"/>
      <c r="J6" s="2344"/>
      <c r="K6" s="2345"/>
    </row>
    <row r="7" spans="1:11" ht="4.5" customHeight="1"/>
    <row r="8" spans="1:11">
      <c r="A8" s="882" t="s">
        <v>930</v>
      </c>
      <c r="B8" s="818"/>
      <c r="C8" s="883"/>
      <c r="D8" s="864"/>
      <c r="E8" s="865"/>
      <c r="G8" s="858" t="s">
        <v>944</v>
      </c>
      <c r="H8" s="884"/>
      <c r="I8" s="859"/>
      <c r="J8" s="884"/>
      <c r="K8" s="885"/>
    </row>
    <row r="9" spans="1:11">
      <c r="A9" s="856"/>
      <c r="B9" s="837" t="s">
        <v>721</v>
      </c>
      <c r="C9" s="837" t="s">
        <v>722</v>
      </c>
      <c r="D9" s="837" t="s">
        <v>723</v>
      </c>
      <c r="E9" s="886" t="s">
        <v>703</v>
      </c>
      <c r="G9" s="887"/>
      <c r="H9" s="824" t="s">
        <v>721</v>
      </c>
      <c r="I9" s="824" t="s">
        <v>834</v>
      </c>
      <c r="J9" s="824" t="s">
        <v>723</v>
      </c>
      <c r="K9" s="888" t="s">
        <v>703</v>
      </c>
    </row>
    <row r="10" spans="1:11">
      <c r="A10" s="856"/>
      <c r="B10" s="837" t="s">
        <v>948</v>
      </c>
      <c r="C10" s="837" t="s">
        <v>948</v>
      </c>
      <c r="D10" s="837" t="s">
        <v>948</v>
      </c>
      <c r="E10" s="886"/>
      <c r="G10" s="887"/>
      <c r="H10" s="824" t="s">
        <v>948</v>
      </c>
      <c r="I10" s="824" t="s">
        <v>948</v>
      </c>
      <c r="J10" s="824" t="s">
        <v>948</v>
      </c>
      <c r="K10" s="888"/>
    </row>
    <row r="11" spans="1:11" ht="13.5" customHeight="1">
      <c r="A11" s="819" t="s">
        <v>870</v>
      </c>
      <c r="B11" s="889">
        <f>'IncomeandExpenditure Data'!B85</f>
        <v>-14971.955</v>
      </c>
      <c r="C11" s="889">
        <f>'IncomeandExpenditure Data'!C85</f>
        <v>-12440.697</v>
      </c>
      <c r="D11" s="889">
        <f>'IncomeandExpenditure Data'!D85</f>
        <v>2531.259</v>
      </c>
      <c r="E11" s="891" t="s">
        <v>30</v>
      </c>
      <c r="F11" s="815"/>
      <c r="G11" s="819" t="s">
        <v>870</v>
      </c>
      <c r="H11" s="890">
        <f>'IncomeandExpenditure Data'!F85</f>
        <v>-14971.955</v>
      </c>
      <c r="I11" s="890">
        <f>'IncomeandExpenditure Data'!G85</f>
        <v>-12440.697</v>
      </c>
      <c r="J11" s="890">
        <f>'IncomeandExpenditure Data'!H85</f>
        <v>2531.259</v>
      </c>
      <c r="K11" s="892" t="s">
        <v>30</v>
      </c>
    </row>
    <row r="12" spans="1:11">
      <c r="A12" s="819" t="s">
        <v>871</v>
      </c>
      <c r="B12" s="889">
        <f>'IncomeandExpenditure Data'!B86</f>
        <v>-9639.1610000000001</v>
      </c>
      <c r="C12" s="889">
        <f>'IncomeandExpenditure Data'!C86</f>
        <v>-5268.4840000000004</v>
      </c>
      <c r="D12" s="889">
        <f>'IncomeandExpenditure Data'!D86</f>
        <v>4370.6769999999997</v>
      </c>
      <c r="E12" s="891" t="s">
        <v>30</v>
      </c>
      <c r="F12" s="815"/>
      <c r="G12" s="819" t="s">
        <v>871</v>
      </c>
      <c r="H12" s="890">
        <f>'IncomeandExpenditure Data'!F86</f>
        <v>-9639.1610000000001</v>
      </c>
      <c r="I12" s="890">
        <f>'IncomeandExpenditure Data'!G86</f>
        <v>-5268.4840000000004</v>
      </c>
      <c r="J12" s="890">
        <f>'IncomeandExpenditure Data'!H86</f>
        <v>4370.6769999999997</v>
      </c>
      <c r="K12" s="892" t="s">
        <v>30</v>
      </c>
    </row>
    <row r="13" spans="1:11">
      <c r="A13" s="893" t="s">
        <v>704</v>
      </c>
      <c r="B13" s="889">
        <f>'IncomeandExpenditure Data'!B87</f>
        <v>-37773.900999999998</v>
      </c>
      <c r="C13" s="889">
        <f>'IncomeandExpenditure Data'!C87</f>
        <v>-36990.586000000003</v>
      </c>
      <c r="D13" s="889">
        <f>'IncomeandExpenditure Data'!D87</f>
        <v>783.31500000000005</v>
      </c>
      <c r="E13" s="897" t="s">
        <v>31</v>
      </c>
      <c r="F13" s="848"/>
      <c r="G13" s="893" t="s">
        <v>704</v>
      </c>
      <c r="H13" s="890">
        <f>'IncomeandExpenditure Data'!F87</f>
        <v>-37773.900999999998</v>
      </c>
      <c r="I13" s="890">
        <f>'IncomeandExpenditure Data'!G87</f>
        <v>-36990.586000000003</v>
      </c>
      <c r="J13" s="890">
        <f>'IncomeandExpenditure Data'!H87</f>
        <v>783.31500000000005</v>
      </c>
      <c r="K13" s="897" t="s">
        <v>31</v>
      </c>
    </row>
    <row r="14" spans="1:11">
      <c r="A14" s="893" t="s">
        <v>705</v>
      </c>
      <c r="B14" s="889">
        <f>'IncomeandExpenditure Data'!B88</f>
        <v>-24742.448</v>
      </c>
      <c r="C14" s="889">
        <f>'IncomeandExpenditure Data'!C88</f>
        <v>-23528.773000000001</v>
      </c>
      <c r="D14" s="889">
        <f>'IncomeandExpenditure Data'!D88</f>
        <v>1213.674</v>
      </c>
      <c r="E14" s="891" t="s">
        <v>30</v>
      </c>
      <c r="F14" s="848"/>
      <c r="G14" s="893" t="s">
        <v>705</v>
      </c>
      <c r="H14" s="890">
        <f>'IncomeandExpenditure Data'!F88</f>
        <v>-24742.448</v>
      </c>
      <c r="I14" s="890">
        <f>'IncomeandExpenditure Data'!G88</f>
        <v>-23528.773000000001</v>
      </c>
      <c r="J14" s="890">
        <f>'IncomeandExpenditure Data'!H88</f>
        <v>1213.674</v>
      </c>
      <c r="K14" s="892" t="s">
        <v>30</v>
      </c>
    </row>
    <row r="15" spans="1:11">
      <c r="A15" s="893" t="s">
        <v>359</v>
      </c>
      <c r="B15" s="889">
        <f>'IncomeandExpenditure Data'!B89</f>
        <v>-2332.6109999999999</v>
      </c>
      <c r="C15" s="889">
        <f>'IncomeandExpenditure Data'!C89</f>
        <v>-2618.9009999999998</v>
      </c>
      <c r="D15" s="889">
        <f>'IncomeandExpenditure Data'!D89</f>
        <v>-286.29000000000002</v>
      </c>
      <c r="E15" s="897" t="s">
        <v>31</v>
      </c>
      <c r="F15" s="848"/>
      <c r="G15" s="893" t="s">
        <v>359</v>
      </c>
      <c r="H15" s="890">
        <f>'IncomeandExpenditure Data'!F89</f>
        <v>-2332.6109999999999</v>
      </c>
      <c r="I15" s="890">
        <f>'IncomeandExpenditure Data'!G89</f>
        <v>-2618.9009999999998</v>
      </c>
      <c r="J15" s="890">
        <f>'IncomeandExpenditure Data'!H89</f>
        <v>-286.29000000000002</v>
      </c>
      <c r="K15" s="897" t="s">
        <v>31</v>
      </c>
    </row>
    <row r="16" spans="1:11">
      <c r="A16" s="894" t="s">
        <v>706</v>
      </c>
      <c r="B16" s="895">
        <f>SUM(B11:B15)</f>
        <v>-89460.076000000001</v>
      </c>
      <c r="C16" s="895">
        <f>SUM(C11:C15)</f>
        <v>-80847.441000000006</v>
      </c>
      <c r="D16" s="895">
        <f>SUM(D11:D15)</f>
        <v>8612.6349999999984</v>
      </c>
      <c r="E16" s="891" t="s">
        <v>30</v>
      </c>
      <c r="F16" s="848"/>
      <c r="G16" s="894" t="s">
        <v>706</v>
      </c>
      <c r="H16" s="896">
        <f>SUM(H11:H15)</f>
        <v>-89460.076000000001</v>
      </c>
      <c r="I16" s="896">
        <f>SUM(I11:I15)</f>
        <v>-80847.441000000006</v>
      </c>
      <c r="J16" s="896">
        <f>SUM(J11:J15)</f>
        <v>8612.6349999999984</v>
      </c>
      <c r="K16" s="892" t="s">
        <v>30</v>
      </c>
    </row>
    <row r="17" spans="1:13">
      <c r="A17" s="893" t="s">
        <v>456</v>
      </c>
      <c r="B17" s="889">
        <f>'IncomeandExpenditure Data'!B93</f>
        <v>35644.165000000001</v>
      </c>
      <c r="C17" s="889">
        <f>'IncomeandExpenditure Data'!C93</f>
        <v>37709.271999999997</v>
      </c>
      <c r="D17" s="889">
        <f>'IncomeandExpenditure Data'!D93</f>
        <v>2065.107</v>
      </c>
      <c r="E17" s="891" t="s">
        <v>30</v>
      </c>
      <c r="F17" s="815"/>
      <c r="G17" s="893" t="s">
        <v>456</v>
      </c>
      <c r="H17" s="890">
        <f>'IncomeandExpenditure Data'!F93</f>
        <v>35644.165000000001</v>
      </c>
      <c r="I17" s="890">
        <f>'IncomeandExpenditure Data'!G93</f>
        <v>37709.271999999997</v>
      </c>
      <c r="J17" s="890">
        <f>'IncomeandExpenditure Data'!H93</f>
        <v>2065.107</v>
      </c>
      <c r="K17" s="892" t="s">
        <v>30</v>
      </c>
    </row>
    <row r="18" spans="1:13">
      <c r="A18" s="893" t="s">
        <v>707</v>
      </c>
      <c r="B18" s="889">
        <f>'IncomeandExpenditure Data'!B94+'IncomeandExpenditure Data'!B63-'IncomeandExpenditure Data'!B61-'IncomeandExpenditure Data'!B62</f>
        <v>53013.911999999997</v>
      </c>
      <c r="C18" s="889">
        <f>'IncomeandExpenditure Data'!C94+'IncomeandExpenditure Data'!C63-'IncomeandExpenditure Data'!C61-'IncomeandExpenditure Data'!C62</f>
        <v>46904.360999999997</v>
      </c>
      <c r="D18" s="889">
        <f>'IncomeandExpenditure Data'!D94+'IncomeandExpenditure Data'!D63-'IncomeandExpenditure Data'!D61-'IncomeandExpenditure Data'!D62</f>
        <v>-6109.5509999999995</v>
      </c>
      <c r="E18" s="897" t="s">
        <v>31</v>
      </c>
      <c r="F18" s="815"/>
      <c r="G18" s="893" t="s">
        <v>707</v>
      </c>
      <c r="H18" s="890">
        <f>'IncomeandExpenditure Data'!F94+'IncomeandExpenditure Data'!F63-'IncomeandExpenditure Data'!F61-'IncomeandExpenditure Data'!F62</f>
        <v>68343.911999999997</v>
      </c>
      <c r="I18" s="890">
        <f>'IncomeandExpenditure Data'!G94+'IncomeandExpenditure Data'!G63-'IncomeandExpenditure Data'!G61-'IncomeandExpenditure Data'!G62</f>
        <v>62310.087</v>
      </c>
      <c r="J18" s="890">
        <f>'IncomeandExpenditure Data'!H94+'IncomeandExpenditure Data'!H63-'IncomeandExpenditure Data'!H61-'IncomeandExpenditure Data'!H62</f>
        <v>-6033.8249999999998</v>
      </c>
      <c r="K18" s="897" t="s">
        <v>31</v>
      </c>
      <c r="M18" s="1619"/>
    </row>
    <row r="19" spans="1:13">
      <c r="A19" s="898" t="s">
        <v>708</v>
      </c>
      <c r="B19" s="899">
        <f>SUM(B16:B18)</f>
        <v>-801.99900000000343</v>
      </c>
      <c r="C19" s="899">
        <f>SUM(C16:C18)</f>
        <v>3766.1919999999882</v>
      </c>
      <c r="D19" s="899">
        <f>SUM(D16:D18)</f>
        <v>4568.1909999999989</v>
      </c>
      <c r="E19" s="910" t="s">
        <v>31</v>
      </c>
      <c r="G19" s="898" t="s">
        <v>708</v>
      </c>
      <c r="H19" s="899">
        <f>SUM(H16:H18)</f>
        <v>14528.000999999997</v>
      </c>
      <c r="I19" s="899">
        <f>SUM(I16:I18)</f>
        <v>19171.917999999991</v>
      </c>
      <c r="J19" s="899">
        <f>SUM(J16:J18)</f>
        <v>4643.9169999999986</v>
      </c>
      <c r="K19" s="910" t="s">
        <v>31</v>
      </c>
    </row>
    <row r="20" spans="1:13" ht="4.5" customHeight="1">
      <c r="B20" s="900"/>
      <c r="C20" s="900"/>
      <c r="D20" s="900"/>
      <c r="E20" s="900"/>
      <c r="K20" s="901"/>
    </row>
    <row r="21" spans="1:13">
      <c r="A21" s="2260" t="s">
        <v>1152</v>
      </c>
      <c r="B21" s="2346"/>
      <c r="C21" s="2346"/>
      <c r="D21" s="2346"/>
      <c r="E21" s="2347"/>
      <c r="G21" s="2260"/>
      <c r="H21" s="2346"/>
      <c r="I21" s="2346"/>
      <c r="J21" s="2346"/>
      <c r="K21" s="2347"/>
    </row>
    <row r="22" spans="1:13">
      <c r="A22" s="2348"/>
      <c r="B22" s="2349"/>
      <c r="C22" s="2349"/>
      <c r="D22" s="2349"/>
      <c r="E22" s="2350"/>
      <c r="G22" s="2348"/>
      <c r="H22" s="2349"/>
      <c r="I22" s="2349"/>
      <c r="J22" s="2349"/>
      <c r="K22" s="2350"/>
    </row>
    <row r="23" spans="1:13" ht="70.5" customHeight="1">
      <c r="A23" s="2351"/>
      <c r="B23" s="2352"/>
      <c r="C23" s="2352"/>
      <c r="D23" s="2352"/>
      <c r="E23" s="2353"/>
      <c r="G23" s="2351"/>
      <c r="H23" s="2352"/>
      <c r="I23" s="2352"/>
      <c r="J23" s="2352"/>
      <c r="K23" s="2353"/>
    </row>
    <row r="24" spans="1:13" ht="4.5" customHeight="1"/>
    <row r="25" spans="1:13">
      <c r="A25" s="858" t="s">
        <v>709</v>
      </c>
      <c r="B25" s="884"/>
      <c r="C25" s="859"/>
      <c r="D25" s="884"/>
      <c r="E25" s="885"/>
    </row>
    <row r="26" spans="1:13">
      <c r="A26" s="887"/>
      <c r="B26" s="824" t="s">
        <v>710</v>
      </c>
      <c r="C26" s="824" t="s">
        <v>711</v>
      </c>
      <c r="D26" s="824" t="s">
        <v>712</v>
      </c>
      <c r="E26" s="888" t="s">
        <v>713</v>
      </c>
    </row>
    <row r="27" spans="1:13">
      <c r="A27" s="887"/>
      <c r="B27" s="824" t="s">
        <v>948</v>
      </c>
      <c r="C27" s="824" t="s">
        <v>948</v>
      </c>
      <c r="D27" s="824" t="s">
        <v>948</v>
      </c>
      <c r="E27" s="888" t="s">
        <v>948</v>
      </c>
    </row>
    <row r="28" spans="1:13">
      <c r="A28" s="819" t="s">
        <v>870</v>
      </c>
      <c r="B28" s="890">
        <f>'IncomeandExpenditure Data'!J85</f>
        <v>477.05900000000003</v>
      </c>
      <c r="C28" s="890">
        <f>'IncomeandExpenditure Data'!K85</f>
        <v>426.18</v>
      </c>
      <c r="D28" s="890">
        <f>'IncomeandExpenditure Data'!L85</f>
        <v>342.67</v>
      </c>
      <c r="E28" s="902">
        <f>'IncomeandExpenditure Data'!M85</f>
        <v>1285.3499999999999</v>
      </c>
    </row>
    <row r="29" spans="1:13">
      <c r="A29" s="819" t="s">
        <v>871</v>
      </c>
      <c r="B29" s="890">
        <f>'IncomeandExpenditure Data'!J86</f>
        <v>597.02200000000005</v>
      </c>
      <c r="C29" s="890">
        <f>'IncomeandExpenditure Data'!K86</f>
        <v>958.46199999999999</v>
      </c>
      <c r="D29" s="890">
        <f>'IncomeandExpenditure Data'!L86</f>
        <v>1179.893</v>
      </c>
      <c r="E29" s="902">
        <f>'IncomeandExpenditure Data'!M86</f>
        <v>1635.3</v>
      </c>
    </row>
    <row r="30" spans="1:13">
      <c r="A30" s="893" t="s">
        <v>704</v>
      </c>
      <c r="B30" s="890">
        <f>'IncomeandExpenditure Data'!J87</f>
        <v>235.66800000000001</v>
      </c>
      <c r="C30" s="890">
        <f>'IncomeandExpenditure Data'!K87</f>
        <v>-986.36599999999999</v>
      </c>
      <c r="D30" s="890">
        <f>'IncomeandExpenditure Data'!L87</f>
        <v>358.37</v>
      </c>
      <c r="E30" s="902">
        <f>'IncomeandExpenditure Data'!M87</f>
        <v>1175.02</v>
      </c>
    </row>
    <row r="31" spans="1:13">
      <c r="A31" s="893" t="s">
        <v>705</v>
      </c>
      <c r="B31" s="890">
        <f>'IncomeandExpenditure Data'!J88</f>
        <v>234.501</v>
      </c>
      <c r="C31" s="890">
        <f>'IncomeandExpenditure Data'!K88</f>
        <v>-192.006</v>
      </c>
      <c r="D31" s="890">
        <f>'IncomeandExpenditure Data'!L88</f>
        <v>444.81900000000002</v>
      </c>
      <c r="E31" s="902">
        <f>'IncomeandExpenditure Data'!M88</f>
        <v>726.36099999999999</v>
      </c>
    </row>
    <row r="32" spans="1:13">
      <c r="A32" s="893" t="s">
        <v>359</v>
      </c>
      <c r="B32" s="890">
        <f>'IncomeandExpenditure Data'!J89</f>
        <v>-144.958</v>
      </c>
      <c r="C32" s="890">
        <f>'IncomeandExpenditure Data'!K89</f>
        <v>-48.756</v>
      </c>
      <c r="D32" s="890">
        <f>'IncomeandExpenditure Data'!L89</f>
        <v>165.77600000000001</v>
      </c>
      <c r="E32" s="902">
        <f>'IncomeandExpenditure Data'!M89</f>
        <v>-258.35199999999998</v>
      </c>
    </row>
    <row r="33" spans="1:11">
      <c r="A33" s="894" t="s">
        <v>706</v>
      </c>
      <c r="B33" s="896">
        <f>SUM(B28:B32)</f>
        <v>1399.2920000000001</v>
      </c>
      <c r="C33" s="896">
        <f>SUM(C28:C32)</f>
        <v>157.51400000000007</v>
      </c>
      <c r="D33" s="896">
        <f>SUM(D28:D32)</f>
        <v>2491.5279999999998</v>
      </c>
      <c r="E33" s="903">
        <f>SUM(E28:E32)</f>
        <v>4563.6790000000001</v>
      </c>
    </row>
    <row r="34" spans="1:11">
      <c r="A34" s="893" t="s">
        <v>456</v>
      </c>
      <c r="B34" s="890">
        <f>'IncomeandExpenditure Data'!J93</f>
        <v>-37.366</v>
      </c>
      <c r="C34" s="890">
        <f>'IncomeandExpenditure Data'!K93</f>
        <v>477.07900000000001</v>
      </c>
      <c r="D34" s="890">
        <f>'IncomeandExpenditure Data'!L93</f>
        <v>821.83500000000004</v>
      </c>
      <c r="E34" s="902">
        <f>'IncomeandExpenditure Data'!M93</f>
        <v>803.55899999999997</v>
      </c>
    </row>
    <row r="35" spans="1:11">
      <c r="A35" s="893" t="s">
        <v>707</v>
      </c>
      <c r="B35" s="890">
        <f>'IncomeandExpenditure Data'!J94</f>
        <v>-1494.11</v>
      </c>
      <c r="C35" s="890">
        <f>'IncomeandExpenditure Data'!K94</f>
        <v>-603.88</v>
      </c>
      <c r="D35" s="890">
        <f>'IncomeandExpenditure Data'!L94</f>
        <v>-2726.9609999999998</v>
      </c>
      <c r="E35" s="902">
        <f>'IncomeandExpenditure Data'!M94-'IncomeandExpenditure Data'!M99</f>
        <v>-2802.2510000000002</v>
      </c>
    </row>
    <row r="36" spans="1:11">
      <c r="A36" s="904" t="s">
        <v>708</v>
      </c>
      <c r="B36" s="895">
        <f>SUM(B33:B35)</f>
        <v>-132.18399999999974</v>
      </c>
      <c r="C36" s="895">
        <f>SUM(C33:C35)</f>
        <v>30.713000000000079</v>
      </c>
      <c r="D36" s="895">
        <f>SUM(D33:D35)</f>
        <v>586.40200000000004</v>
      </c>
      <c r="E36" s="905">
        <f>SUM(E33:E35)</f>
        <v>2564.9870000000001</v>
      </c>
    </row>
    <row r="37" spans="1:11">
      <c r="A37" s="857"/>
      <c r="B37" s="817"/>
      <c r="C37" s="906"/>
      <c r="D37" s="907"/>
      <c r="E37" s="855"/>
    </row>
    <row r="38" spans="1:11">
      <c r="A38" s="818"/>
      <c r="B38" s="908"/>
      <c r="C38" s="908"/>
      <c r="D38" s="908"/>
      <c r="E38" s="908"/>
    </row>
    <row r="39" spans="1:11" ht="4.5" customHeight="1">
      <c r="A39" s="861"/>
    </row>
    <row r="40" spans="1:11">
      <c r="A40" s="909"/>
      <c r="B40" s="815"/>
      <c r="C40" s="815"/>
      <c r="D40" s="815"/>
      <c r="E40" s="815"/>
      <c r="G40" s="909"/>
      <c r="H40" s="815"/>
      <c r="I40" s="815"/>
      <c r="J40" s="815"/>
      <c r="K40" s="815"/>
    </row>
    <row r="41" spans="1:11">
      <c r="A41" s="815"/>
      <c r="B41" s="815"/>
      <c r="C41" s="815"/>
      <c r="D41" s="815"/>
      <c r="E41" s="815"/>
      <c r="G41" s="815"/>
      <c r="H41" s="815"/>
      <c r="I41" s="815"/>
      <c r="J41" s="815"/>
      <c r="K41" s="815"/>
    </row>
    <row r="42" spans="1:11">
      <c r="A42" s="815"/>
      <c r="B42" s="815"/>
      <c r="C42" s="815"/>
      <c r="D42" s="815"/>
      <c r="E42" s="815"/>
      <c r="G42" s="815"/>
      <c r="H42" s="815"/>
      <c r="I42" s="815"/>
      <c r="J42" s="815"/>
      <c r="K42" s="815"/>
    </row>
    <row r="43" spans="1:11">
      <c r="A43" s="922"/>
      <c r="B43" s="815"/>
      <c r="C43" s="815"/>
      <c r="D43" s="815"/>
      <c r="E43" s="815"/>
      <c r="G43" s="815"/>
      <c r="H43" s="815"/>
      <c r="I43" s="815"/>
      <c r="J43" s="815"/>
      <c r="K43" s="815"/>
    </row>
    <row r="44" spans="1:11">
      <c r="A44" s="815"/>
      <c r="B44" s="815"/>
      <c r="C44" s="815"/>
      <c r="D44" s="815"/>
      <c r="E44" s="815"/>
      <c r="G44" s="815"/>
      <c r="H44" s="815"/>
      <c r="I44" s="815"/>
      <c r="J44" s="815"/>
      <c r="K44" s="815"/>
    </row>
    <row r="45" spans="1:11">
      <c r="A45" s="815"/>
      <c r="B45" s="815"/>
      <c r="C45" s="815"/>
      <c r="D45" s="815"/>
      <c r="E45" s="815"/>
      <c r="G45" s="815"/>
      <c r="H45" s="815"/>
      <c r="I45" s="815"/>
      <c r="J45" s="815"/>
      <c r="K45" s="815"/>
    </row>
    <row r="46" spans="1:11">
      <c r="A46" s="815"/>
      <c r="B46" s="815"/>
      <c r="C46" s="815"/>
      <c r="D46" s="815"/>
      <c r="E46" s="815"/>
      <c r="G46" s="815"/>
      <c r="H46" s="815"/>
      <c r="I46" s="815"/>
      <c r="J46" s="815"/>
      <c r="K46" s="815"/>
    </row>
    <row r="47" spans="1:11">
      <c r="A47" s="815"/>
      <c r="B47" s="815"/>
      <c r="C47" s="815"/>
      <c r="D47" s="815"/>
      <c r="E47" s="815"/>
      <c r="G47" s="815"/>
      <c r="H47" s="815"/>
      <c r="I47" s="815"/>
      <c r="J47" s="815"/>
      <c r="K47" s="815"/>
    </row>
    <row r="48" spans="1:11">
      <c r="A48" s="815"/>
      <c r="B48" s="815"/>
      <c r="C48" s="815"/>
      <c r="D48" s="815"/>
      <c r="E48" s="815"/>
      <c r="G48" s="815"/>
      <c r="H48" s="815"/>
      <c r="I48" s="815"/>
      <c r="J48" s="815"/>
      <c r="K48" s="815"/>
    </row>
    <row r="49" spans="1:11">
      <c r="A49" s="815"/>
      <c r="B49" s="815"/>
      <c r="C49" s="815"/>
      <c r="D49" s="815"/>
      <c r="E49" s="815"/>
      <c r="G49" s="815"/>
      <c r="H49" s="815"/>
      <c r="I49" s="815"/>
      <c r="J49" s="815"/>
      <c r="K49" s="815"/>
    </row>
    <row r="50" spans="1:11">
      <c r="A50" s="815"/>
      <c r="B50" s="815"/>
      <c r="C50" s="815"/>
      <c r="D50" s="815"/>
      <c r="E50" s="815"/>
      <c r="G50" s="815"/>
      <c r="H50" s="815"/>
      <c r="I50" s="815"/>
      <c r="J50" s="815"/>
      <c r="K50" s="815"/>
    </row>
    <row r="51" spans="1:11">
      <c r="A51" s="815"/>
      <c r="B51" s="815"/>
      <c r="C51" s="815"/>
      <c r="D51" s="815"/>
      <c r="E51" s="815"/>
      <c r="G51" s="815"/>
      <c r="H51" s="815"/>
      <c r="I51" s="815"/>
      <c r="J51" s="815"/>
      <c r="K51" s="815"/>
    </row>
    <row r="52" spans="1:11">
      <c r="A52" s="815"/>
      <c r="B52" s="815"/>
      <c r="C52" s="815"/>
      <c r="D52" s="815"/>
      <c r="E52" s="815"/>
      <c r="G52" s="815"/>
      <c r="H52" s="815"/>
      <c r="I52" s="815"/>
      <c r="J52" s="815"/>
      <c r="K52" s="815"/>
    </row>
    <row r="53" spans="1:11">
      <c r="A53" s="815"/>
      <c r="B53" s="815"/>
      <c r="C53" s="815"/>
      <c r="D53" s="815"/>
      <c r="E53" s="815"/>
      <c r="G53" s="815"/>
      <c r="H53" s="815"/>
      <c r="I53" s="815"/>
      <c r="J53" s="815"/>
      <c r="K53" s="815"/>
    </row>
    <row r="54" spans="1:11" ht="4.5" customHeight="1"/>
  </sheetData>
  <mergeCells count="3">
    <mergeCell ref="A3:K6"/>
    <mergeCell ref="A21:E23"/>
    <mergeCell ref="G21:K23"/>
  </mergeCells>
  <phoneticPr fontId="118" type="noConversion"/>
  <printOptions horizontalCentered="1" verticalCentered="1"/>
  <pageMargins left="0.35433070866141736" right="0.35433070866141736" top="0.19685039370078741" bottom="0.43307086614173229" header="0" footer="0.19685039370078741"/>
  <pageSetup paperSize="9" scale="56" orientation="landscape" r:id="rId1"/>
  <headerFooter alignWithMargins="0">
    <oddFooter>&amp;CPage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M70"/>
  <sheetViews>
    <sheetView showGridLines="0" workbookViewId="0">
      <selection activeCell="F18" sqref="F18"/>
    </sheetView>
  </sheetViews>
  <sheetFormatPr defaultColWidth="9.109375" defaultRowHeight="13.2"/>
  <cols>
    <col min="1" max="1" width="33.6640625" style="1015" customWidth="1"/>
    <col min="2" max="3" width="14.33203125" style="1015" customWidth="1"/>
    <col min="4" max="4" width="12.6640625" style="1015" bestFit="1" customWidth="1"/>
    <col min="5" max="5" width="12.6640625" style="1015" customWidth="1"/>
    <col min="6" max="6" width="14.33203125" style="1015" customWidth="1"/>
    <col min="7" max="7" width="0.6640625" style="1015" customWidth="1"/>
    <col min="8" max="8" width="33.6640625" style="1015" customWidth="1"/>
    <col min="9" max="13" width="14.33203125" style="1015" customWidth="1"/>
    <col min="14" max="16384" width="9.109375" style="1015"/>
  </cols>
  <sheetData>
    <row r="1" spans="1:13" ht="21.6" thickBot="1">
      <c r="A1" s="1007" t="str">
        <f>'Summary Page'!A1</f>
        <v xml:space="preserve">Finance Report Month 2 2016/17 </v>
      </c>
      <c r="B1" s="1008"/>
      <c r="C1" s="1008"/>
      <c r="D1" s="1008"/>
      <c r="E1" s="1009"/>
      <c r="F1" s="1010"/>
      <c r="G1" s="1011" t="s">
        <v>720</v>
      </c>
      <c r="H1" s="1012"/>
      <c r="I1" s="1013"/>
      <c r="J1" s="1010"/>
      <c r="K1" s="1010"/>
      <c r="L1" s="1010"/>
      <c r="M1" s="1014" t="s">
        <v>31</v>
      </c>
    </row>
    <row r="2" spans="1:13" ht="7.5" customHeight="1">
      <c r="A2" s="1016"/>
      <c r="B2" s="1017"/>
      <c r="C2" s="1017"/>
      <c r="D2" s="1017"/>
      <c r="E2" s="1017"/>
      <c r="F2" s="1017"/>
      <c r="G2" s="1017"/>
      <c r="H2" s="1017"/>
      <c r="I2" s="1017"/>
      <c r="J2" s="1017"/>
      <c r="K2" s="1017"/>
      <c r="L2" s="1017"/>
      <c r="M2" s="1017"/>
    </row>
    <row r="3" spans="1:13" ht="12.75" customHeight="1">
      <c r="A3" s="2152" t="s">
        <v>336</v>
      </c>
      <c r="B3" s="2165"/>
      <c r="C3" s="2165"/>
      <c r="D3" s="2165"/>
      <c r="E3" s="2165"/>
      <c r="F3" s="2165"/>
      <c r="G3" s="2165"/>
      <c r="H3" s="2165"/>
      <c r="I3" s="2165"/>
      <c r="J3" s="2165"/>
      <c r="K3" s="2165"/>
      <c r="L3" s="2165"/>
      <c r="M3" s="2166"/>
    </row>
    <row r="4" spans="1:13">
      <c r="A4" s="2167"/>
      <c r="B4" s="2168"/>
      <c r="C4" s="2168"/>
      <c r="D4" s="2168"/>
      <c r="E4" s="2168"/>
      <c r="F4" s="2168"/>
      <c r="G4" s="2168"/>
      <c r="H4" s="2168"/>
      <c r="I4" s="2168"/>
      <c r="J4" s="2168"/>
      <c r="K4" s="2168"/>
      <c r="L4" s="2168"/>
      <c r="M4" s="2169"/>
    </row>
    <row r="5" spans="1:13" ht="21.75" customHeight="1">
      <c r="A5" s="2170"/>
      <c r="B5" s="2171"/>
      <c r="C5" s="2171"/>
      <c r="D5" s="2171"/>
      <c r="E5" s="2171"/>
      <c r="F5" s="2171"/>
      <c r="G5" s="2171"/>
      <c r="H5" s="2171"/>
      <c r="I5" s="2171"/>
      <c r="J5" s="2171"/>
      <c r="K5" s="2171"/>
      <c r="L5" s="2171"/>
      <c r="M5" s="2172"/>
    </row>
    <row r="6" spans="1:13" ht="4.5" customHeight="1"/>
    <row r="7" spans="1:13">
      <c r="A7" s="1018" t="s">
        <v>930</v>
      </c>
      <c r="B7" s="1019"/>
      <c r="C7" s="1020"/>
      <c r="D7" s="1019"/>
      <c r="E7" s="2173" t="s">
        <v>606</v>
      </c>
      <c r="F7" s="2174"/>
      <c r="H7" s="1018" t="s">
        <v>944</v>
      </c>
      <c r="I7" s="1019"/>
      <c r="J7" s="1020"/>
      <c r="K7" s="1019"/>
      <c r="L7" s="2173" t="s">
        <v>606</v>
      </c>
      <c r="M7" s="2174"/>
    </row>
    <row r="8" spans="1:13">
      <c r="A8" s="1022"/>
      <c r="B8" s="1023"/>
      <c r="C8" s="1024" t="s">
        <v>721</v>
      </c>
      <c r="D8" s="1024" t="s">
        <v>722</v>
      </c>
      <c r="E8" s="2175" t="s">
        <v>722</v>
      </c>
      <c r="F8" s="2176"/>
      <c r="H8" s="1025"/>
      <c r="I8" s="1023"/>
      <c r="J8" s="1024" t="s">
        <v>721</v>
      </c>
      <c r="K8" s="1024" t="s">
        <v>834</v>
      </c>
      <c r="L8" s="2175" t="s">
        <v>834</v>
      </c>
      <c r="M8" s="2176"/>
    </row>
    <row r="9" spans="1:13" ht="12.75" customHeight="1">
      <c r="A9" s="1026" t="s">
        <v>720</v>
      </c>
      <c r="B9" s="1023"/>
      <c r="C9" s="1027">
        <f>C23</f>
        <v>2</v>
      </c>
      <c r="D9" s="1027">
        <f>E23</f>
        <v>2</v>
      </c>
      <c r="E9" s="2158">
        <f>F23</f>
        <v>3</v>
      </c>
      <c r="F9" s="2159"/>
      <c r="H9" s="1026" t="s">
        <v>720</v>
      </c>
      <c r="I9" s="1023"/>
      <c r="J9" s="1027">
        <f>J23</f>
        <v>3.1</v>
      </c>
      <c r="K9" s="1027">
        <f>L23</f>
        <v>3.1</v>
      </c>
      <c r="L9" s="2158">
        <f>M23</f>
        <v>3.1</v>
      </c>
      <c r="M9" s="2159"/>
    </row>
    <row r="10" spans="1:13" ht="12.75" customHeight="1">
      <c r="A10" s="1028"/>
      <c r="B10" s="1017"/>
      <c r="C10" s="1029"/>
      <c r="D10" s="1017"/>
      <c r="E10" s="1017"/>
      <c r="F10" s="1030"/>
      <c r="H10" s="1028"/>
      <c r="I10" s="1017"/>
      <c r="J10" s="1029"/>
      <c r="K10" s="1017"/>
      <c r="L10" s="1017"/>
      <c r="M10" s="1030"/>
    </row>
    <row r="11" spans="1:13" ht="4.5" customHeight="1">
      <c r="A11" s="1031"/>
      <c r="C11" s="1032"/>
      <c r="D11" s="1033"/>
      <c r="E11" s="1033"/>
      <c r="F11" s="1032"/>
      <c r="H11" s="1031"/>
      <c r="J11" s="1032"/>
      <c r="K11" s="1033"/>
      <c r="L11" s="1033"/>
      <c r="M11" s="1032"/>
    </row>
    <row r="12" spans="1:13" ht="12.75" hidden="1" customHeight="1">
      <c r="A12" s="2152"/>
      <c r="B12" s="2153"/>
      <c r="C12" s="2153"/>
      <c r="D12" s="2153"/>
      <c r="E12" s="2153"/>
      <c r="F12" s="2154"/>
      <c r="H12" s="2152"/>
      <c r="I12" s="2153"/>
      <c r="J12" s="2153"/>
      <c r="K12" s="2153"/>
      <c r="L12" s="2153"/>
      <c r="M12" s="2154"/>
    </row>
    <row r="13" spans="1:13" ht="66" hidden="1" customHeight="1">
      <c r="A13" s="2155"/>
      <c r="B13" s="2156"/>
      <c r="C13" s="2156"/>
      <c r="D13" s="2156"/>
      <c r="E13" s="2156"/>
      <c r="F13" s="2157"/>
      <c r="H13" s="2155"/>
      <c r="I13" s="2156"/>
      <c r="J13" s="2156"/>
      <c r="K13" s="2156"/>
      <c r="L13" s="2156"/>
      <c r="M13" s="2157"/>
    </row>
    <row r="14" spans="1:13" ht="4.5" hidden="1" customHeight="1">
      <c r="A14" s="1034"/>
      <c r="B14" s="1034"/>
      <c r="C14" s="1034"/>
      <c r="D14" s="1034"/>
      <c r="E14" s="1034"/>
      <c r="F14" s="1034"/>
      <c r="H14" s="1034"/>
      <c r="I14" s="1034"/>
      <c r="J14" s="1034"/>
      <c r="K14" s="1034"/>
      <c r="L14" s="1034"/>
      <c r="M14" s="1034"/>
    </row>
    <row r="15" spans="1:13" ht="12.75" customHeight="1">
      <c r="A15" s="1018" t="s">
        <v>930</v>
      </c>
      <c r="B15" s="1019" t="s">
        <v>721</v>
      </c>
      <c r="C15" s="1019" t="s">
        <v>721</v>
      </c>
      <c r="D15" s="1019" t="s">
        <v>722</v>
      </c>
      <c r="E15" s="1019" t="s">
        <v>722</v>
      </c>
      <c r="F15" s="1021" t="s">
        <v>607</v>
      </c>
      <c r="H15" s="1018" t="s">
        <v>944</v>
      </c>
      <c r="I15" s="1019" t="s">
        <v>721</v>
      </c>
      <c r="J15" s="1019" t="s">
        <v>721</v>
      </c>
      <c r="K15" s="1019" t="s">
        <v>834</v>
      </c>
      <c r="L15" s="1019" t="s">
        <v>834</v>
      </c>
      <c r="M15" s="1021" t="s">
        <v>607</v>
      </c>
    </row>
    <row r="16" spans="1:13">
      <c r="A16" s="1025"/>
      <c r="B16" s="1024" t="s">
        <v>860</v>
      </c>
      <c r="C16" s="1024" t="s">
        <v>861</v>
      </c>
      <c r="D16" s="71" t="s">
        <v>860</v>
      </c>
      <c r="E16" s="71" t="s">
        <v>861</v>
      </c>
      <c r="F16" s="562" t="s">
        <v>722</v>
      </c>
      <c r="H16" s="1025"/>
      <c r="I16" s="1024" t="s">
        <v>860</v>
      </c>
      <c r="J16" s="1024" t="s">
        <v>861</v>
      </c>
      <c r="K16" s="71" t="s">
        <v>860</v>
      </c>
      <c r="L16" s="71" t="s">
        <v>861</v>
      </c>
      <c r="M16" s="562" t="s">
        <v>834</v>
      </c>
    </row>
    <row r="17" spans="1:13">
      <c r="A17" s="1035" t="s">
        <v>724</v>
      </c>
      <c r="B17" s="1036">
        <v>4.2299783694287926E-2</v>
      </c>
      <c r="C17" s="1037">
        <v>2</v>
      </c>
      <c r="D17" s="1036">
        <v>4.2212408858532467E-2</v>
      </c>
      <c r="E17" s="1037">
        <v>2</v>
      </c>
      <c r="F17" s="1038">
        <v>3</v>
      </c>
      <c r="H17" s="1035" t="s">
        <v>724</v>
      </c>
      <c r="I17" s="1036">
        <v>6.0553514719909926E-2</v>
      </c>
      <c r="J17" s="1037">
        <v>3</v>
      </c>
      <c r="K17" s="1036">
        <v>5.9174044933142003E-2</v>
      </c>
      <c r="L17" s="1037">
        <v>3</v>
      </c>
      <c r="M17" s="1038">
        <v>3</v>
      </c>
    </row>
    <row r="18" spans="1:13">
      <c r="A18" s="1035" t="s">
        <v>727</v>
      </c>
      <c r="B18" s="1039">
        <v>1</v>
      </c>
      <c r="C18" s="1037">
        <v>4</v>
      </c>
      <c r="D18" s="1040">
        <v>0.99658585858585669</v>
      </c>
      <c r="E18" s="1037">
        <v>4</v>
      </c>
      <c r="F18" s="1038">
        <v>4</v>
      </c>
      <c r="H18" s="1035" t="s">
        <v>727</v>
      </c>
      <c r="I18" s="1039">
        <v>1</v>
      </c>
      <c r="J18" s="1037">
        <v>4</v>
      </c>
      <c r="K18" s="1040">
        <v>0.99658585858585669</v>
      </c>
      <c r="L18" s="1037">
        <v>4</v>
      </c>
      <c r="M18" s="1038">
        <v>4</v>
      </c>
    </row>
    <row r="19" spans="1:13">
      <c r="A19" s="1035" t="s">
        <v>829</v>
      </c>
      <c r="B19" s="1039">
        <v>-1.8772071536813154E-2</v>
      </c>
      <c r="C19" s="1037">
        <v>2</v>
      </c>
      <c r="D19" s="1036">
        <v>-1.8841410837544412E-2</v>
      </c>
      <c r="E19" s="1037">
        <v>2</v>
      </c>
      <c r="F19" s="1038">
        <v>3</v>
      </c>
      <c r="H19" s="1035" t="s">
        <v>829</v>
      </c>
      <c r="I19" s="1039">
        <v>1.3183317758447284E-2</v>
      </c>
      <c r="J19" s="1037">
        <v>3</v>
      </c>
      <c r="K19" s="1036">
        <v>1.1892390147796189E-2</v>
      </c>
      <c r="L19" s="1037">
        <v>3</v>
      </c>
      <c r="M19" s="1038">
        <v>3</v>
      </c>
    </row>
    <row r="20" spans="1:13">
      <c r="A20" s="1035" t="s">
        <v>820</v>
      </c>
      <c r="B20" s="1039">
        <v>-8.972681389697439E-3</v>
      </c>
      <c r="C20" s="1037">
        <v>2</v>
      </c>
      <c r="D20" s="1036">
        <v>-7.2601178664351866E-3</v>
      </c>
      <c r="E20" s="1037">
        <v>2</v>
      </c>
      <c r="F20" s="1038">
        <v>2</v>
      </c>
      <c r="H20" s="1035" t="s">
        <v>820</v>
      </c>
      <c r="I20" s="1039">
        <v>1.3449468853729718E-2</v>
      </c>
      <c r="J20" s="1037">
        <v>3</v>
      </c>
      <c r="K20" s="1036">
        <v>1.4090409728173934E-2</v>
      </c>
      <c r="L20" s="1037">
        <v>3</v>
      </c>
      <c r="M20" s="1038">
        <v>3</v>
      </c>
    </row>
    <row r="21" spans="1:13">
      <c r="A21" s="1035" t="s">
        <v>354</v>
      </c>
      <c r="B21" s="1037">
        <v>21.086057519502493</v>
      </c>
      <c r="C21" s="1037">
        <v>3</v>
      </c>
      <c r="D21" s="1037">
        <v>25.110135203608078</v>
      </c>
      <c r="E21" s="1037">
        <v>4</v>
      </c>
      <c r="F21" s="1038">
        <v>3</v>
      </c>
      <c r="H21" s="1035" t="s">
        <v>354</v>
      </c>
      <c r="I21" s="1037">
        <v>18.139852582421376</v>
      </c>
      <c r="J21" s="1037">
        <v>3</v>
      </c>
      <c r="K21" s="1037">
        <v>19.551371077488067</v>
      </c>
      <c r="L21" s="1037">
        <v>3</v>
      </c>
      <c r="M21" s="1038">
        <v>3</v>
      </c>
    </row>
    <row r="22" spans="1:13">
      <c r="A22" s="1041" t="s">
        <v>835</v>
      </c>
      <c r="B22" s="1042"/>
      <c r="C22" s="1043">
        <v>2.4500000000000002</v>
      </c>
      <c r="D22" s="1044"/>
      <c r="E22" s="1043">
        <v>2.7</v>
      </c>
      <c r="F22" s="1038">
        <v>3</v>
      </c>
      <c r="H22" s="1041" t="s">
        <v>835</v>
      </c>
      <c r="I22" s="1042"/>
      <c r="J22" s="1043">
        <v>3.1</v>
      </c>
      <c r="K22" s="1044"/>
      <c r="L22" s="1043">
        <v>3.1</v>
      </c>
      <c r="M22" s="1038">
        <v>3.1</v>
      </c>
    </row>
    <row r="23" spans="1:13">
      <c r="A23" s="245" t="s">
        <v>224</v>
      </c>
      <c r="B23" s="1045"/>
      <c r="C23" s="1046">
        <v>2</v>
      </c>
      <c r="D23" s="247"/>
      <c r="E23" s="1046">
        <v>2</v>
      </c>
      <c r="F23" s="1047">
        <v>3</v>
      </c>
      <c r="H23" s="245" t="s">
        <v>224</v>
      </c>
      <c r="I23" s="1045"/>
      <c r="J23" s="1046">
        <v>3.1</v>
      </c>
      <c r="K23" s="247"/>
      <c r="L23" s="1046">
        <v>3.1</v>
      </c>
      <c r="M23" s="1047">
        <v>3.1</v>
      </c>
    </row>
    <row r="24" spans="1:13" ht="4.5" customHeight="1"/>
    <row r="25" spans="1:13" ht="12.75" hidden="1" customHeight="1">
      <c r="A25" s="2152" t="s">
        <v>365</v>
      </c>
      <c r="B25" s="2153"/>
      <c r="C25" s="2153"/>
      <c r="D25" s="2153"/>
      <c r="E25" s="2153"/>
      <c r="F25" s="2154"/>
      <c r="H25" s="2152"/>
      <c r="I25" s="2160"/>
      <c r="J25" s="2160"/>
      <c r="K25" s="2160"/>
      <c r="L25" s="2160"/>
      <c r="M25" s="2161"/>
    </row>
    <row r="26" spans="1:13" hidden="1">
      <c r="A26" s="2155"/>
      <c r="B26" s="2156"/>
      <c r="C26" s="2156"/>
      <c r="D26" s="2156"/>
      <c r="E26" s="2156"/>
      <c r="F26" s="2157"/>
      <c r="H26" s="2162"/>
      <c r="I26" s="2163"/>
      <c r="J26" s="2163"/>
      <c r="K26" s="2163"/>
      <c r="L26" s="2163"/>
      <c r="M26" s="2164"/>
    </row>
    <row r="27" spans="1:13" ht="4.5" customHeight="1"/>
    <row r="29" spans="1:13" ht="12.75" customHeight="1">
      <c r="A29" s="4" t="s">
        <v>838</v>
      </c>
      <c r="B29" s="5" t="s">
        <v>839</v>
      </c>
      <c r="C29" s="5"/>
      <c r="D29" s="2148" t="s">
        <v>840</v>
      </c>
      <c r="E29" s="2148"/>
      <c r="F29" s="2148"/>
      <c r="G29" s="328"/>
      <c r="H29" s="5"/>
      <c r="I29" s="5" t="s">
        <v>841</v>
      </c>
      <c r="J29" s="5"/>
      <c r="K29" s="5"/>
      <c r="L29" s="5"/>
      <c r="M29" s="329"/>
    </row>
    <row r="30" spans="1:13">
      <c r="A30" s="6"/>
      <c r="B30" s="7"/>
      <c r="C30" s="7"/>
      <c r="D30" s="9"/>
      <c r="E30" s="9"/>
      <c r="F30" s="8"/>
      <c r="G30" s="8"/>
      <c r="H30" s="7"/>
      <c r="I30" s="7">
        <v>5</v>
      </c>
      <c r="J30" s="7">
        <v>4</v>
      </c>
      <c r="K30" s="7">
        <v>3</v>
      </c>
      <c r="L30" s="7">
        <v>2</v>
      </c>
      <c r="M30" s="10">
        <v>1</v>
      </c>
    </row>
    <row r="31" spans="1:13">
      <c r="A31" s="11"/>
      <c r="B31" s="12"/>
      <c r="C31" s="12"/>
      <c r="D31" s="13"/>
      <c r="E31" s="13"/>
      <c r="F31" s="14"/>
      <c r="G31" s="14"/>
      <c r="H31" s="13"/>
      <c r="I31" s="13"/>
      <c r="J31" s="13"/>
      <c r="K31" s="13"/>
      <c r="L31" s="13"/>
      <c r="M31" s="15"/>
    </row>
    <row r="32" spans="1:13">
      <c r="A32" s="16" t="s">
        <v>842</v>
      </c>
      <c r="B32" s="12">
        <v>25</v>
      </c>
      <c r="C32" s="1048">
        <v>0.25</v>
      </c>
      <c r="D32" s="17" t="s">
        <v>843</v>
      </c>
      <c r="E32" s="17"/>
      <c r="F32" s="14"/>
      <c r="G32" s="14"/>
      <c r="H32" s="333"/>
      <c r="I32" s="333">
        <v>10.9</v>
      </c>
      <c r="J32" s="333">
        <v>8.9</v>
      </c>
      <c r="K32" s="333">
        <v>4.9000000000000004</v>
      </c>
      <c r="L32" s="333">
        <v>0.9</v>
      </c>
      <c r="M32" s="18" t="s">
        <v>844</v>
      </c>
    </row>
    <row r="33" spans="1:13">
      <c r="A33" s="19" t="s">
        <v>845</v>
      </c>
      <c r="B33" s="12">
        <v>10</v>
      </c>
      <c r="C33" s="1048">
        <v>0.1</v>
      </c>
      <c r="D33" s="17" t="s">
        <v>846</v>
      </c>
      <c r="E33" s="17"/>
      <c r="F33" s="3"/>
      <c r="G33" s="3"/>
      <c r="H33" s="333"/>
      <c r="I33" s="333">
        <v>99.9</v>
      </c>
      <c r="J33" s="333">
        <v>84.9</v>
      </c>
      <c r="K33" s="333">
        <v>69.900000000000006</v>
      </c>
      <c r="L33" s="333">
        <v>49.9</v>
      </c>
      <c r="M33" s="18" t="s">
        <v>847</v>
      </c>
    </row>
    <row r="34" spans="1:13">
      <c r="A34" s="20" t="s">
        <v>848</v>
      </c>
      <c r="B34" s="21">
        <v>40</v>
      </c>
      <c r="C34" s="1048">
        <v>0.2</v>
      </c>
      <c r="D34" s="17" t="s">
        <v>853</v>
      </c>
      <c r="E34" s="17"/>
      <c r="F34" s="3"/>
      <c r="G34" s="3"/>
      <c r="H34" s="333"/>
      <c r="I34" s="333">
        <v>5.9</v>
      </c>
      <c r="J34" s="333">
        <v>4.9000000000000004</v>
      </c>
      <c r="K34" s="333">
        <v>2.9</v>
      </c>
      <c r="L34" s="333">
        <v>-2.0000010000000001</v>
      </c>
      <c r="M34" s="18" t="s">
        <v>854</v>
      </c>
    </row>
    <row r="35" spans="1:13">
      <c r="A35" s="20"/>
      <c r="B35" s="21"/>
      <c r="C35" s="1048">
        <v>0.2</v>
      </c>
      <c r="D35" s="17" t="s">
        <v>855</v>
      </c>
      <c r="E35" s="17"/>
      <c r="F35" s="22"/>
      <c r="G35" s="22"/>
      <c r="H35" s="333"/>
      <c r="I35" s="333">
        <v>2.9</v>
      </c>
      <c r="J35" s="333">
        <v>1.9</v>
      </c>
      <c r="K35" s="333">
        <v>0.9</v>
      </c>
      <c r="L35" s="333">
        <v>-2.0000010000000001</v>
      </c>
      <c r="M35" s="18" t="s">
        <v>854</v>
      </c>
    </row>
    <row r="36" spans="1:13">
      <c r="A36" s="19" t="s">
        <v>856</v>
      </c>
      <c r="B36" s="12">
        <v>25</v>
      </c>
      <c r="C36" s="1048">
        <v>0.25</v>
      </c>
      <c r="D36" s="17" t="s">
        <v>857</v>
      </c>
      <c r="E36" s="17"/>
      <c r="F36" s="3"/>
      <c r="G36" s="3"/>
      <c r="H36" s="333"/>
      <c r="I36" s="333">
        <v>59.9</v>
      </c>
      <c r="J36" s="333">
        <v>24.9</v>
      </c>
      <c r="K36" s="333">
        <v>14.9</v>
      </c>
      <c r="L36" s="333">
        <v>9.9</v>
      </c>
      <c r="M36" s="18" t="s">
        <v>858</v>
      </c>
    </row>
    <row r="37" spans="1:13">
      <c r="A37" s="23"/>
      <c r="B37" s="24"/>
      <c r="C37" s="3"/>
      <c r="D37" s="13"/>
      <c r="E37" s="13"/>
      <c r="F37" s="3"/>
      <c r="G37" s="3"/>
      <c r="H37" s="12"/>
      <c r="I37" s="12"/>
      <c r="J37" s="12"/>
      <c r="K37" s="12"/>
      <c r="L37" s="12"/>
      <c r="M37" s="18"/>
    </row>
    <row r="38" spans="1:13">
      <c r="A38" s="6" t="s">
        <v>859</v>
      </c>
      <c r="B38" s="26"/>
      <c r="C38" s="27"/>
      <c r="D38" s="26"/>
      <c r="E38" s="26"/>
      <c r="F38" s="8"/>
      <c r="G38" s="8"/>
      <c r="H38" s="26"/>
      <c r="I38" s="26"/>
      <c r="J38" s="26"/>
      <c r="K38" s="26"/>
      <c r="L38" s="26"/>
      <c r="M38" s="28"/>
    </row>
    <row r="44" spans="1:13">
      <c r="A44" s="1049"/>
    </row>
    <row r="65" spans="1:11">
      <c r="A65" s="1050"/>
      <c r="B65" s="1020"/>
      <c r="C65" s="1020"/>
      <c r="D65" s="1020"/>
      <c r="E65" s="1020"/>
      <c r="F65" s="1020"/>
      <c r="G65" s="1020"/>
      <c r="H65" s="1020"/>
      <c r="I65" s="1020"/>
      <c r="J65" s="1020"/>
      <c r="K65" s="1051"/>
    </row>
    <row r="66" spans="1:11">
      <c r="A66" s="1052"/>
      <c r="B66" s="1023"/>
      <c r="C66" s="1023"/>
      <c r="D66" s="1023"/>
      <c r="E66" s="1023"/>
      <c r="F66" s="1023"/>
      <c r="G66" s="1023"/>
      <c r="H66" s="1023"/>
      <c r="I66" s="1023"/>
      <c r="J66" s="1023"/>
      <c r="K66" s="1053"/>
    </row>
    <row r="67" spans="1:11">
      <c r="A67" s="1052"/>
      <c r="B67" s="1023"/>
      <c r="C67" s="1023"/>
      <c r="D67" s="1023"/>
      <c r="E67" s="1023"/>
      <c r="F67" s="1023"/>
      <c r="G67" s="1023"/>
      <c r="H67" s="1023"/>
      <c r="I67" s="1023"/>
      <c r="J67" s="1023"/>
      <c r="K67" s="1053"/>
    </row>
    <row r="68" spans="1:11">
      <c r="A68" s="1052"/>
      <c r="B68" s="1023"/>
      <c r="C68" s="1023"/>
      <c r="D68" s="1023"/>
      <c r="E68" s="1023"/>
      <c r="F68" s="1023"/>
      <c r="G68" s="1023"/>
      <c r="H68" s="1023"/>
      <c r="I68" s="1023"/>
      <c r="J68" s="1023"/>
      <c r="K68" s="1053"/>
    </row>
    <row r="69" spans="1:11">
      <c r="A69" s="1052"/>
      <c r="B69" s="1023"/>
      <c r="C69" s="1023"/>
      <c r="D69" s="1023"/>
      <c r="E69" s="1023"/>
      <c r="F69" s="1023"/>
      <c r="G69" s="1023"/>
      <c r="H69" s="1023"/>
      <c r="I69" s="1023"/>
      <c r="J69" s="1023"/>
      <c r="K69" s="1053"/>
    </row>
    <row r="70" spans="1:11">
      <c r="A70" s="1054"/>
      <c r="B70" s="1017"/>
      <c r="C70" s="1017"/>
      <c r="D70" s="1017"/>
      <c r="E70" s="1017"/>
      <c r="F70" s="1017"/>
      <c r="G70" s="1017"/>
      <c r="H70" s="1017"/>
      <c r="I70" s="1017"/>
      <c r="J70" s="1017"/>
      <c r="K70" s="1055"/>
    </row>
  </sheetData>
  <mergeCells count="12">
    <mergeCell ref="A3:M5"/>
    <mergeCell ref="E7:F7"/>
    <mergeCell ref="L7:M7"/>
    <mergeCell ref="E8:F8"/>
    <mergeCell ref="L8:M8"/>
    <mergeCell ref="E9:F9"/>
    <mergeCell ref="L9:M9"/>
    <mergeCell ref="D29:F29"/>
    <mergeCell ref="A12:F13"/>
    <mergeCell ref="H12:M13"/>
    <mergeCell ref="A25:F26"/>
    <mergeCell ref="H25:M26"/>
  </mergeCells>
  <phoneticPr fontId="121" type="noConversion"/>
  <printOptions horizontalCentered="1" verticalCentered="1"/>
  <pageMargins left="0.35433070866141736" right="0.35433070866141736" top="0.19685039370078741" bottom="0.39370078740157483" header="0" footer="0.19685039370078741"/>
  <pageSetup paperSize="9" scale="68" orientation="landscape" r:id="rId1"/>
  <headerFooter alignWithMargins="0">
    <oddFooter>&amp;CPage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L44"/>
  <sheetViews>
    <sheetView showGridLines="0" topLeftCell="A2" workbookViewId="0">
      <selection activeCell="J14" sqref="J14"/>
    </sheetView>
  </sheetViews>
  <sheetFormatPr defaultRowHeight="13.2"/>
  <cols>
    <col min="1" max="1" width="55.109375" customWidth="1"/>
    <col min="2" max="2" width="12.5546875" hidden="1" customWidth="1"/>
    <col min="3" max="3" width="12.6640625" hidden="1" customWidth="1"/>
    <col min="4" max="4" width="12.6640625" customWidth="1"/>
    <col min="5" max="6" width="12.6640625" hidden="1" customWidth="1"/>
    <col min="7" max="7" width="12.6640625" customWidth="1"/>
    <col min="8" max="8" width="22.88671875" customWidth="1"/>
    <col min="9" max="9" width="0.6640625" customWidth="1"/>
    <col min="10" max="10" width="40.109375" customWidth="1"/>
    <col min="11" max="11" width="17" customWidth="1"/>
    <col min="12" max="12" width="22.44140625" customWidth="1"/>
  </cols>
  <sheetData>
    <row r="1" spans="1:12" ht="21.6" thickBot="1">
      <c r="A1" s="749" t="str">
        <f>'Summary Page'!A1</f>
        <v xml:space="preserve">Finance Report Month 2 2016/17 </v>
      </c>
      <c r="B1" s="750"/>
      <c r="C1" s="750"/>
      <c r="D1" s="750"/>
      <c r="E1" s="750"/>
      <c r="F1" s="750"/>
      <c r="G1" s="750"/>
      <c r="H1" s="751" t="s">
        <v>353</v>
      </c>
      <c r="I1" s="751"/>
      <c r="J1" s="750"/>
      <c r="K1" s="750"/>
      <c r="L1" s="752" t="s">
        <v>30</v>
      </c>
    </row>
    <row r="2" spans="1:12" ht="3.75" customHeight="1">
      <c r="B2" s="41"/>
      <c r="H2" s="41"/>
      <c r="L2" s="110"/>
    </row>
    <row r="3" spans="1:12" ht="12.75" customHeight="1">
      <c r="A3" s="2330" t="s">
        <v>363</v>
      </c>
      <c r="B3" s="2132"/>
      <c r="C3" s="2132"/>
      <c r="D3" s="2132"/>
      <c r="E3" s="2132"/>
      <c r="F3" s="2132"/>
      <c r="G3" s="2132"/>
      <c r="H3" s="2133"/>
      <c r="J3" s="36"/>
      <c r="K3" s="559" t="s">
        <v>833</v>
      </c>
      <c r="L3" s="1740" t="s">
        <v>443</v>
      </c>
    </row>
    <row r="4" spans="1:12" ht="12.75" customHeight="1">
      <c r="A4" s="2285"/>
      <c r="B4" s="2286"/>
      <c r="C4" s="2286"/>
      <c r="D4" s="2286"/>
      <c r="E4" s="2286"/>
      <c r="F4" s="2286"/>
      <c r="G4" s="2286"/>
      <c r="H4" s="2287"/>
      <c r="J4" s="225" t="s">
        <v>355</v>
      </c>
      <c r="K4" s="560">
        <f>SUM(C8:C17)</f>
        <v>4</v>
      </c>
      <c r="L4" s="226">
        <f>SUM(F8:F17)</f>
        <v>4</v>
      </c>
    </row>
    <row r="5" spans="1:12" ht="12.75" customHeight="1">
      <c r="A5" s="2134"/>
      <c r="B5" s="2135"/>
      <c r="C5" s="2135"/>
      <c r="D5" s="2135"/>
      <c r="E5" s="2135"/>
      <c r="F5" s="2135"/>
      <c r="G5" s="2135"/>
      <c r="H5" s="2136"/>
      <c r="J5" s="38"/>
      <c r="K5" s="41"/>
      <c r="L5" s="60"/>
    </row>
    <row r="6" spans="1:12" ht="3.75" customHeight="1">
      <c r="L6" s="110"/>
    </row>
    <row r="7" spans="1:12" ht="25.5" customHeight="1">
      <c r="A7" s="152" t="s">
        <v>566</v>
      </c>
      <c r="B7" s="152" t="s">
        <v>928</v>
      </c>
      <c r="C7" s="152"/>
      <c r="D7" s="152" t="s">
        <v>604</v>
      </c>
      <c r="E7" s="152" t="s">
        <v>928</v>
      </c>
      <c r="F7" s="550"/>
      <c r="G7" s="558" t="s">
        <v>605</v>
      </c>
      <c r="H7" s="230" t="s">
        <v>52</v>
      </c>
      <c r="I7" s="229"/>
      <c r="J7" s="152" t="s">
        <v>929</v>
      </c>
      <c r="K7" s="2356" t="s">
        <v>927</v>
      </c>
      <c r="L7" s="2357"/>
    </row>
    <row r="8" spans="1:12" ht="26.4">
      <c r="A8" s="46" t="s">
        <v>873</v>
      </c>
      <c r="B8" s="149" t="s">
        <v>924</v>
      </c>
      <c r="C8" s="149">
        <f>IF(B8="YES",1,0)</f>
        <v>0</v>
      </c>
      <c r="D8" s="151" t="s">
        <v>31</v>
      </c>
      <c r="E8" s="149" t="s">
        <v>924</v>
      </c>
      <c r="F8" s="149">
        <f t="shared" ref="F8:F17" si="0">IF(E8="YES",1,0)</f>
        <v>0</v>
      </c>
      <c r="G8" s="151" t="s">
        <v>31</v>
      </c>
      <c r="H8" s="767" t="s">
        <v>53</v>
      </c>
      <c r="I8" s="227" t="s">
        <v>554</v>
      </c>
      <c r="J8" s="46" t="s">
        <v>554</v>
      </c>
      <c r="K8" s="2354" t="s">
        <v>554</v>
      </c>
      <c r="L8" s="2355"/>
    </row>
    <row r="9" spans="1:12" ht="62.25" customHeight="1">
      <c r="A9" s="46" t="s">
        <v>370</v>
      </c>
      <c r="B9" s="149" t="s">
        <v>924</v>
      </c>
      <c r="C9" s="149">
        <f t="shared" ref="C9:C17" si="1">IF(B9="YES",1,0)</f>
        <v>0</v>
      </c>
      <c r="D9" s="151" t="s">
        <v>31</v>
      </c>
      <c r="E9" s="149" t="s">
        <v>924</v>
      </c>
      <c r="F9" s="149">
        <f t="shared" si="0"/>
        <v>0</v>
      </c>
      <c r="G9" s="151" t="s">
        <v>31</v>
      </c>
      <c r="H9" s="767" t="s">
        <v>535</v>
      </c>
      <c r="I9" s="227"/>
      <c r="J9" s="769" t="s">
        <v>1020</v>
      </c>
      <c r="K9" s="2354" t="s">
        <v>554</v>
      </c>
      <c r="L9" s="2355"/>
    </row>
    <row r="10" spans="1:12" ht="42.75" customHeight="1">
      <c r="A10" s="46" t="s">
        <v>874</v>
      </c>
      <c r="B10" s="149" t="s">
        <v>924</v>
      </c>
      <c r="C10" s="149">
        <f t="shared" si="1"/>
        <v>0</v>
      </c>
      <c r="D10" s="151" t="s">
        <v>31</v>
      </c>
      <c r="E10" s="149" t="s">
        <v>924</v>
      </c>
      <c r="F10" s="149">
        <f t="shared" si="0"/>
        <v>0</v>
      </c>
      <c r="G10" s="151" t="s">
        <v>31</v>
      </c>
      <c r="H10" s="767" t="s">
        <v>202</v>
      </c>
      <c r="I10" s="227"/>
      <c r="J10" s="46" t="s">
        <v>898</v>
      </c>
      <c r="K10" s="2354" t="s">
        <v>554</v>
      </c>
      <c r="L10" s="2355"/>
    </row>
    <row r="11" spans="1:12" ht="38.25" customHeight="1">
      <c r="A11" s="45" t="s">
        <v>549</v>
      </c>
      <c r="B11" s="149" t="s">
        <v>924</v>
      </c>
      <c r="C11" s="149">
        <f t="shared" si="1"/>
        <v>0</v>
      </c>
      <c r="D11" s="151" t="s">
        <v>31</v>
      </c>
      <c r="E11" s="149" t="s">
        <v>924</v>
      </c>
      <c r="F11" s="149">
        <f t="shared" si="0"/>
        <v>0</v>
      </c>
      <c r="G11" s="151" t="s">
        <v>31</v>
      </c>
      <c r="H11" s="228" t="s">
        <v>551</v>
      </c>
      <c r="I11" s="227"/>
      <c r="J11" s="46" t="s">
        <v>557</v>
      </c>
      <c r="K11" s="2354" t="s">
        <v>557</v>
      </c>
      <c r="L11" s="2355"/>
    </row>
    <row r="12" spans="1:12" ht="39.6">
      <c r="A12" s="46" t="s">
        <v>875</v>
      </c>
      <c r="B12" s="149" t="s">
        <v>923</v>
      </c>
      <c r="C12" s="149">
        <f t="shared" si="1"/>
        <v>1</v>
      </c>
      <c r="D12" s="150" t="s">
        <v>30</v>
      </c>
      <c r="E12" s="149" t="s">
        <v>923</v>
      </c>
      <c r="F12" s="149">
        <f t="shared" si="0"/>
        <v>1</v>
      </c>
      <c r="G12" s="150" t="s">
        <v>30</v>
      </c>
      <c r="H12" s="767" t="s">
        <v>1203</v>
      </c>
      <c r="I12" s="227"/>
      <c r="J12" s="769" t="s">
        <v>61</v>
      </c>
      <c r="K12" s="2358" t="s">
        <v>402</v>
      </c>
      <c r="L12" s="2355"/>
    </row>
    <row r="13" spans="1:12" ht="52.8">
      <c r="A13" s="45" t="s">
        <v>920</v>
      </c>
      <c r="B13" s="149" t="s">
        <v>923</v>
      </c>
      <c r="C13" s="149">
        <f t="shared" si="1"/>
        <v>1</v>
      </c>
      <c r="D13" s="150" t="s">
        <v>30</v>
      </c>
      <c r="E13" s="149" t="s">
        <v>923</v>
      </c>
      <c r="F13" s="149">
        <f t="shared" si="0"/>
        <v>1</v>
      </c>
      <c r="G13" s="150" t="s">
        <v>30</v>
      </c>
      <c r="H13" s="767" t="s">
        <v>1209</v>
      </c>
      <c r="I13" s="227"/>
      <c r="J13" s="769" t="s">
        <v>1210</v>
      </c>
      <c r="K13" s="2358" t="s">
        <v>1187</v>
      </c>
      <c r="L13" s="2355"/>
    </row>
    <row r="14" spans="1:12" ht="38.25" customHeight="1">
      <c r="A14" s="46" t="s">
        <v>926</v>
      </c>
      <c r="B14" s="149" t="s">
        <v>924</v>
      </c>
      <c r="C14" s="149">
        <f t="shared" si="1"/>
        <v>0</v>
      </c>
      <c r="D14" s="151" t="s">
        <v>31</v>
      </c>
      <c r="E14" s="149" t="s">
        <v>924</v>
      </c>
      <c r="F14" s="149">
        <f t="shared" si="0"/>
        <v>0</v>
      </c>
      <c r="G14" s="151" t="s">
        <v>31</v>
      </c>
      <c r="H14" s="767" t="s">
        <v>201</v>
      </c>
      <c r="I14" s="227"/>
      <c r="J14" s="46" t="s">
        <v>557</v>
      </c>
      <c r="K14" s="2354" t="s">
        <v>557</v>
      </c>
      <c r="L14" s="2355"/>
    </row>
    <row r="15" spans="1:12" ht="38.25" customHeight="1">
      <c r="A15" s="45" t="s">
        <v>357</v>
      </c>
      <c r="B15" s="149" t="s">
        <v>923</v>
      </c>
      <c r="C15" s="149">
        <f t="shared" si="1"/>
        <v>1</v>
      </c>
      <c r="D15" s="150" t="s">
        <v>30</v>
      </c>
      <c r="E15" s="149" t="s">
        <v>923</v>
      </c>
      <c r="F15" s="149">
        <v>1</v>
      </c>
      <c r="G15" s="150" t="s">
        <v>30</v>
      </c>
      <c r="H15" s="767" t="s">
        <v>366</v>
      </c>
      <c r="I15" s="227"/>
      <c r="J15" s="46" t="s">
        <v>557</v>
      </c>
      <c r="K15" s="2354" t="s">
        <v>557</v>
      </c>
      <c r="L15" s="2355"/>
    </row>
    <row r="16" spans="1:12" ht="38.25" customHeight="1">
      <c r="A16" s="46" t="s">
        <v>356</v>
      </c>
      <c r="B16" s="1741" t="s">
        <v>924</v>
      </c>
      <c r="C16" s="149">
        <f t="shared" si="1"/>
        <v>0</v>
      </c>
      <c r="D16" s="151" t="s">
        <v>31</v>
      </c>
      <c r="E16" s="149" t="s">
        <v>924</v>
      </c>
      <c r="F16" s="149">
        <f t="shared" si="0"/>
        <v>0</v>
      </c>
      <c r="G16" s="151" t="s">
        <v>31</v>
      </c>
      <c r="H16" s="767" t="s">
        <v>1155</v>
      </c>
      <c r="I16" s="227"/>
      <c r="J16" s="769" t="s">
        <v>1156</v>
      </c>
      <c r="K16" s="2358" t="s">
        <v>1156</v>
      </c>
      <c r="L16" s="2355"/>
    </row>
    <row r="17" spans="1:12" ht="38.25" customHeight="1">
      <c r="A17" s="45" t="s">
        <v>921</v>
      </c>
      <c r="B17" s="149" t="s">
        <v>923</v>
      </c>
      <c r="C17" s="149">
        <f t="shared" si="1"/>
        <v>1</v>
      </c>
      <c r="D17" s="150" t="s">
        <v>30</v>
      </c>
      <c r="E17" s="149" t="s">
        <v>923</v>
      </c>
      <c r="F17" s="149">
        <f t="shared" si="0"/>
        <v>1</v>
      </c>
      <c r="G17" s="150" t="s">
        <v>30</v>
      </c>
      <c r="H17" s="228" t="s">
        <v>418</v>
      </c>
      <c r="I17" s="227"/>
      <c r="J17" s="769" t="s">
        <v>1188</v>
      </c>
      <c r="K17" s="2358" t="s">
        <v>1189</v>
      </c>
      <c r="L17" s="2359"/>
    </row>
    <row r="19" spans="1:12" ht="25.5" customHeight="1">
      <c r="A19" s="2356"/>
      <c r="B19" s="2357"/>
      <c r="C19" s="152"/>
      <c r="D19" s="152" t="s">
        <v>604</v>
      </c>
      <c r="E19" s="550"/>
      <c r="F19" s="550"/>
      <c r="G19" s="558" t="s">
        <v>605</v>
      </c>
      <c r="H19" s="230" t="s">
        <v>567</v>
      </c>
      <c r="I19" s="229"/>
      <c r="J19" s="152" t="s">
        <v>568</v>
      </c>
      <c r="K19" s="2356" t="s">
        <v>569</v>
      </c>
      <c r="L19" s="2357"/>
    </row>
    <row r="20" spans="1:12" ht="38.25" customHeight="1">
      <c r="A20" s="2354" t="s">
        <v>367</v>
      </c>
      <c r="B20" s="2360"/>
      <c r="C20" s="149">
        <f>IF(B20="YES",1,0)</f>
        <v>0</v>
      </c>
      <c r="D20" s="309" t="s">
        <v>32</v>
      </c>
      <c r="E20" s="309"/>
      <c r="F20" s="309"/>
      <c r="G20" s="309" t="s">
        <v>32</v>
      </c>
      <c r="H20" s="228" t="s">
        <v>570</v>
      </c>
      <c r="I20" s="227"/>
      <c r="J20" s="46" t="s">
        <v>901</v>
      </c>
      <c r="K20" s="2354" t="s">
        <v>554</v>
      </c>
      <c r="L20" s="2355"/>
    </row>
    <row r="21" spans="1:12" ht="63" customHeight="1">
      <c r="A21" s="2354" t="s">
        <v>917</v>
      </c>
      <c r="B21" s="2360"/>
      <c r="C21" s="149">
        <f>IF(B21="YES",1,0)</f>
        <v>0</v>
      </c>
      <c r="D21" s="309" t="s">
        <v>32</v>
      </c>
      <c r="E21" s="309"/>
      <c r="F21" s="309"/>
      <c r="G21" s="309" t="s">
        <v>32</v>
      </c>
      <c r="H21" s="767" t="s">
        <v>564</v>
      </c>
      <c r="I21" s="768"/>
      <c r="J21" s="769" t="s">
        <v>913</v>
      </c>
      <c r="K21" s="2354"/>
      <c r="L21" s="2355"/>
    </row>
    <row r="22" spans="1:12" ht="83.25" customHeight="1">
      <c r="A22" s="2354" t="s">
        <v>902</v>
      </c>
      <c r="B22" s="2360"/>
      <c r="C22" s="149">
        <f>IF(B22="YES",1,0)</f>
        <v>0</v>
      </c>
      <c r="D22" s="309" t="s">
        <v>32</v>
      </c>
      <c r="E22" s="309"/>
      <c r="F22" s="309"/>
      <c r="G22" s="309" t="s">
        <v>32</v>
      </c>
      <c r="H22" s="767" t="s">
        <v>911</v>
      </c>
      <c r="I22" s="768"/>
      <c r="J22" s="769" t="s">
        <v>912</v>
      </c>
      <c r="K22" s="2358" t="s">
        <v>1021</v>
      </c>
      <c r="L22" s="2359"/>
    </row>
    <row r="23" spans="1:12" ht="21">
      <c r="A23" s="2354"/>
      <c r="B23" s="2360"/>
      <c r="C23" s="149">
        <f>IF(B23="YES",1,0)</f>
        <v>0</v>
      </c>
      <c r="D23" s="309"/>
      <c r="E23" s="309"/>
      <c r="F23" s="309"/>
      <c r="G23" s="309"/>
      <c r="H23" s="228"/>
      <c r="I23" s="227"/>
      <c r="J23" s="46"/>
      <c r="K23" s="2354"/>
      <c r="L23" s="2355"/>
    </row>
    <row r="24" spans="1:12" ht="52.8" hidden="1">
      <c r="A24" s="2354" t="s">
        <v>903</v>
      </c>
      <c r="B24" s="2360"/>
      <c r="C24" s="149">
        <f>IF(B24="YES",1,0)</f>
        <v>0</v>
      </c>
      <c r="D24" s="309" t="s">
        <v>32</v>
      </c>
      <c r="E24" s="557"/>
      <c r="F24" s="557"/>
      <c r="G24" s="557"/>
      <c r="H24" s="228" t="s">
        <v>368</v>
      </c>
      <c r="I24" s="227"/>
      <c r="J24" s="46" t="s">
        <v>918</v>
      </c>
      <c r="K24" s="46"/>
      <c r="L24" s="46" t="s">
        <v>455</v>
      </c>
    </row>
    <row r="38" spans="1:1">
      <c r="A38" s="241"/>
    </row>
    <row r="44" spans="1:1">
      <c r="A44" s="317"/>
    </row>
  </sheetData>
  <mergeCells count="23">
    <mergeCell ref="K7:L7"/>
    <mergeCell ref="K8:L8"/>
    <mergeCell ref="K9:L9"/>
    <mergeCell ref="A22:B22"/>
    <mergeCell ref="K21:L21"/>
    <mergeCell ref="K15:L15"/>
    <mergeCell ref="K12:L12"/>
    <mergeCell ref="K13:L13"/>
    <mergeCell ref="K10:L10"/>
    <mergeCell ref="K22:L22"/>
    <mergeCell ref="A24:B24"/>
    <mergeCell ref="A3:H5"/>
    <mergeCell ref="A21:B21"/>
    <mergeCell ref="A20:B20"/>
    <mergeCell ref="A19:B19"/>
    <mergeCell ref="A23:B23"/>
    <mergeCell ref="K23:L23"/>
    <mergeCell ref="K19:L19"/>
    <mergeCell ref="K20:L20"/>
    <mergeCell ref="K11:L11"/>
    <mergeCell ref="K14:L14"/>
    <mergeCell ref="K16:L16"/>
    <mergeCell ref="K17:L17"/>
  </mergeCells>
  <phoneticPr fontId="8" type="noConversion"/>
  <printOptions horizontalCentered="1"/>
  <pageMargins left="0.43307086614173229" right="0.39370078740157483" top="0.19685039370078741" bottom="0.39370078740157483" header="0" footer="0.19685039370078741"/>
  <pageSetup paperSize="9" scale="74" orientation="landscape" r:id="rId1"/>
  <headerFooter alignWithMargins="0">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61"/>
  <sheetViews>
    <sheetView showGridLines="0" workbookViewId="0">
      <selection activeCell="E49" sqref="E49"/>
    </sheetView>
  </sheetViews>
  <sheetFormatPr defaultColWidth="9.109375" defaultRowHeight="13.2"/>
  <cols>
    <col min="1" max="1" width="33.6640625" style="1015" customWidth="1"/>
    <col min="2" max="3" width="14.33203125" style="1015" customWidth="1"/>
    <col min="4" max="4" width="12.6640625" style="1015" bestFit="1" customWidth="1"/>
    <col min="5" max="5" width="12.6640625" style="1015" customWidth="1"/>
    <col min="6" max="6" width="14.33203125" style="1015" customWidth="1"/>
    <col min="7" max="7" width="0.6640625" style="1015" customWidth="1"/>
    <col min="8" max="8" width="33.6640625" style="1015" customWidth="1"/>
    <col min="9" max="13" width="14.33203125" style="1015" customWidth="1"/>
    <col min="14" max="16384" width="9.109375" style="1015"/>
  </cols>
  <sheetData>
    <row r="1" spans="1:13" ht="21.6" thickBot="1">
      <c r="A1" s="1007" t="str">
        <f>'Summary Page'!A1</f>
        <v xml:space="preserve">Finance Report Month 2 2016/17 </v>
      </c>
      <c r="B1" s="1008"/>
      <c r="C1" s="1008"/>
      <c r="D1" s="1008"/>
      <c r="E1" s="1009"/>
      <c r="F1" s="1010"/>
      <c r="G1" s="1011" t="s">
        <v>720</v>
      </c>
      <c r="H1" s="1012"/>
      <c r="I1" s="1013"/>
      <c r="J1" s="1010"/>
      <c r="K1" s="1010"/>
      <c r="L1" s="1010"/>
      <c r="M1" s="1014" t="s">
        <v>31</v>
      </c>
    </row>
    <row r="2" spans="1:13" ht="7.5" hidden="1" customHeight="1">
      <c r="A2" s="1016"/>
      <c r="B2" s="1017"/>
      <c r="C2" s="1017"/>
      <c r="D2" s="1017"/>
      <c r="E2" s="1017"/>
      <c r="F2" s="1017"/>
      <c r="G2" s="1017"/>
      <c r="H2" s="1017"/>
      <c r="I2" s="1017"/>
      <c r="J2" s="1017"/>
      <c r="K2" s="1017"/>
      <c r="L2" s="1017"/>
      <c r="M2" s="1017"/>
    </row>
    <row r="3" spans="1:13" ht="12.75" hidden="1" customHeight="1">
      <c r="A3" s="2152" t="s">
        <v>1158</v>
      </c>
      <c r="B3" s="2165"/>
      <c r="C3" s="2165"/>
      <c r="D3" s="2165"/>
      <c r="E3" s="2165"/>
      <c r="F3" s="2165"/>
      <c r="G3" s="2165"/>
      <c r="H3" s="2165"/>
      <c r="I3" s="2165"/>
      <c r="J3" s="2165"/>
      <c r="K3" s="2165"/>
      <c r="L3" s="2165"/>
      <c r="M3" s="2166"/>
    </row>
    <row r="4" spans="1:13" hidden="1">
      <c r="A4" s="2167"/>
      <c r="B4" s="2168"/>
      <c r="C4" s="2168"/>
      <c r="D4" s="2168"/>
      <c r="E4" s="2168"/>
      <c r="F4" s="2168"/>
      <c r="G4" s="2168"/>
      <c r="H4" s="2168"/>
      <c r="I4" s="2168"/>
      <c r="J4" s="2168"/>
      <c r="K4" s="2168"/>
      <c r="L4" s="2168"/>
      <c r="M4" s="2169"/>
    </row>
    <row r="5" spans="1:13" ht="21.75" hidden="1" customHeight="1">
      <c r="A5" s="2170"/>
      <c r="B5" s="2171"/>
      <c r="C5" s="2171"/>
      <c r="D5" s="2171"/>
      <c r="E5" s="2171"/>
      <c r="F5" s="2171"/>
      <c r="G5" s="2171"/>
      <c r="H5" s="2171"/>
      <c r="I5" s="2171"/>
      <c r="J5" s="2171"/>
      <c r="K5" s="2171"/>
      <c r="L5" s="2171"/>
      <c r="M5" s="2172"/>
    </row>
    <row r="6" spans="1:13" ht="4.5" hidden="1" customHeight="1"/>
    <row r="7" spans="1:13" hidden="1">
      <c r="A7" s="1018" t="s">
        <v>930</v>
      </c>
      <c r="B7" s="1019"/>
      <c r="C7" s="1020"/>
      <c r="D7" s="1019"/>
      <c r="E7" s="2173"/>
      <c r="F7" s="2174"/>
      <c r="H7" s="1018" t="s">
        <v>944</v>
      </c>
      <c r="I7" s="1019"/>
      <c r="J7" s="1020"/>
      <c r="K7" s="1019"/>
      <c r="L7" s="2173"/>
      <c r="M7" s="2174"/>
    </row>
    <row r="8" spans="1:13" hidden="1">
      <c r="A8" s="1022"/>
      <c r="B8" s="1023"/>
      <c r="C8" s="1024" t="s">
        <v>721</v>
      </c>
      <c r="D8" s="1024" t="s">
        <v>722</v>
      </c>
      <c r="E8" s="2175"/>
      <c r="F8" s="2176"/>
      <c r="H8" s="1025"/>
      <c r="I8" s="1023"/>
      <c r="J8" s="1024" t="s">
        <v>721</v>
      </c>
      <c r="K8" s="1024" t="s">
        <v>834</v>
      </c>
      <c r="L8" s="2175"/>
      <c r="M8" s="2176"/>
    </row>
    <row r="9" spans="1:13" ht="12.75" hidden="1" customHeight="1">
      <c r="A9" s="1026" t="s">
        <v>720</v>
      </c>
      <c r="B9" s="1023"/>
      <c r="C9" s="1027">
        <f>C23</f>
        <v>3.1</v>
      </c>
      <c r="D9" s="1027">
        <f>E23</f>
        <v>1</v>
      </c>
      <c r="E9" s="2158"/>
      <c r="F9" s="2159"/>
      <c r="H9" s="1026" t="s">
        <v>720</v>
      </c>
      <c r="I9" s="1023"/>
      <c r="J9" s="1027">
        <f>J23</f>
        <v>3.1</v>
      </c>
      <c r="K9" s="1027">
        <f>L23</f>
        <v>1</v>
      </c>
      <c r="L9" s="2158"/>
      <c r="M9" s="2159"/>
    </row>
    <row r="10" spans="1:13" ht="12.75" hidden="1" customHeight="1">
      <c r="A10" s="1028"/>
      <c r="B10" s="1017"/>
      <c r="C10" s="1029"/>
      <c r="D10" s="1017"/>
      <c r="E10" s="1017"/>
      <c r="F10" s="1030"/>
      <c r="H10" s="1028"/>
      <c r="I10" s="1017"/>
      <c r="J10" s="1029"/>
      <c r="K10" s="1017"/>
      <c r="L10" s="1017"/>
      <c r="M10" s="1030"/>
    </row>
    <row r="11" spans="1:13" ht="4.5" hidden="1" customHeight="1">
      <c r="A11" s="1031"/>
      <c r="C11" s="1032"/>
      <c r="D11" s="1033"/>
      <c r="E11" s="1033"/>
      <c r="F11" s="1032"/>
      <c r="H11" s="1031"/>
      <c r="J11" s="1032"/>
      <c r="K11" s="1033"/>
      <c r="L11" s="1033"/>
      <c r="M11" s="1032"/>
    </row>
    <row r="12" spans="1:13" ht="12.75" hidden="1" customHeight="1">
      <c r="A12" s="2152"/>
      <c r="B12" s="2153"/>
      <c r="C12" s="2153"/>
      <c r="D12" s="2153"/>
      <c r="E12" s="2153"/>
      <c r="F12" s="2154"/>
      <c r="H12" s="2152"/>
      <c r="I12" s="2153"/>
      <c r="J12" s="2153"/>
      <c r="K12" s="2153"/>
      <c r="L12" s="2153"/>
      <c r="M12" s="2154"/>
    </row>
    <row r="13" spans="1:13" ht="66" hidden="1" customHeight="1">
      <c r="A13" s="2155"/>
      <c r="B13" s="2156"/>
      <c r="C13" s="2156"/>
      <c r="D13" s="2156"/>
      <c r="E13" s="2156"/>
      <c r="F13" s="2157"/>
      <c r="H13" s="2155"/>
      <c r="I13" s="2156"/>
      <c r="J13" s="2156"/>
      <c r="K13" s="2156"/>
      <c r="L13" s="2156"/>
      <c r="M13" s="2157"/>
    </row>
    <row r="14" spans="1:13" ht="4.5" hidden="1" customHeight="1">
      <c r="A14" s="1034"/>
      <c r="B14" s="1034"/>
      <c r="C14" s="1034"/>
      <c r="D14" s="1034"/>
      <c r="E14" s="1034"/>
      <c r="F14" s="1034"/>
      <c r="H14" s="1034"/>
      <c r="I14" s="1034"/>
      <c r="J14" s="1034"/>
      <c r="K14" s="1034"/>
      <c r="L14" s="1034"/>
      <c r="M14" s="1034"/>
    </row>
    <row r="15" spans="1:13" ht="12.75" hidden="1" customHeight="1">
      <c r="A15" s="1018" t="s">
        <v>930</v>
      </c>
      <c r="B15" s="1019" t="s">
        <v>721</v>
      </c>
      <c r="C15" s="1019" t="s">
        <v>721</v>
      </c>
      <c r="D15" s="1019" t="s">
        <v>722</v>
      </c>
      <c r="E15" s="1019" t="s">
        <v>722</v>
      </c>
      <c r="F15" s="1742"/>
      <c r="H15" s="1018" t="s">
        <v>944</v>
      </c>
      <c r="I15" s="1019" t="s">
        <v>721</v>
      </c>
      <c r="J15" s="1019" t="s">
        <v>721</v>
      </c>
      <c r="K15" s="1019" t="s">
        <v>834</v>
      </c>
      <c r="L15" s="1019" t="s">
        <v>834</v>
      </c>
      <c r="M15" s="1021"/>
    </row>
    <row r="16" spans="1:13" hidden="1">
      <c r="A16" s="1025"/>
      <c r="B16" s="1024" t="s">
        <v>860</v>
      </c>
      <c r="C16" s="1024" t="s">
        <v>861</v>
      </c>
      <c r="D16" s="71" t="s">
        <v>860</v>
      </c>
      <c r="E16" s="71" t="s">
        <v>861</v>
      </c>
      <c r="F16" s="562"/>
      <c r="H16" s="1025"/>
      <c r="I16" s="1024" t="s">
        <v>860</v>
      </c>
      <c r="J16" s="1024" t="s">
        <v>861</v>
      </c>
      <c r="K16" s="71" t="s">
        <v>860</v>
      </c>
      <c r="L16" s="71" t="s">
        <v>861</v>
      </c>
      <c r="M16" s="562"/>
    </row>
    <row r="17" spans="1:13" hidden="1">
      <c r="A17" s="1035" t="s">
        <v>724</v>
      </c>
      <c r="B17" s="1036">
        <f>+I17</f>
        <v>3.3039687206823404E-2</v>
      </c>
      <c r="C17" s="1037">
        <f t="shared" ref="C17:C23" si="0">+J17</f>
        <v>3</v>
      </c>
      <c r="D17" s="1036">
        <f>+'FRR Calcs'!C6/100</f>
        <v>-6.4465918612267151E-2</v>
      </c>
      <c r="E17" s="1037">
        <f>+'FRR Calcs'!C68</f>
        <v>1</v>
      </c>
      <c r="F17" s="1038"/>
      <c r="H17" s="1035" t="s">
        <v>724</v>
      </c>
      <c r="I17" s="1405">
        <f>Surplus!G20/Surplus!G17</f>
        <v>3.3039687206823404E-2</v>
      </c>
      <c r="J17" s="1406">
        <v>3</v>
      </c>
      <c r="K17" s="1236">
        <f>+D17</f>
        <v>-6.4465918612267151E-2</v>
      </c>
      <c r="L17" s="1037">
        <f t="shared" ref="L17:L23" si="1">+E17</f>
        <v>1</v>
      </c>
      <c r="M17" s="1038"/>
    </row>
    <row r="18" spans="1:13" hidden="1">
      <c r="A18" s="1035" t="s">
        <v>727</v>
      </c>
      <c r="B18" s="1039">
        <f t="shared" ref="B18:B21" si="2">+I18</f>
        <v>0.95768434320698659</v>
      </c>
      <c r="C18" s="1037">
        <f t="shared" si="0"/>
        <v>4</v>
      </c>
      <c r="D18" s="1040">
        <f>+'FRR Calcs'!C13/100</f>
        <v>26.898653534417871</v>
      </c>
      <c r="E18" s="1037">
        <f>+'FRR Calcs'!C69</f>
        <v>4</v>
      </c>
      <c r="F18" s="1038"/>
      <c r="H18" s="1035" t="s">
        <v>727</v>
      </c>
      <c r="I18" s="1405">
        <v>0.95768434320698659</v>
      </c>
      <c r="J18" s="1406">
        <v>4</v>
      </c>
      <c r="K18" s="1236">
        <f t="shared" ref="K18:K21" si="3">+D18</f>
        <v>26.898653534417871</v>
      </c>
      <c r="L18" s="1037">
        <f t="shared" si="1"/>
        <v>4</v>
      </c>
      <c r="M18" s="1038"/>
    </row>
    <row r="19" spans="1:13" hidden="1">
      <c r="A19" s="1035" t="s">
        <v>829</v>
      </c>
      <c r="B19" s="1039">
        <f t="shared" si="2"/>
        <v>1.3183317758447095E-2</v>
      </c>
      <c r="C19" s="1037">
        <f t="shared" si="0"/>
        <v>3</v>
      </c>
      <c r="D19" s="1036">
        <f>+'FRR Calcs'!C25/100</f>
        <v>-3.3540335065684539E-2</v>
      </c>
      <c r="E19" s="1037">
        <f>+'FRR Calcs'!C70</f>
        <v>1</v>
      </c>
      <c r="F19" s="1038"/>
      <c r="H19" s="1035" t="s">
        <v>829</v>
      </c>
      <c r="I19" s="1405">
        <v>1.3183317758447095E-2</v>
      </c>
      <c r="J19" s="1406">
        <v>3</v>
      </c>
      <c r="K19" s="1236">
        <f t="shared" si="3"/>
        <v>-3.3540335065684539E-2</v>
      </c>
      <c r="L19" s="1037">
        <f t="shared" si="1"/>
        <v>1</v>
      </c>
      <c r="M19" s="1038"/>
    </row>
    <row r="20" spans="1:13" hidden="1">
      <c r="A20" s="1035" t="s">
        <v>820</v>
      </c>
      <c r="B20" s="1039">
        <f t="shared" si="2"/>
        <v>-2.8328175137388976E-2</v>
      </c>
      <c r="C20" s="1037">
        <f t="shared" si="0"/>
        <v>3</v>
      </c>
      <c r="D20" s="1743">
        <f>+'FRR Calcs'!C35/100</f>
        <v>-0.12703392821710643</v>
      </c>
      <c r="E20" s="1037">
        <f>+'FRR Calcs'!C71</f>
        <v>1</v>
      </c>
      <c r="F20" s="1038"/>
      <c r="H20" s="1035" t="s">
        <v>820</v>
      </c>
      <c r="I20" s="1405">
        <f>Surplus!G33/Surplus!G17</f>
        <v>-2.8328175137388976E-2</v>
      </c>
      <c r="J20" s="1406">
        <v>3</v>
      </c>
      <c r="K20" s="1236">
        <f t="shared" si="3"/>
        <v>-0.12703392821710643</v>
      </c>
      <c r="L20" s="1037">
        <f t="shared" si="1"/>
        <v>1</v>
      </c>
      <c r="M20" s="1038"/>
    </row>
    <row r="21" spans="1:13" hidden="1">
      <c r="A21" s="1035" t="s">
        <v>354</v>
      </c>
      <c r="B21" s="1037">
        <f t="shared" si="2"/>
        <v>16.782098293587403</v>
      </c>
      <c r="C21" s="1037">
        <f t="shared" si="0"/>
        <v>3</v>
      </c>
      <c r="D21" s="1037">
        <f>+'FRR Calcs'!C59</f>
        <v>13.839595055402917</v>
      </c>
      <c r="E21" s="1037">
        <f>+'FRR Calcs'!C72</f>
        <v>2</v>
      </c>
      <c r="F21" s="1038"/>
      <c r="H21" s="1035" t="s">
        <v>354</v>
      </c>
      <c r="I21" s="1037">
        <v>16.782098293587403</v>
      </c>
      <c r="J21" s="1406">
        <v>3</v>
      </c>
      <c r="K21" s="1037">
        <f t="shared" si="3"/>
        <v>13.839595055402917</v>
      </c>
      <c r="L21" s="1037">
        <f t="shared" si="1"/>
        <v>2</v>
      </c>
      <c r="M21" s="1038"/>
    </row>
    <row r="22" spans="1:13" hidden="1">
      <c r="A22" s="1041" t="s">
        <v>835</v>
      </c>
      <c r="B22" s="1042"/>
      <c r="C22" s="1407">
        <f t="shared" si="0"/>
        <v>3.1</v>
      </c>
      <c r="D22" s="1044"/>
      <c r="E22" s="1407">
        <f>+'FRR Calcs'!C73</f>
        <v>1.55</v>
      </c>
      <c r="F22" s="1409"/>
      <c r="H22" s="1041" t="s">
        <v>835</v>
      </c>
      <c r="I22" s="1042"/>
      <c r="J22" s="1410">
        <v>3.1</v>
      </c>
      <c r="K22" s="1044"/>
      <c r="L22" s="1408">
        <f t="shared" si="1"/>
        <v>1.55</v>
      </c>
      <c r="M22" s="1409"/>
    </row>
    <row r="23" spans="1:13" hidden="1">
      <c r="A23" s="245" t="s">
        <v>861</v>
      </c>
      <c r="B23" s="1045"/>
      <c r="C23" s="1046">
        <f t="shared" si="0"/>
        <v>3.1</v>
      </c>
      <c r="D23" s="247"/>
      <c r="E23" s="1046">
        <f>+'FRR Calcs'!C75</f>
        <v>1</v>
      </c>
      <c r="F23" s="1047"/>
      <c r="H23" s="245" t="s">
        <v>861</v>
      </c>
      <c r="I23" s="1045"/>
      <c r="J23" s="1411">
        <v>3.1</v>
      </c>
      <c r="K23" s="247"/>
      <c r="L23" s="1411">
        <f t="shared" si="1"/>
        <v>1</v>
      </c>
      <c r="M23" s="1047"/>
    </row>
    <row r="24" spans="1:13" ht="4.5" hidden="1" customHeight="1"/>
    <row r="25" spans="1:13" ht="12.75" hidden="1" customHeight="1">
      <c r="A25" s="2152" t="s">
        <v>365</v>
      </c>
      <c r="B25" s="2153"/>
      <c r="C25" s="2153"/>
      <c r="D25" s="2153"/>
      <c r="E25" s="2153"/>
      <c r="F25" s="2154"/>
      <c r="H25" s="2152"/>
      <c r="I25" s="2160"/>
      <c r="J25" s="2160"/>
      <c r="K25" s="2160"/>
      <c r="L25" s="2160"/>
      <c r="M25" s="2161"/>
    </row>
    <row r="26" spans="1:13" hidden="1">
      <c r="A26" s="2155"/>
      <c r="B26" s="2156"/>
      <c r="C26" s="2156"/>
      <c r="D26" s="2156"/>
      <c r="E26" s="2156"/>
      <c r="F26" s="2157"/>
      <c r="H26" s="2162"/>
      <c r="I26" s="2163"/>
      <c r="J26" s="2163"/>
      <c r="K26" s="2163"/>
      <c r="L26" s="2163"/>
      <c r="M26" s="2164"/>
    </row>
    <row r="27" spans="1:13" ht="4.5" hidden="1" customHeight="1"/>
    <row r="28" spans="1:13" hidden="1"/>
    <row r="29" spans="1:13" ht="12.75" hidden="1" customHeight="1">
      <c r="A29" s="4" t="s">
        <v>838</v>
      </c>
      <c r="B29" s="5" t="s">
        <v>839</v>
      </c>
      <c r="C29" s="5"/>
      <c r="D29" s="2148" t="s">
        <v>840</v>
      </c>
      <c r="E29" s="2148"/>
      <c r="F29" s="2148"/>
      <c r="G29" s="328"/>
      <c r="H29" s="5"/>
      <c r="I29" s="5" t="s">
        <v>841</v>
      </c>
      <c r="J29" s="5"/>
      <c r="K29" s="5"/>
      <c r="L29" s="5"/>
      <c r="M29" s="329"/>
    </row>
    <row r="30" spans="1:13" hidden="1">
      <c r="A30" s="6"/>
      <c r="B30" s="7"/>
      <c r="C30" s="7"/>
      <c r="D30" s="9"/>
      <c r="E30" s="9"/>
      <c r="F30" s="8"/>
      <c r="G30" s="8"/>
      <c r="H30" s="7"/>
      <c r="I30" s="7">
        <v>5</v>
      </c>
      <c r="J30" s="7">
        <v>4</v>
      </c>
      <c r="K30" s="7">
        <v>3</v>
      </c>
      <c r="L30" s="7">
        <v>2</v>
      </c>
      <c r="M30" s="10">
        <v>1</v>
      </c>
    </row>
    <row r="31" spans="1:13" hidden="1">
      <c r="A31" s="11"/>
      <c r="B31" s="12"/>
      <c r="C31" s="12"/>
      <c r="D31" s="13"/>
      <c r="E31" s="13"/>
      <c r="F31" s="14"/>
      <c r="G31" s="14"/>
      <c r="H31" s="13"/>
      <c r="I31" s="13"/>
      <c r="J31" s="13"/>
      <c r="K31" s="13"/>
      <c r="L31" s="13"/>
      <c r="M31" s="15"/>
    </row>
    <row r="32" spans="1:13" hidden="1">
      <c r="A32" s="16" t="s">
        <v>842</v>
      </c>
      <c r="B32" s="12">
        <v>25</v>
      </c>
      <c r="C32" s="1048">
        <v>0.25</v>
      </c>
      <c r="D32" s="17" t="s">
        <v>843</v>
      </c>
      <c r="E32" s="17"/>
      <c r="F32" s="14"/>
      <c r="G32" s="14"/>
      <c r="H32" s="333"/>
      <c r="I32" s="333">
        <v>10.9</v>
      </c>
      <c r="J32" s="333">
        <v>8.9</v>
      </c>
      <c r="K32" s="333">
        <v>4.9000000000000004</v>
      </c>
      <c r="L32" s="333">
        <v>0.9</v>
      </c>
      <c r="M32" s="18" t="s">
        <v>844</v>
      </c>
    </row>
    <row r="33" spans="1:13" hidden="1">
      <c r="A33" s="19" t="s">
        <v>845</v>
      </c>
      <c r="B33" s="12">
        <v>10</v>
      </c>
      <c r="C33" s="1048">
        <v>0.1</v>
      </c>
      <c r="D33" s="17" t="s">
        <v>846</v>
      </c>
      <c r="E33" s="17"/>
      <c r="F33" s="3"/>
      <c r="G33" s="3"/>
      <c r="H33" s="333"/>
      <c r="I33" s="333">
        <v>99.9</v>
      </c>
      <c r="J33" s="333">
        <v>84.9</v>
      </c>
      <c r="K33" s="333">
        <v>69.900000000000006</v>
      </c>
      <c r="L33" s="333">
        <v>49.9</v>
      </c>
      <c r="M33" s="18" t="s">
        <v>847</v>
      </c>
    </row>
    <row r="34" spans="1:13" hidden="1">
      <c r="A34" s="20" t="s">
        <v>848</v>
      </c>
      <c r="B34" s="21">
        <v>40</v>
      </c>
      <c r="C34" s="1048">
        <v>0.2</v>
      </c>
      <c r="D34" s="17" t="s">
        <v>403</v>
      </c>
      <c r="E34" s="17"/>
      <c r="F34" s="3"/>
      <c r="G34" s="3"/>
      <c r="H34" s="333"/>
      <c r="I34" s="333">
        <v>5.9</v>
      </c>
      <c r="J34" s="333">
        <v>4.9000000000000004</v>
      </c>
      <c r="K34" s="333">
        <v>2.9</v>
      </c>
      <c r="L34" s="333">
        <v>-2.0000010000000001</v>
      </c>
      <c r="M34" s="18" t="s">
        <v>854</v>
      </c>
    </row>
    <row r="35" spans="1:13" hidden="1">
      <c r="A35" s="20"/>
      <c r="B35" s="21"/>
      <c r="C35" s="1048">
        <v>0.2</v>
      </c>
      <c r="D35" s="17" t="s">
        <v>855</v>
      </c>
      <c r="E35" s="17"/>
      <c r="F35" s="22"/>
      <c r="G35" s="22"/>
      <c r="H35" s="333"/>
      <c r="I35" s="333">
        <v>2.9</v>
      </c>
      <c r="J35" s="333">
        <v>1.9</v>
      </c>
      <c r="K35" s="333">
        <v>0.9</v>
      </c>
      <c r="L35" s="333">
        <v>-2.0000010000000001</v>
      </c>
      <c r="M35" s="18" t="s">
        <v>854</v>
      </c>
    </row>
    <row r="36" spans="1:13" hidden="1">
      <c r="A36" s="19" t="s">
        <v>856</v>
      </c>
      <c r="B36" s="12">
        <v>25</v>
      </c>
      <c r="C36" s="1048">
        <v>0.25</v>
      </c>
      <c r="D36" s="17" t="s">
        <v>857</v>
      </c>
      <c r="E36" s="17"/>
      <c r="F36" s="3"/>
      <c r="G36" s="3"/>
      <c r="H36" s="333"/>
      <c r="I36" s="333">
        <v>59.9</v>
      </c>
      <c r="J36" s="333">
        <v>24.9</v>
      </c>
      <c r="K36" s="333">
        <v>14.9</v>
      </c>
      <c r="L36" s="333">
        <v>9.9</v>
      </c>
      <c r="M36" s="18" t="s">
        <v>858</v>
      </c>
    </row>
    <row r="37" spans="1:13" hidden="1">
      <c r="A37" s="23"/>
      <c r="B37" s="24"/>
      <c r="C37" s="3"/>
      <c r="D37" s="13"/>
      <c r="E37" s="13"/>
      <c r="F37" s="3"/>
      <c r="G37" s="3"/>
      <c r="H37" s="12"/>
      <c r="I37" s="12"/>
      <c r="J37" s="12"/>
      <c r="K37" s="12"/>
      <c r="L37" s="12"/>
      <c r="M37" s="18"/>
    </row>
    <row r="38" spans="1:13" hidden="1">
      <c r="A38" s="6" t="s">
        <v>859</v>
      </c>
      <c r="B38" s="26"/>
      <c r="C38" s="27"/>
      <c r="D38" s="26"/>
      <c r="E38" s="26"/>
      <c r="F38" s="8"/>
      <c r="G38" s="8"/>
      <c r="H38" s="26"/>
      <c r="I38" s="26"/>
      <c r="J38" s="26"/>
      <c r="K38" s="26"/>
      <c r="L38" s="26"/>
      <c r="M38" s="28"/>
    </row>
    <row r="39" spans="1:13" hidden="1"/>
    <row r="40" spans="1:13">
      <c r="A40" s="1050"/>
      <c r="B40" s="1020"/>
      <c r="C40" s="1020"/>
      <c r="D40" s="1020"/>
      <c r="E40" s="1020"/>
      <c r="F40" s="1020"/>
      <c r="G40" s="1020"/>
      <c r="H40" s="1020"/>
      <c r="I40" s="1020"/>
      <c r="J40" s="1020"/>
      <c r="K40" s="1020"/>
      <c r="L40" s="1020"/>
      <c r="M40" s="1051"/>
    </row>
    <row r="41" spans="1:13" ht="39" customHeight="1">
      <c r="A41" s="2149" t="s">
        <v>1073</v>
      </c>
      <c r="B41" s="2150"/>
      <c r="C41" s="2150"/>
      <c r="D41" s="2150"/>
      <c r="E41" s="2150"/>
      <c r="F41" s="2150"/>
      <c r="G41" s="2150"/>
      <c r="H41" s="2150"/>
      <c r="I41" s="2150"/>
      <c r="J41" s="2150"/>
      <c r="K41" s="2150"/>
      <c r="L41" s="2150"/>
      <c r="M41" s="2151"/>
    </row>
    <row r="42" spans="1:13">
      <c r="A42" s="1458"/>
      <c r="B42" s="1412"/>
      <c r="C42" s="1412"/>
      <c r="D42" s="1412"/>
      <c r="E42" s="1412"/>
      <c r="F42" s="1412"/>
      <c r="G42" s="1412"/>
      <c r="H42" s="1412"/>
      <c r="I42" s="1412"/>
      <c r="J42" s="1412"/>
      <c r="K42" s="1412"/>
      <c r="L42" s="1412"/>
      <c r="M42" s="1413"/>
    </row>
    <row r="43" spans="1:13">
      <c r="A43" s="1459"/>
      <c r="B43" s="1414"/>
      <c r="C43" s="1414"/>
      <c r="D43" s="1414"/>
      <c r="E43" s="1414"/>
      <c r="F43" s="1414"/>
      <c r="G43" s="1414"/>
      <c r="H43" s="1414"/>
      <c r="I43" s="1414"/>
      <c r="J43" s="1414"/>
      <c r="K43" s="1414"/>
      <c r="L43" s="1414"/>
      <c r="M43" s="1415"/>
    </row>
    <row r="45" spans="1:13">
      <c r="A45" s="1416" t="s">
        <v>930</v>
      </c>
      <c r="B45" s="1019"/>
      <c r="C45" s="1019"/>
      <c r="D45" s="1019" t="s">
        <v>722</v>
      </c>
      <c r="E45" s="1019" t="s">
        <v>722</v>
      </c>
      <c r="F45" s="1021"/>
      <c r="H45" s="1018" t="s">
        <v>944</v>
      </c>
      <c r="I45" s="1019"/>
      <c r="J45" s="1019"/>
      <c r="K45" s="1019" t="s">
        <v>834</v>
      </c>
      <c r="L45" s="1019" t="s">
        <v>834</v>
      </c>
      <c r="M45" s="1021"/>
    </row>
    <row r="46" spans="1:13">
      <c r="A46" s="1025"/>
      <c r="B46" s="1024"/>
      <c r="C46" s="1024"/>
      <c r="D46" s="71" t="s">
        <v>860</v>
      </c>
      <c r="E46" s="71" t="s">
        <v>861</v>
      </c>
      <c r="F46" s="562"/>
      <c r="H46" s="1025"/>
      <c r="I46" s="1024"/>
      <c r="J46" s="1024"/>
      <c r="K46" s="71" t="s">
        <v>860</v>
      </c>
      <c r="L46" s="71" t="s">
        <v>861</v>
      </c>
      <c r="M46" s="562"/>
    </row>
    <row r="47" spans="1:13">
      <c r="A47" s="1402" t="s">
        <v>817</v>
      </c>
      <c r="B47" s="1039"/>
      <c r="C47" s="1037"/>
      <c r="D47" s="1602">
        <f>'COSratings calcs'!H30</f>
        <v>-16.270712478123361</v>
      </c>
      <c r="E47" s="1434">
        <f>'COSratings calcs'!H31</f>
        <v>1</v>
      </c>
      <c r="F47" s="1038"/>
      <c r="H47" s="1402" t="s">
        <v>817</v>
      </c>
      <c r="I47" s="1405"/>
      <c r="J47" s="1406"/>
      <c r="K47" s="1602">
        <f>'COSratings calcs'!J30</f>
        <v>-17.94656561127367</v>
      </c>
      <c r="L47" s="1434">
        <f>'COSratings calcs'!J31</f>
        <v>1</v>
      </c>
      <c r="M47" s="1038"/>
    </row>
    <row r="48" spans="1:13">
      <c r="A48" s="1402"/>
      <c r="B48" s="1039"/>
      <c r="C48" s="1037"/>
      <c r="D48" s="1048"/>
      <c r="E48" s="1434"/>
      <c r="F48" s="1038"/>
      <c r="H48" s="1402"/>
      <c r="I48" s="1405"/>
      <c r="J48" s="1406"/>
      <c r="K48" s="1048"/>
      <c r="L48" s="1434"/>
      <c r="M48" s="1038"/>
    </row>
    <row r="49" spans="1:13">
      <c r="A49" s="1402" t="s">
        <v>818</v>
      </c>
      <c r="B49" s="1039"/>
      <c r="C49" s="1037"/>
      <c r="D49" s="1603">
        <f>'COSratings calcs'!H33</f>
        <v>-1.8657629537436877</v>
      </c>
      <c r="E49" s="1434">
        <f>'COSratings calcs'!H34</f>
        <v>1</v>
      </c>
      <c r="F49" s="1038"/>
      <c r="H49" s="1402" t="s">
        <v>818</v>
      </c>
      <c r="I49" s="1405"/>
      <c r="J49" s="1406"/>
      <c r="K49" s="1603">
        <f>'COSratings calcs'!J33</f>
        <v>0.94553746873524624</v>
      </c>
      <c r="L49" s="1434">
        <f>'COSratings calcs'!J34</f>
        <v>1</v>
      </c>
      <c r="M49" s="1038"/>
    </row>
    <row r="50" spans="1:13">
      <c r="A50" s="1402"/>
      <c r="B50" s="1039"/>
      <c r="C50" s="1037"/>
      <c r="D50" s="1435"/>
      <c r="E50" s="1434"/>
      <c r="F50" s="1038"/>
      <c r="H50" s="1402"/>
      <c r="I50" s="1405"/>
      <c r="J50" s="1406"/>
      <c r="K50" s="1437"/>
      <c r="L50" s="1434"/>
      <c r="M50" s="1038"/>
    </row>
    <row r="51" spans="1:13">
      <c r="A51" s="1402" t="s">
        <v>285</v>
      </c>
      <c r="B51" s="1037"/>
      <c r="C51" s="1037"/>
      <c r="D51" s="1434"/>
      <c r="E51" s="1436">
        <f>'COSratings calcs'!H36</f>
        <v>1</v>
      </c>
      <c r="F51" s="1038"/>
      <c r="H51" s="1402" t="s">
        <v>285</v>
      </c>
      <c r="I51" s="1037"/>
      <c r="J51" s="1406"/>
      <c r="K51" s="1434"/>
      <c r="L51" s="1436">
        <f>'COSratings calcs'!J36</f>
        <v>1</v>
      </c>
      <c r="M51" s="1038"/>
    </row>
    <row r="52" spans="1:13">
      <c r="A52" s="1052"/>
      <c r="B52" s="1042"/>
      <c r="C52" s="1407"/>
      <c r="D52" s="1044"/>
      <c r="E52" s="1408"/>
      <c r="F52" s="1409"/>
      <c r="H52" s="1041"/>
      <c r="I52" s="1042"/>
      <c r="J52" s="1410"/>
      <c r="K52" s="1044"/>
      <c r="L52" s="1408"/>
      <c r="M52" s="1409"/>
    </row>
    <row r="53" spans="1:13">
      <c r="A53" s="245"/>
      <c r="B53" s="1045"/>
      <c r="C53" s="1046"/>
      <c r="D53" s="247"/>
      <c r="E53" s="1046"/>
      <c r="F53" s="1047"/>
      <c r="H53" s="245"/>
      <c r="I53" s="1045"/>
      <c r="J53" s="1411"/>
      <c r="K53" s="247"/>
      <c r="L53" s="1411"/>
      <c r="M53" s="1047"/>
    </row>
    <row r="56" spans="1:13">
      <c r="A56" s="4" t="s">
        <v>838</v>
      </c>
      <c r="B56" s="5" t="s">
        <v>839</v>
      </c>
      <c r="C56" s="5"/>
      <c r="D56" s="2148" t="s">
        <v>840</v>
      </c>
      <c r="E56" s="2148"/>
      <c r="F56" s="2148"/>
      <c r="G56" s="328"/>
      <c r="H56" s="5"/>
      <c r="I56" s="5" t="s">
        <v>841</v>
      </c>
      <c r="J56" s="5"/>
      <c r="K56" s="5"/>
      <c r="L56" s="5"/>
      <c r="M56" s="329"/>
    </row>
    <row r="57" spans="1:13">
      <c r="A57" s="6"/>
      <c r="B57" s="7"/>
      <c r="C57" s="7"/>
      <c r="D57" s="9"/>
      <c r="E57" s="9"/>
      <c r="F57" s="8"/>
      <c r="G57" s="8"/>
      <c r="H57" s="7"/>
      <c r="I57" s="7">
        <v>4</v>
      </c>
      <c r="J57" s="7">
        <v>3</v>
      </c>
      <c r="K57" s="7">
        <v>2</v>
      </c>
      <c r="L57" s="7">
        <v>1</v>
      </c>
      <c r="M57" s="10"/>
    </row>
    <row r="58" spans="1:13">
      <c r="A58" s="11"/>
      <c r="B58" s="12"/>
      <c r="C58" s="12"/>
      <c r="D58" s="13"/>
      <c r="E58" s="13"/>
      <c r="F58" s="14"/>
      <c r="G58" s="14"/>
      <c r="H58" s="13"/>
      <c r="I58" s="13"/>
      <c r="J58" s="13"/>
      <c r="K58" s="13"/>
      <c r="L58" s="13"/>
      <c r="M58" s="15"/>
    </row>
    <row r="59" spans="1:13">
      <c r="A59" s="16" t="s">
        <v>817</v>
      </c>
      <c r="B59" s="12">
        <v>1</v>
      </c>
      <c r="C59" s="1048">
        <v>0.5</v>
      </c>
      <c r="D59" s="17" t="s">
        <v>857</v>
      </c>
      <c r="E59" s="17"/>
      <c r="F59" s="14"/>
      <c r="G59" s="14"/>
      <c r="H59" s="333"/>
      <c r="I59" s="333">
        <v>1E-3</v>
      </c>
      <c r="J59" s="333">
        <v>-6.9989999999999997</v>
      </c>
      <c r="K59" s="333">
        <v>-13.999000000000001</v>
      </c>
      <c r="L59" s="333" t="s">
        <v>1074</v>
      </c>
      <c r="M59" s="18"/>
    </row>
    <row r="60" spans="1:13">
      <c r="A60" s="19" t="s">
        <v>818</v>
      </c>
      <c r="B60" s="12">
        <v>1</v>
      </c>
      <c r="C60" s="1048">
        <v>0.5</v>
      </c>
      <c r="D60" s="17" t="s">
        <v>1075</v>
      </c>
      <c r="E60" s="17"/>
      <c r="F60" s="3"/>
      <c r="G60" s="3"/>
      <c r="H60" s="333"/>
      <c r="I60" s="333">
        <v>2.4990000000000001</v>
      </c>
      <c r="J60" s="333">
        <v>1.7499</v>
      </c>
      <c r="K60" s="333">
        <v>1.2499</v>
      </c>
      <c r="L60" s="333" t="s">
        <v>300</v>
      </c>
      <c r="M60" s="18"/>
    </row>
    <row r="61" spans="1:13">
      <c r="A61" s="6"/>
      <c r="B61" s="26"/>
      <c r="C61" s="27"/>
      <c r="D61" s="26"/>
      <c r="E61" s="26"/>
      <c r="F61" s="8"/>
      <c r="G61" s="8"/>
      <c r="H61" s="26"/>
      <c r="I61" s="26"/>
      <c r="J61" s="26"/>
      <c r="K61" s="26"/>
      <c r="L61" s="26"/>
      <c r="M61" s="28"/>
    </row>
  </sheetData>
  <mergeCells count="14">
    <mergeCell ref="A3:M5"/>
    <mergeCell ref="E7:F7"/>
    <mergeCell ref="L7:M7"/>
    <mergeCell ref="E8:F8"/>
    <mergeCell ref="L8:M8"/>
    <mergeCell ref="D56:F56"/>
    <mergeCell ref="A41:M41"/>
    <mergeCell ref="A12:F13"/>
    <mergeCell ref="E9:F9"/>
    <mergeCell ref="L9:M9"/>
    <mergeCell ref="H12:M13"/>
    <mergeCell ref="A25:F26"/>
    <mergeCell ref="H25:M26"/>
    <mergeCell ref="D29:F29"/>
  </mergeCells>
  <phoneticPr fontId="130" type="noConversion"/>
  <printOptions horizontalCentered="1" verticalCentered="1"/>
  <pageMargins left="0.35433070866141736" right="0.35433070866141736" top="0.19685039370078741" bottom="0.39370078740157483" header="0" footer="0.19685039370078741"/>
  <pageSetup paperSize="9" scale="68" orientation="landscape" r:id="rId1"/>
  <headerFooter alignWithMargins="0">
    <oddFooter>&amp;CPage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7"/>
  </sheetPr>
  <dimension ref="A1:B7"/>
  <sheetViews>
    <sheetView workbookViewId="0">
      <selection activeCell="A32" sqref="A32"/>
    </sheetView>
  </sheetViews>
  <sheetFormatPr defaultRowHeight="13.2"/>
  <cols>
    <col min="1" max="1" width="82" bestFit="1" customWidth="1"/>
  </cols>
  <sheetData>
    <row r="1" spans="1:2">
      <c r="A1" t="s">
        <v>558</v>
      </c>
      <c r="B1" s="308"/>
    </row>
    <row r="2" spans="1:2">
      <c r="A2" t="s">
        <v>459</v>
      </c>
      <c r="B2" s="231"/>
    </row>
    <row r="3" spans="1:2">
      <c r="A3" t="s">
        <v>457</v>
      </c>
    </row>
    <row r="4" spans="1:2">
      <c r="A4" t="s">
        <v>458</v>
      </c>
    </row>
    <row r="5" spans="1:2">
      <c r="A5" t="s">
        <v>559</v>
      </c>
    </row>
    <row r="7" spans="1:2">
      <c r="A7" t="s">
        <v>560</v>
      </c>
    </row>
  </sheetData>
  <phoneticPr fontId="8"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8"/>
  <sheetViews>
    <sheetView showGridLines="0" topLeftCell="C1" workbookViewId="0">
      <selection activeCell="K7" sqref="K7:P11"/>
    </sheetView>
  </sheetViews>
  <sheetFormatPr defaultColWidth="9.109375" defaultRowHeight="13.2"/>
  <cols>
    <col min="1" max="1" width="29.5546875" style="422" customWidth="1"/>
    <col min="2" max="5" width="11.44140625" style="422" customWidth="1"/>
    <col min="6" max="6" width="1.109375" style="422" customWidth="1"/>
    <col min="7" max="8" width="11.44140625" style="422" customWidth="1"/>
    <col min="9" max="9" width="10.109375" style="422" bestFit="1" customWidth="1"/>
    <col min="10" max="10" width="2.44140625" style="422" customWidth="1"/>
    <col min="11" max="11" width="21.6640625" style="422" customWidth="1"/>
    <col min="12" max="12" width="10.33203125" style="422" customWidth="1"/>
    <col min="13" max="15" width="9.109375" style="422"/>
    <col min="16" max="16" width="8.88671875" style="422" customWidth="1"/>
    <col min="17" max="17" width="9.33203125" style="422" customWidth="1"/>
    <col min="18" max="20" width="9.109375" style="422"/>
    <col min="21" max="21" width="10.5546875" style="422" customWidth="1"/>
    <col min="22" max="16384" width="9.109375" style="422"/>
  </cols>
  <sheetData>
    <row r="1" spans="1:16" ht="21.6" thickBot="1">
      <c r="A1" s="2007" t="str">
        <f>'Summary Page'!A1</f>
        <v xml:space="preserve">Finance Report Month 2 2016/17 </v>
      </c>
      <c r="B1" s="2008"/>
      <c r="C1" s="2008"/>
      <c r="D1" s="2009"/>
      <c r="E1" s="2008"/>
      <c r="F1" s="2008"/>
      <c r="G1" s="2009"/>
      <c r="H1" s="2008"/>
      <c r="I1" s="2010" t="s">
        <v>1238</v>
      </c>
      <c r="J1" s="2009"/>
      <c r="K1" s="2008"/>
      <c r="L1" s="2008"/>
      <c r="M1" s="2009"/>
      <c r="N1" s="2008"/>
      <c r="O1" s="2008"/>
      <c r="P1" s="2011" t="s">
        <v>30</v>
      </c>
    </row>
    <row r="2" spans="1:16" ht="3.75" customHeight="1">
      <c r="A2" s="423"/>
      <c r="B2" s="421"/>
      <c r="C2" s="421"/>
      <c r="D2" s="421"/>
      <c r="E2" s="421"/>
      <c r="F2" s="421"/>
      <c r="G2" s="421"/>
      <c r="H2" s="421"/>
    </row>
    <row r="3" spans="1:16" ht="12.75" customHeight="1">
      <c r="A3" s="2361" t="s">
        <v>1404</v>
      </c>
      <c r="B3" s="2362"/>
      <c r="C3" s="2362"/>
      <c r="D3" s="2362"/>
      <c r="E3" s="2362"/>
      <c r="F3" s="2362"/>
      <c r="G3" s="2362"/>
      <c r="H3" s="2362"/>
      <c r="I3" s="2362"/>
      <c r="J3" s="2362"/>
      <c r="K3" s="2362"/>
      <c r="L3" s="2362"/>
      <c r="M3" s="2362"/>
      <c r="N3" s="2362"/>
      <c r="O3" s="2362"/>
      <c r="P3" s="2363"/>
    </row>
    <row r="4" spans="1:16" ht="12.75" customHeight="1">
      <c r="A4" s="2364"/>
      <c r="B4" s="2365"/>
      <c r="C4" s="2365"/>
      <c r="D4" s="2365"/>
      <c r="E4" s="2365"/>
      <c r="F4" s="2365"/>
      <c r="G4" s="2365"/>
      <c r="H4" s="2365"/>
      <c r="I4" s="2365"/>
      <c r="J4" s="2365"/>
      <c r="K4" s="2365"/>
      <c r="L4" s="2365"/>
      <c r="M4" s="2365"/>
      <c r="N4" s="2365"/>
      <c r="O4" s="2365"/>
      <c r="P4" s="2366"/>
    </row>
    <row r="5" spans="1:16" ht="28.5" customHeight="1">
      <c r="A5" s="2367"/>
      <c r="B5" s="2368"/>
      <c r="C5" s="2368"/>
      <c r="D5" s="2368"/>
      <c r="E5" s="2368"/>
      <c r="F5" s="2368"/>
      <c r="G5" s="2368"/>
      <c r="H5" s="2368"/>
      <c r="I5" s="2368"/>
      <c r="J5" s="2368"/>
      <c r="K5" s="2368"/>
      <c r="L5" s="2368"/>
      <c r="M5" s="2368"/>
      <c r="N5" s="2368"/>
      <c r="O5" s="2368"/>
      <c r="P5" s="2369"/>
    </row>
    <row r="6" spans="1:16" ht="4.5" customHeight="1"/>
    <row r="7" spans="1:16" ht="12.75" customHeight="1">
      <c r="A7" s="424"/>
      <c r="B7" s="425"/>
      <c r="C7" s="2370" t="s">
        <v>4</v>
      </c>
      <c r="D7" s="2370"/>
      <c r="E7" s="2371"/>
      <c r="F7" s="1898"/>
      <c r="G7" s="2372" t="s">
        <v>221</v>
      </c>
      <c r="H7" s="2370"/>
      <c r="I7" s="2371"/>
      <c r="K7" s="2361" t="s">
        <v>1313</v>
      </c>
      <c r="L7" s="2362"/>
      <c r="M7" s="2362"/>
      <c r="N7" s="2362"/>
      <c r="O7" s="2362"/>
      <c r="P7" s="2363"/>
    </row>
    <row r="8" spans="1:16">
      <c r="A8" s="439"/>
      <c r="B8" s="421"/>
      <c r="C8" s="1899" t="s">
        <v>721</v>
      </c>
      <c r="D8" s="1899" t="s">
        <v>834</v>
      </c>
      <c r="E8" s="1900" t="s">
        <v>723</v>
      </c>
      <c r="F8" s="1898"/>
      <c r="G8" s="1901" t="s">
        <v>721</v>
      </c>
      <c r="H8" s="1899" t="s">
        <v>834</v>
      </c>
      <c r="I8" s="1900" t="s">
        <v>723</v>
      </c>
      <c r="J8" s="427"/>
      <c r="K8" s="2364"/>
      <c r="L8" s="2365"/>
      <c r="M8" s="2365"/>
      <c r="N8" s="2365"/>
      <c r="O8" s="2365"/>
      <c r="P8" s="2366"/>
    </row>
    <row r="9" spans="1:16" ht="15.75" customHeight="1">
      <c r="A9" s="1281"/>
      <c r="B9" s="427"/>
      <c r="C9" s="1899" t="s">
        <v>948</v>
      </c>
      <c r="D9" s="1899" t="s">
        <v>948</v>
      </c>
      <c r="E9" s="1900" t="s">
        <v>948</v>
      </c>
      <c r="F9" s="1898"/>
      <c r="G9" s="1901" t="s">
        <v>948</v>
      </c>
      <c r="H9" s="1899" t="s">
        <v>948</v>
      </c>
      <c r="I9" s="1900" t="s">
        <v>948</v>
      </c>
      <c r="K9" s="2364"/>
      <c r="L9" s="2365"/>
      <c r="M9" s="2365"/>
      <c r="N9" s="2365"/>
      <c r="O9" s="2365"/>
      <c r="P9" s="2366"/>
    </row>
    <row r="10" spans="1:16">
      <c r="A10" s="428" t="s">
        <v>947</v>
      </c>
      <c r="B10" s="421"/>
      <c r="C10" s="1337">
        <f>C30</f>
        <v>1033.152909326813</v>
      </c>
      <c r="D10" s="1337">
        <f>D30</f>
        <v>1381.6666666666667</v>
      </c>
      <c r="E10" s="1338">
        <f>E30</f>
        <v>348.51375733985378</v>
      </c>
      <c r="F10" s="1898"/>
      <c r="G10" s="1339">
        <f>G30</f>
        <v>25103.67384116312</v>
      </c>
      <c r="H10" s="1337">
        <f>H30</f>
        <v>25103.766053193805</v>
      </c>
      <c r="I10" s="1338">
        <f>I30</f>
        <v>9.2212030685914215E-2</v>
      </c>
      <c r="J10" s="1282"/>
      <c r="K10" s="2364"/>
      <c r="L10" s="2365"/>
      <c r="M10" s="2365"/>
      <c r="N10" s="2365"/>
      <c r="O10" s="2365"/>
      <c r="P10" s="2366"/>
    </row>
    <row r="11" spans="1:16" ht="18.75" customHeight="1">
      <c r="A11" s="429"/>
      <c r="B11" s="743"/>
      <c r="C11" s="430"/>
      <c r="D11" s="430"/>
      <c r="E11" s="431"/>
      <c r="F11" s="1898"/>
      <c r="G11" s="1283"/>
      <c r="H11" s="430"/>
      <c r="I11" s="431"/>
      <c r="J11" s="1282"/>
      <c r="K11" s="2367"/>
      <c r="L11" s="2368"/>
      <c r="M11" s="2368"/>
      <c r="N11" s="2368"/>
      <c r="O11" s="2368"/>
      <c r="P11" s="2369"/>
    </row>
    <row r="12" spans="1:16" ht="12.75" customHeight="1">
      <c r="A12" s="432"/>
      <c r="B12" s="1902"/>
      <c r="C12" s="1902"/>
      <c r="D12" s="1959" t="s">
        <v>930</v>
      </c>
      <c r="E12" s="1287"/>
      <c r="F12" s="1898"/>
      <c r="G12" s="424"/>
      <c r="H12" s="1959" t="s">
        <v>221</v>
      </c>
      <c r="I12" s="1287"/>
      <c r="J12" s="1284"/>
    </row>
    <row r="13" spans="1:16" ht="12.75" customHeight="1">
      <c r="A13" s="1786" t="s">
        <v>1196</v>
      </c>
      <c r="B13" s="1898"/>
      <c r="C13" s="1903" t="s">
        <v>721</v>
      </c>
      <c r="D13" s="1903" t="s">
        <v>722</v>
      </c>
      <c r="E13" s="1904" t="s">
        <v>723</v>
      </c>
      <c r="F13" s="1898"/>
      <c r="G13" s="1905" t="s">
        <v>721</v>
      </c>
      <c r="H13" s="1906" t="s">
        <v>834</v>
      </c>
      <c r="I13" s="1904" t="s">
        <v>723</v>
      </c>
      <c r="J13" s="1284"/>
    </row>
    <row r="14" spans="1:16" ht="12.75" customHeight="1">
      <c r="A14" s="1907"/>
      <c r="B14" s="1899"/>
      <c r="C14" s="1899" t="s">
        <v>948</v>
      </c>
      <c r="D14" s="1899" t="s">
        <v>948</v>
      </c>
      <c r="E14" s="1900" t="s">
        <v>948</v>
      </c>
      <c r="F14" s="1899"/>
      <c r="G14" s="1901" t="s">
        <v>948</v>
      </c>
      <c r="H14" s="1899" t="s">
        <v>948</v>
      </c>
      <c r="I14" s="1288" t="s">
        <v>948</v>
      </c>
    </row>
    <row r="15" spans="1:16" ht="12.75" customHeight="1">
      <c r="A15" s="433" t="str">
        <f>'Monthly workings for CIPs'!A45</f>
        <v>Back Office &amp; Commercial</v>
      </c>
      <c r="B15" s="1789" t="str">
        <f>'Monthly workings for CIPs'!B45</f>
        <v>Income</v>
      </c>
      <c r="C15" s="434">
        <f>'Monthly workings for CIPs'!C45</f>
        <v>335.83333333333331</v>
      </c>
      <c r="D15" s="434">
        <f>'Monthly workings for CIPs'!D45+0.5</f>
        <v>610.5</v>
      </c>
      <c r="E15" s="435">
        <f>D15-C15</f>
        <v>274.66666666666669</v>
      </c>
      <c r="F15" s="1789"/>
      <c r="G15" s="1891">
        <f>'Monthly workings for CIPs'!F45</f>
        <v>2560</v>
      </c>
      <c r="H15" s="1917">
        <f>'Monthly workings for CIPs'!G45</f>
        <v>2560</v>
      </c>
      <c r="I15" s="435">
        <f>H15-G15</f>
        <v>0</v>
      </c>
    </row>
    <row r="16" spans="1:16" ht="12.75" customHeight="1">
      <c r="A16" s="433" t="str">
        <f>'Monthly workings for CIPs'!A46</f>
        <v>Back Office &amp; Commercial</v>
      </c>
      <c r="B16" s="1789" t="str">
        <f>'Monthly workings for CIPs'!B46</f>
        <v>Non Pay</v>
      </c>
      <c r="C16" s="434">
        <f>'Monthly workings for CIPs'!C46</f>
        <v>661.35874266014639</v>
      </c>
      <c r="D16" s="434">
        <f>'Monthly workings for CIPs'!D46</f>
        <v>757</v>
      </c>
      <c r="E16" s="435">
        <f t="shared" ref="E16:E27" si="0">D16-C16</f>
        <v>95.64125733985361</v>
      </c>
      <c r="F16" s="1789"/>
      <c r="G16" s="1891">
        <f>'Monthly workings for CIPs'!F46</f>
        <v>7125.0002879693138</v>
      </c>
      <c r="H16" s="1917">
        <f>'Monthly workings for CIPs'!G46-0.5</f>
        <v>7125.5</v>
      </c>
      <c r="I16" s="435">
        <f t="shared" ref="I16:I27" si="1">H16-G16</f>
        <v>0.49971203068616887</v>
      </c>
    </row>
    <row r="17" spans="1:9" ht="12.75" customHeight="1">
      <c r="A17" s="433" t="str">
        <f>'Monthly workings for CIPs'!A47</f>
        <v>Clinical Workforce</v>
      </c>
      <c r="B17" s="1789" t="str">
        <f>'Monthly workings for CIPs'!B47</f>
        <v>Pay Skill</v>
      </c>
      <c r="C17" s="434">
        <f>'Monthly workings for CIPs'!C47</f>
        <v>0</v>
      </c>
      <c r="D17" s="434">
        <f>'Monthly workings for CIPs'!D47</f>
        <v>0</v>
      </c>
      <c r="E17" s="435">
        <f t="shared" si="0"/>
        <v>0</v>
      </c>
      <c r="F17" s="1789"/>
      <c r="G17" s="1891">
        <f>'Monthly workings for CIPs'!F47</f>
        <v>3776.0000000000005</v>
      </c>
      <c r="H17" s="1917">
        <f>'Monthly workings for CIPs'!G47</f>
        <v>3776.0000000000005</v>
      </c>
      <c r="I17" s="435">
        <f t="shared" si="1"/>
        <v>0</v>
      </c>
    </row>
    <row r="18" spans="1:9" ht="12.75" customHeight="1">
      <c r="A18" s="433" t="str">
        <f>'Monthly workings for CIPs'!A48</f>
        <v>Major IT Programme</v>
      </c>
      <c r="B18" s="1789" t="str">
        <f>'Monthly workings for CIPs'!B48</f>
        <v>Non Pay</v>
      </c>
      <c r="C18" s="434">
        <f>'Monthly workings for CIPs'!C48</f>
        <v>0</v>
      </c>
      <c r="D18" s="434">
        <f>'Monthly workings for CIPs'!D48</f>
        <v>0</v>
      </c>
      <c r="E18" s="435">
        <f t="shared" si="0"/>
        <v>0</v>
      </c>
      <c r="F18" s="1789"/>
      <c r="G18" s="1891">
        <f>'Monthly workings for CIPs'!F48</f>
        <v>107.90799999999999</v>
      </c>
      <c r="H18" s="1917">
        <f>'Monthly workings for CIPs'!G48</f>
        <v>107.90799999999999</v>
      </c>
      <c r="I18" s="435">
        <f t="shared" si="1"/>
        <v>0</v>
      </c>
    </row>
    <row r="19" spans="1:9">
      <c r="A19" s="433" t="str">
        <f>'Monthly workings for CIPs'!A49</f>
        <v>Medical Workforce</v>
      </c>
      <c r="B19" s="1789" t="str">
        <f>'Monthly workings for CIPs'!B49</f>
        <v>Pay Skill</v>
      </c>
      <c r="C19" s="434">
        <f>'Monthly workings for CIPs'!C49</f>
        <v>0</v>
      </c>
      <c r="D19" s="434">
        <f>'Monthly workings for CIPs'!D49</f>
        <v>0</v>
      </c>
      <c r="E19" s="435">
        <f t="shared" si="0"/>
        <v>0</v>
      </c>
      <c r="F19" s="1789"/>
      <c r="G19" s="1891">
        <f>'Monthly workings for CIPs'!F49</f>
        <v>2557.2880531938081</v>
      </c>
      <c r="H19" s="1917">
        <f>'Monthly workings for CIPs'!G49</f>
        <v>2557.2880531938081</v>
      </c>
      <c r="I19" s="435">
        <f t="shared" si="1"/>
        <v>0</v>
      </c>
    </row>
    <row r="20" spans="1:9" ht="12.75" customHeight="1">
      <c r="A20" s="433" t="str">
        <f>'Monthly workings for CIPs'!A50</f>
        <v>Medical Workforce</v>
      </c>
      <c r="B20" s="1789" t="str">
        <f>'Monthly workings for CIPs'!B50</f>
        <v>Pay WTE</v>
      </c>
      <c r="C20" s="434">
        <f>'Monthly workings for CIPs'!C50</f>
        <v>0</v>
      </c>
      <c r="D20" s="434">
        <f>'Monthly workings for CIPs'!D50</f>
        <v>0</v>
      </c>
      <c r="E20" s="435">
        <f t="shared" si="0"/>
        <v>0</v>
      </c>
      <c r="F20" s="1789"/>
      <c r="G20" s="1891">
        <f>'Monthly workings for CIPs'!F50</f>
        <v>284.15000000000003</v>
      </c>
      <c r="H20" s="1917">
        <f>'Monthly workings for CIPs'!G50</f>
        <v>283.79166666666669</v>
      </c>
      <c r="I20" s="435">
        <f t="shared" si="1"/>
        <v>-0.35833333333334849</v>
      </c>
    </row>
    <row r="21" spans="1:9" ht="12.75" customHeight="1">
      <c r="A21" s="433" t="str">
        <f>'Monthly workings for CIPs'!A51</f>
        <v>Operational Estate</v>
      </c>
      <c r="B21" s="1789" t="str">
        <f>'Monthly workings for CIPs'!B51</f>
        <v>Non Pay</v>
      </c>
      <c r="C21" s="434">
        <f>'Monthly workings for CIPs'!C51</f>
        <v>8.3333333333333339</v>
      </c>
      <c r="D21" s="434">
        <f>'Monthly workings for CIPs'!D51</f>
        <v>8.1666666666666679</v>
      </c>
      <c r="E21" s="435">
        <f t="shared" si="0"/>
        <v>-0.16666666666666607</v>
      </c>
      <c r="F21" s="1789"/>
      <c r="G21" s="1891">
        <f>'Monthly workings for CIPs'!F51</f>
        <v>49.999999999999993</v>
      </c>
      <c r="H21" s="1917">
        <f>'Monthly workings for CIPs'!G51</f>
        <v>49.833333333333329</v>
      </c>
      <c r="I21" s="435">
        <f t="shared" si="1"/>
        <v>-0.1666666666666643</v>
      </c>
    </row>
    <row r="22" spans="1:9" ht="12.75" customHeight="1">
      <c r="A22" s="433" t="str">
        <f>'Monthly workings for CIPs'!A52</f>
        <v>Operational Productivity</v>
      </c>
      <c r="B22" s="1789" t="str">
        <f>'Monthly workings for CIPs'!B52</f>
        <v>Income</v>
      </c>
      <c r="C22" s="434">
        <f>'Monthly workings for CIPs'!C52</f>
        <v>0</v>
      </c>
      <c r="D22" s="434">
        <f>'Monthly workings for CIPs'!D52</f>
        <v>0</v>
      </c>
      <c r="E22" s="435">
        <f t="shared" si="0"/>
        <v>0</v>
      </c>
      <c r="F22" s="1789"/>
      <c r="G22" s="1891">
        <f>'Monthly workings for CIPs'!F52</f>
        <v>257.55</v>
      </c>
      <c r="H22" s="1917">
        <f>'Monthly workings for CIPs'!G52</f>
        <v>257.55</v>
      </c>
      <c r="I22" s="435">
        <f t="shared" si="1"/>
        <v>0</v>
      </c>
    </row>
    <row r="23" spans="1:9" ht="12.75" customHeight="1">
      <c r="A23" s="433" t="str">
        <f>'Monthly workings for CIPs'!A53</f>
        <v>Operational Productivity</v>
      </c>
      <c r="B23" s="1789" t="str">
        <f>'Monthly workings for CIPs'!B53</f>
        <v>Pay WTE</v>
      </c>
      <c r="C23" s="434">
        <f>'Monthly workings for CIPs'!C53</f>
        <v>0</v>
      </c>
      <c r="D23" s="434">
        <f>'Monthly workings for CIPs'!D53</f>
        <v>0</v>
      </c>
      <c r="E23" s="435">
        <f t="shared" si="0"/>
        <v>0</v>
      </c>
      <c r="F23" s="1789"/>
      <c r="G23" s="1891">
        <f>'Monthly workings for CIPs'!F53</f>
        <v>3889.3035000000004</v>
      </c>
      <c r="H23" s="1917">
        <f>'Monthly workings for CIPs'!G53</f>
        <v>3889.3035000000004</v>
      </c>
      <c r="I23" s="435">
        <f t="shared" si="1"/>
        <v>0</v>
      </c>
    </row>
    <row r="24" spans="1:9" ht="12.75" customHeight="1">
      <c r="A24" s="433" t="str">
        <f>'Monthly workings for CIPs'!A54</f>
        <v>Operational Productivity</v>
      </c>
      <c r="B24" s="1789" t="str">
        <f>'Monthly workings for CIPs'!B54</f>
        <v>Non Pay</v>
      </c>
      <c r="C24" s="434">
        <f>'Monthly workings for CIPs'!C54</f>
        <v>0</v>
      </c>
      <c r="D24" s="434">
        <f>'Monthly workings for CIPs'!D54</f>
        <v>0</v>
      </c>
      <c r="E24" s="435">
        <f t="shared" si="0"/>
        <v>0</v>
      </c>
      <c r="F24" s="1789"/>
      <c r="G24" s="1891">
        <f>'Monthly workings for CIPs'!F54</f>
        <v>3662.2874999999999</v>
      </c>
      <c r="H24" s="1917">
        <f>'Monthly workings for CIPs'!G54</f>
        <v>3662.2874999999999</v>
      </c>
      <c r="I24" s="435">
        <f t="shared" si="1"/>
        <v>0</v>
      </c>
    </row>
    <row r="25" spans="1:9" ht="12.75" customHeight="1">
      <c r="A25" s="433" t="str">
        <f>'Monthly workings for CIPs'!A55</f>
        <v>Transformation</v>
      </c>
      <c r="B25" s="1789" t="str">
        <f>'Monthly workings for CIPs'!B55</f>
        <v>Income</v>
      </c>
      <c r="C25" s="434">
        <f>'Monthly workings for CIPs'!C55</f>
        <v>0</v>
      </c>
      <c r="D25" s="434">
        <f>'Monthly workings for CIPs'!D55</f>
        <v>0</v>
      </c>
      <c r="E25" s="435">
        <f t="shared" si="0"/>
        <v>0</v>
      </c>
      <c r="F25" s="1789"/>
      <c r="G25" s="1891">
        <f>'Monthly workings for CIPs'!F55</f>
        <v>18.421500000000002</v>
      </c>
      <c r="H25" s="1917">
        <f>'Monthly workings for CIPs'!G55</f>
        <v>18.421500000000002</v>
      </c>
      <c r="I25" s="435">
        <f t="shared" si="1"/>
        <v>0</v>
      </c>
    </row>
    <row r="26" spans="1:9" ht="12.75" customHeight="1">
      <c r="A26" s="433" t="str">
        <f>'Monthly workings for CIPs'!A56</f>
        <v>Workforce</v>
      </c>
      <c r="B26" s="1789" t="str">
        <f>'Monthly workings for CIPs'!B56</f>
        <v>Pay Skill</v>
      </c>
      <c r="C26" s="434">
        <f>'Monthly workings for CIPs'!C56</f>
        <v>27.627500000000001</v>
      </c>
      <c r="D26" s="434">
        <f>'Monthly workings for CIPs'!D56</f>
        <v>6</v>
      </c>
      <c r="E26" s="435">
        <f t="shared" si="0"/>
        <v>-21.627500000000001</v>
      </c>
      <c r="F26" s="1789"/>
      <c r="G26" s="1891">
        <f>'Monthly workings for CIPs'!F56</f>
        <v>315.76500000000004</v>
      </c>
      <c r="H26" s="1917">
        <f>'Monthly workings for CIPs'!G56</f>
        <v>315.88250000000005</v>
      </c>
      <c r="I26" s="435">
        <f t="shared" si="1"/>
        <v>0.11750000000000682</v>
      </c>
    </row>
    <row r="27" spans="1:9" ht="12.75" customHeight="1">
      <c r="A27" s="433" t="str">
        <f>'Monthly workings for CIPs'!A57</f>
        <v>Workforce</v>
      </c>
      <c r="B27" s="1789" t="str">
        <f>'Monthly workings for CIPs'!B57</f>
        <v>Pay WTE</v>
      </c>
      <c r="C27" s="434">
        <f>'Monthly workings for CIPs'!C57</f>
        <v>0</v>
      </c>
      <c r="D27" s="434">
        <f>'Monthly workings for CIPs'!D57</f>
        <v>0</v>
      </c>
      <c r="E27" s="435">
        <f t="shared" si="0"/>
        <v>0</v>
      </c>
      <c r="F27" s="1789"/>
      <c r="G27" s="1891">
        <f>'Monthly workings for CIPs'!F57</f>
        <v>499.99999999999994</v>
      </c>
      <c r="H27" s="1917">
        <f>'Monthly workings for CIPs'!G57</f>
        <v>499.99999999999994</v>
      </c>
      <c r="I27" s="435">
        <f t="shared" si="1"/>
        <v>0</v>
      </c>
    </row>
    <row r="28" spans="1:9" ht="12.75" customHeight="1">
      <c r="A28" s="314"/>
      <c r="B28" s="436"/>
      <c r="C28" s="928">
        <f>SUM(C15:C27)</f>
        <v>1033.152909326813</v>
      </c>
      <c r="D28" s="928">
        <f>SUM(D15:D27)</f>
        <v>1381.6666666666667</v>
      </c>
      <c r="E28" s="929">
        <f>SUM(E15:E27)</f>
        <v>348.51375733985361</v>
      </c>
      <c r="F28" s="928"/>
      <c r="G28" s="1289">
        <f>SUM(G15:G27)</f>
        <v>25103.67384116312</v>
      </c>
      <c r="H28" s="928">
        <f>SUM(H15:H27)</f>
        <v>25103.766053193805</v>
      </c>
      <c r="I28" s="929">
        <f>SUM(I15:I27)</f>
        <v>9.2212030686162905E-2</v>
      </c>
    </row>
    <row r="29" spans="1:9" ht="12.75" customHeight="1">
      <c r="A29" s="433"/>
      <c r="B29" s="1789"/>
      <c r="C29" s="927"/>
      <c r="D29" s="927"/>
      <c r="E29" s="1908"/>
      <c r="F29" s="928"/>
      <c r="G29" s="1909"/>
      <c r="H29" s="927"/>
      <c r="I29" s="1910"/>
    </row>
    <row r="30" spans="1:9" ht="12.75" customHeight="1">
      <c r="A30" s="1911" t="s">
        <v>1</v>
      </c>
      <c r="B30" s="437"/>
      <c r="C30" s="1912">
        <f>+C28</f>
        <v>1033.152909326813</v>
      </c>
      <c r="D30" s="1912">
        <f>SUM(D28:D29)</f>
        <v>1381.6666666666667</v>
      </c>
      <c r="E30" s="930">
        <f>D30-C30</f>
        <v>348.51375733985378</v>
      </c>
      <c r="F30" s="928"/>
      <c r="G30" s="1913">
        <f>SUM(G28:G29)</f>
        <v>25103.67384116312</v>
      </c>
      <c r="H30" s="1912">
        <f>SUM(H28:H29)</f>
        <v>25103.766053193805</v>
      </c>
      <c r="I30" s="930">
        <f>H30-G30</f>
        <v>9.2212030685914215E-2</v>
      </c>
    </row>
    <row r="31" spans="1:9" ht="12.75" customHeight="1">
      <c r="A31" s="1914"/>
      <c r="B31" s="426"/>
      <c r="C31" s="426"/>
      <c r="D31" s="426"/>
      <c r="E31" s="426"/>
      <c r="F31" s="928"/>
      <c r="G31" s="1915"/>
      <c r="H31" s="1915"/>
    </row>
    <row r="32" spans="1:9" ht="12.75" customHeight="1"/>
    <row r="33" spans="11:11" ht="12.75" customHeight="1"/>
    <row r="34" spans="11:11" ht="12.75" customHeight="1">
      <c r="K34" s="422" t="s">
        <v>554</v>
      </c>
    </row>
    <row r="35" spans="11:11" ht="12.75" customHeight="1"/>
    <row r="36" spans="11:11" ht="12.75" customHeight="1"/>
    <row r="37" spans="11:11" ht="12.75" customHeight="1"/>
    <row r="38" spans="11:11" ht="12.75" customHeight="1"/>
    <row r="39" spans="11:11" ht="12.75" customHeight="1"/>
    <row r="40" spans="11:11" ht="12.75" customHeight="1"/>
    <row r="41" spans="11:11" ht="12.75" customHeight="1"/>
    <row r="42" spans="11:11" ht="12.75" customHeight="1"/>
    <row r="43" spans="11:11" ht="6" customHeight="1"/>
    <row r="44" spans="11:11" ht="12.75" customHeight="1"/>
    <row r="45" spans="11:11" ht="3.75" customHeight="1"/>
    <row r="53" ht="3.75" customHeight="1"/>
    <row r="68" ht="16.5" customHeight="1"/>
  </sheetData>
  <mergeCells count="4">
    <mergeCell ref="A3:P5"/>
    <mergeCell ref="C7:E7"/>
    <mergeCell ref="G7:I7"/>
    <mergeCell ref="K7:P11"/>
  </mergeCells>
  <printOptions horizontalCentered="1"/>
  <pageMargins left="0.23622047244094491" right="0.19685039370078741" top="0.19685039370078741" bottom="0.31" header="0" footer="0.19685039370078741"/>
  <pageSetup paperSize="9" scale="68" orientation="landscape" r:id="rId1"/>
  <headerFooter alignWithMargins="0">
    <oddFooter>&amp;CPage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28"/>
  </sheetPr>
  <dimension ref="A1:BW109"/>
  <sheetViews>
    <sheetView zoomScale="90" zoomScaleNormal="90" workbookViewId="0">
      <pane xSplit="1" ySplit="3" topLeftCell="B45" activePane="bottomRight" state="frozen"/>
      <selection activeCell="C70" sqref="C70"/>
      <selection pane="topRight" activeCell="C70" sqref="C70"/>
      <selection pane="bottomLeft" activeCell="C70" sqref="C70"/>
      <selection pane="bottomRight" activeCell="C70" sqref="C70"/>
    </sheetView>
  </sheetViews>
  <sheetFormatPr defaultColWidth="9.109375" defaultRowHeight="13.2"/>
  <cols>
    <col min="1" max="1" width="50" style="351" customWidth="1"/>
    <col min="2" max="4" width="14.44140625" style="351" customWidth="1"/>
    <col min="5" max="5" width="1.6640625" style="351" customWidth="1"/>
    <col min="6" max="6" width="12.5546875" style="351" customWidth="1"/>
    <col min="7" max="7" width="13.109375" style="351" bestFit="1" customWidth="1"/>
    <col min="8" max="8" width="10.88671875" style="351" customWidth="1"/>
    <col min="9" max="9" width="2" style="351" customWidth="1"/>
    <col min="10" max="13" width="9.88671875" style="351" bestFit="1" customWidth="1"/>
    <col min="14" max="14" width="11.88671875" style="351" customWidth="1"/>
    <col min="15" max="15" width="11.109375" style="351" customWidth="1"/>
    <col min="16" max="18" width="9.6640625" style="351" customWidth="1"/>
    <col min="19" max="19" width="9.33203125" style="351" customWidth="1"/>
    <col min="20" max="21" width="9.6640625" style="351" customWidth="1"/>
    <col min="22" max="22" width="12.6640625" style="351" customWidth="1"/>
    <col min="23" max="23" width="7.5546875" style="351" customWidth="1"/>
    <col min="24" max="26" width="11.109375" style="351" customWidth="1"/>
    <col min="27" max="28" width="9.109375" style="351"/>
    <col min="29" max="29" width="11.109375" style="351" customWidth="1"/>
    <col min="30" max="35" width="11.109375" style="351" bestFit="1" customWidth="1"/>
    <col min="36" max="36" width="12.6640625" style="351" customWidth="1"/>
    <col min="37" max="16384" width="9.109375" style="351"/>
  </cols>
  <sheetData>
    <row r="1" spans="1:69" ht="13.8" thickBot="1">
      <c r="A1" s="346"/>
      <c r="B1" s="347" t="s">
        <v>413</v>
      </c>
      <c r="C1" s="347" t="s">
        <v>722</v>
      </c>
      <c r="D1" s="347" t="s">
        <v>414</v>
      </c>
      <c r="E1" s="348" t="s">
        <v>415</v>
      </c>
      <c r="F1" s="347" t="s">
        <v>413</v>
      </c>
      <c r="G1" s="347" t="s">
        <v>416</v>
      </c>
      <c r="H1" s="347" t="s">
        <v>417</v>
      </c>
      <c r="I1" s="348" t="s">
        <v>415</v>
      </c>
      <c r="J1" s="349" t="s">
        <v>834</v>
      </c>
      <c r="K1" s="349" t="s">
        <v>834</v>
      </c>
      <c r="L1" s="349" t="s">
        <v>834</v>
      </c>
      <c r="M1" s="349" t="s">
        <v>834</v>
      </c>
      <c r="N1" s="349" t="s">
        <v>834</v>
      </c>
      <c r="O1" s="349" t="s">
        <v>834</v>
      </c>
      <c r="P1" s="349" t="s">
        <v>834</v>
      </c>
      <c r="Q1" s="349" t="s">
        <v>834</v>
      </c>
      <c r="R1" s="349" t="s">
        <v>834</v>
      </c>
      <c r="S1" s="349" t="s">
        <v>834</v>
      </c>
      <c r="T1" s="349" t="s">
        <v>834</v>
      </c>
      <c r="U1" s="349" t="s">
        <v>834</v>
      </c>
      <c r="V1" s="349" t="s">
        <v>834</v>
      </c>
      <c r="W1" s="348" t="s">
        <v>415</v>
      </c>
      <c r="X1" s="350" t="s">
        <v>413</v>
      </c>
      <c r="Y1" s="350" t="s">
        <v>413</v>
      </c>
      <c r="Z1" s="350" t="s">
        <v>413</v>
      </c>
      <c r="AA1" s="350" t="s">
        <v>413</v>
      </c>
      <c r="AB1" s="350" t="s">
        <v>413</v>
      </c>
      <c r="AC1" s="350" t="s">
        <v>413</v>
      </c>
      <c r="AD1" s="350" t="s">
        <v>413</v>
      </c>
      <c r="AE1" s="350" t="s">
        <v>413</v>
      </c>
      <c r="AF1" s="350" t="s">
        <v>413</v>
      </c>
      <c r="AG1" s="350" t="s">
        <v>413</v>
      </c>
      <c r="AH1" s="350" t="s">
        <v>413</v>
      </c>
      <c r="AI1" s="350" t="s">
        <v>413</v>
      </c>
      <c r="AJ1" s="350" t="s">
        <v>413</v>
      </c>
      <c r="AL1" s="351">
        <v>1000</v>
      </c>
      <c r="AM1" s="1290" t="s">
        <v>742</v>
      </c>
      <c r="AN1" s="349" t="s">
        <v>834</v>
      </c>
      <c r="AO1" s="349" t="s">
        <v>834</v>
      </c>
      <c r="AP1" s="349" t="s">
        <v>834</v>
      </c>
      <c r="AQ1" s="349" t="s">
        <v>834</v>
      </c>
      <c r="AR1" s="349" t="s">
        <v>834</v>
      </c>
      <c r="AS1" s="349" t="s">
        <v>834</v>
      </c>
      <c r="AU1" s="350" t="s">
        <v>413</v>
      </c>
      <c r="AV1" s="350" t="s">
        <v>413</v>
      </c>
      <c r="AW1" s="350" t="s">
        <v>413</v>
      </c>
      <c r="AX1" s="350" t="s">
        <v>413</v>
      </c>
      <c r="AY1" s="350" t="s">
        <v>413</v>
      </c>
      <c r="AZ1" s="350" t="s">
        <v>413</v>
      </c>
      <c r="BA1" s="1290" t="s">
        <v>741</v>
      </c>
      <c r="BB1" s="349" t="s">
        <v>834</v>
      </c>
      <c r="BC1" s="349" t="s">
        <v>834</v>
      </c>
      <c r="BD1" s="349" t="s">
        <v>834</v>
      </c>
      <c r="BE1" s="349" t="s">
        <v>834</v>
      </c>
      <c r="BF1" s="349" t="s">
        <v>834</v>
      </c>
      <c r="BG1" s="349" t="s">
        <v>834</v>
      </c>
      <c r="BI1" s="350" t="s">
        <v>413</v>
      </c>
      <c r="BJ1" s="350" t="s">
        <v>413</v>
      </c>
      <c r="BK1" s="350" t="s">
        <v>413</v>
      </c>
      <c r="BL1" s="350" t="s">
        <v>413</v>
      </c>
      <c r="BM1" s="350" t="s">
        <v>413</v>
      </c>
      <c r="BN1" s="350" t="s">
        <v>413</v>
      </c>
      <c r="BQ1" s="351">
        <v>1000</v>
      </c>
    </row>
    <row r="2" spans="1:69" ht="13.8" thickBot="1">
      <c r="A2" s="2014">
        <f>1396-B45</f>
        <v>0.45900000000006003</v>
      </c>
      <c r="B2" s="352" t="s">
        <v>628</v>
      </c>
      <c r="C2" s="352" t="s">
        <v>628</v>
      </c>
      <c r="D2" s="352" t="s">
        <v>628</v>
      </c>
      <c r="E2" s="353" t="s">
        <v>415</v>
      </c>
      <c r="F2" s="352" t="s">
        <v>419</v>
      </c>
      <c r="G2" s="352" t="s">
        <v>419</v>
      </c>
      <c r="H2" s="352" t="s">
        <v>419</v>
      </c>
      <c r="I2" s="353" t="s">
        <v>415</v>
      </c>
      <c r="J2" s="354" t="s">
        <v>420</v>
      </c>
      <c r="K2" s="354" t="s">
        <v>421</v>
      </c>
      <c r="L2" s="354" t="s">
        <v>422</v>
      </c>
      <c r="M2" s="354" t="s">
        <v>423</v>
      </c>
      <c r="N2" s="354" t="s">
        <v>424</v>
      </c>
      <c r="O2" s="354" t="s">
        <v>425</v>
      </c>
      <c r="P2" s="354" t="s">
        <v>426</v>
      </c>
      <c r="Q2" s="354" t="s">
        <v>427</v>
      </c>
      <c r="R2" s="354" t="s">
        <v>428</v>
      </c>
      <c r="S2" s="354" t="s">
        <v>429</v>
      </c>
      <c r="T2" s="354" t="s">
        <v>430</v>
      </c>
      <c r="U2" s="354" t="s">
        <v>431</v>
      </c>
      <c r="V2" s="354" t="s">
        <v>419</v>
      </c>
      <c r="W2" s="353" t="s">
        <v>415</v>
      </c>
      <c r="X2" s="355" t="s">
        <v>420</v>
      </c>
      <c r="Y2" s="355" t="s">
        <v>421</v>
      </c>
      <c r="Z2" s="355" t="s">
        <v>422</v>
      </c>
      <c r="AA2" s="355" t="s">
        <v>423</v>
      </c>
      <c r="AB2" s="355" t="s">
        <v>424</v>
      </c>
      <c r="AC2" s="355" t="s">
        <v>425</v>
      </c>
      <c r="AD2" s="355" t="s">
        <v>426</v>
      </c>
      <c r="AE2" s="355" t="s">
        <v>427</v>
      </c>
      <c r="AF2" s="355" t="s">
        <v>428</v>
      </c>
      <c r="AG2" s="355" t="s">
        <v>429</v>
      </c>
      <c r="AH2" s="355" t="s">
        <v>430</v>
      </c>
      <c r="AI2" s="355" t="s">
        <v>431</v>
      </c>
      <c r="AJ2" s="355" t="s">
        <v>419</v>
      </c>
      <c r="AN2" s="354" t="s">
        <v>426</v>
      </c>
      <c r="AO2" s="354" t="s">
        <v>427</v>
      </c>
      <c r="AP2" s="354" t="s">
        <v>428</v>
      </c>
      <c r="AQ2" s="354" t="s">
        <v>429</v>
      </c>
      <c r="AR2" s="354" t="s">
        <v>430</v>
      </c>
      <c r="AS2" s="354" t="s">
        <v>431</v>
      </c>
      <c r="AU2" s="355" t="s">
        <v>426</v>
      </c>
      <c r="AV2" s="355" t="s">
        <v>427</v>
      </c>
      <c r="AW2" s="355" t="s">
        <v>428</v>
      </c>
      <c r="AX2" s="355" t="s">
        <v>429</v>
      </c>
      <c r="AY2" s="355" t="s">
        <v>430</v>
      </c>
      <c r="AZ2" s="355" t="s">
        <v>431</v>
      </c>
      <c r="BB2" s="354" t="s">
        <v>426</v>
      </c>
      <c r="BC2" s="354" t="s">
        <v>427</v>
      </c>
      <c r="BD2" s="354" t="s">
        <v>428</v>
      </c>
      <c r="BE2" s="354" t="s">
        <v>429</v>
      </c>
      <c r="BF2" s="354" t="s">
        <v>430</v>
      </c>
      <c r="BG2" s="354" t="s">
        <v>431</v>
      </c>
      <c r="BI2" s="355" t="s">
        <v>426</v>
      </c>
      <c r="BJ2" s="355" t="s">
        <v>427</v>
      </c>
      <c r="BK2" s="355" t="s">
        <v>428</v>
      </c>
      <c r="BL2" s="355" t="s">
        <v>429</v>
      </c>
      <c r="BM2" s="355" t="s">
        <v>430</v>
      </c>
      <c r="BN2" s="355" t="s">
        <v>431</v>
      </c>
    </row>
    <row r="3" spans="1:69" ht="13.8" thickBot="1">
      <c r="A3" s="356"/>
      <c r="B3" s="357" t="s">
        <v>432</v>
      </c>
      <c r="C3" s="357" t="s">
        <v>432</v>
      </c>
      <c r="D3" s="357" t="s">
        <v>432</v>
      </c>
      <c r="E3" s="348" t="s">
        <v>415</v>
      </c>
      <c r="F3" s="357" t="s">
        <v>432</v>
      </c>
      <c r="G3" s="357" t="s">
        <v>432</v>
      </c>
      <c r="H3" s="357" t="s">
        <v>432</v>
      </c>
      <c r="I3" s="348" t="s">
        <v>415</v>
      </c>
      <c r="J3" s="358" t="s">
        <v>432</v>
      </c>
      <c r="K3" s="358" t="s">
        <v>432</v>
      </c>
      <c r="L3" s="358" t="s">
        <v>432</v>
      </c>
      <c r="M3" s="358" t="s">
        <v>432</v>
      </c>
      <c r="N3" s="358" t="s">
        <v>432</v>
      </c>
      <c r="O3" s="358" t="s">
        <v>432</v>
      </c>
      <c r="P3" s="358" t="s">
        <v>432</v>
      </c>
      <c r="Q3" s="358" t="s">
        <v>432</v>
      </c>
      <c r="R3" s="358" t="s">
        <v>432</v>
      </c>
      <c r="S3" s="358" t="s">
        <v>432</v>
      </c>
      <c r="T3" s="358" t="s">
        <v>432</v>
      </c>
      <c r="U3" s="358" t="s">
        <v>432</v>
      </c>
      <c r="V3" s="358" t="s">
        <v>432</v>
      </c>
      <c r="W3" s="348" t="s">
        <v>415</v>
      </c>
      <c r="X3" s="359" t="s">
        <v>432</v>
      </c>
      <c r="Y3" s="359" t="s">
        <v>432</v>
      </c>
      <c r="Z3" s="359" t="s">
        <v>432</v>
      </c>
      <c r="AA3" s="359" t="s">
        <v>432</v>
      </c>
      <c r="AB3" s="359" t="s">
        <v>432</v>
      </c>
      <c r="AC3" s="359" t="s">
        <v>432</v>
      </c>
      <c r="AD3" s="359" t="s">
        <v>432</v>
      </c>
      <c r="AE3" s="359" t="s">
        <v>432</v>
      </c>
      <c r="AF3" s="359" t="s">
        <v>432</v>
      </c>
      <c r="AG3" s="359" t="s">
        <v>432</v>
      </c>
      <c r="AH3" s="359" t="s">
        <v>432</v>
      </c>
      <c r="AI3" s="359" t="s">
        <v>432</v>
      </c>
      <c r="AJ3" s="359" t="s">
        <v>432</v>
      </c>
      <c r="AK3" s="310"/>
      <c r="AL3" s="310"/>
      <c r="AM3" s="310"/>
      <c r="AN3" s="358" t="s">
        <v>432</v>
      </c>
      <c r="AO3" s="358" t="s">
        <v>432</v>
      </c>
      <c r="AP3" s="358" t="s">
        <v>432</v>
      </c>
      <c r="AQ3" s="358" t="s">
        <v>432</v>
      </c>
      <c r="AR3" s="358" t="s">
        <v>432</v>
      </c>
      <c r="AS3" s="358" t="s">
        <v>432</v>
      </c>
      <c r="AU3" s="359" t="s">
        <v>432</v>
      </c>
      <c r="AV3" s="359" t="s">
        <v>432</v>
      </c>
      <c r="AW3" s="359" t="s">
        <v>432</v>
      </c>
      <c r="AX3" s="359" t="s">
        <v>432</v>
      </c>
      <c r="AY3" s="359" t="s">
        <v>432</v>
      </c>
      <c r="AZ3" s="359" t="s">
        <v>432</v>
      </c>
      <c r="BB3" s="358" t="s">
        <v>432</v>
      </c>
      <c r="BC3" s="358" t="s">
        <v>432</v>
      </c>
      <c r="BD3" s="358" t="s">
        <v>432</v>
      </c>
      <c r="BE3" s="358" t="s">
        <v>432</v>
      </c>
      <c r="BF3" s="358" t="s">
        <v>432</v>
      </c>
      <c r="BG3" s="358" t="s">
        <v>432</v>
      </c>
      <c r="BI3" s="359" t="s">
        <v>432</v>
      </c>
      <c r="BJ3" s="359" t="s">
        <v>432</v>
      </c>
      <c r="BK3" s="359" t="s">
        <v>432</v>
      </c>
      <c r="BL3" s="359" t="s">
        <v>432</v>
      </c>
      <c r="BM3" s="359" t="s">
        <v>432</v>
      </c>
      <c r="BN3" s="359" t="s">
        <v>432</v>
      </c>
    </row>
    <row r="4" spans="1:69">
      <c r="A4" s="360"/>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1:69">
      <c r="A5" s="1921" t="s">
        <v>751</v>
      </c>
      <c r="B5" s="700">
        <f>SUM(X5:AI5)</f>
        <v>0</v>
      </c>
      <c r="C5" s="700">
        <f>SUM(J5)</f>
        <v>0</v>
      </c>
      <c r="D5" s="343">
        <f>C5-B5</f>
        <v>0</v>
      </c>
      <c r="E5" s="343"/>
      <c r="F5" s="343">
        <f>SUM(X5:AI5)</f>
        <v>0</v>
      </c>
      <c r="G5" s="343">
        <f>SUM(J5:U5)</f>
        <v>0</v>
      </c>
      <c r="H5" s="343">
        <f t="shared" ref="H5" si="0">G5-F5</f>
        <v>0</v>
      </c>
      <c r="I5" s="343"/>
      <c r="J5" s="1746">
        <f>'IncomeandExpenditure Data2'!K8/1000</f>
        <v>0</v>
      </c>
      <c r="K5" s="1746">
        <f>'IncomeandExpenditure Data2'!L8/1000</f>
        <v>0</v>
      </c>
      <c r="L5" s="1746">
        <f>'IncomeandExpenditure Data2'!M8/1000</f>
        <v>0</v>
      </c>
      <c r="M5" s="1746">
        <f>'IncomeandExpenditure Data2'!N8/1000</f>
        <v>0</v>
      </c>
      <c r="N5" s="1746">
        <f>'IncomeandExpenditure Data2'!O8/1000</f>
        <v>0</v>
      </c>
      <c r="O5" s="1746">
        <f>'IncomeandExpenditure Data2'!P8/1000</f>
        <v>0</v>
      </c>
      <c r="P5" s="1746">
        <f>'IncomeandExpenditure Data2'!Q8/1000</f>
        <v>0</v>
      </c>
      <c r="Q5" s="1746">
        <f>'IncomeandExpenditure Data2'!R8/1000</f>
        <v>0</v>
      </c>
      <c r="R5" s="1746">
        <f>'IncomeandExpenditure Data2'!S8/1000</f>
        <v>0</v>
      </c>
      <c r="S5" s="1746">
        <f>'IncomeandExpenditure Data2'!T8/1000</f>
        <v>0</v>
      </c>
      <c r="T5" s="1746">
        <f>'IncomeandExpenditure Data2'!U8/1000</f>
        <v>0</v>
      </c>
      <c r="U5" s="1746">
        <f>'IncomeandExpenditure Data2'!V8/1000</f>
        <v>0</v>
      </c>
      <c r="V5" s="448">
        <f>SUM(J5:U5)</f>
        <v>0</v>
      </c>
      <c r="W5" s="448"/>
      <c r="X5" s="343">
        <f>'IncomeandExpenditure Data2'!Y8/1000</f>
        <v>0</v>
      </c>
      <c r="Y5" s="343">
        <f>'IncomeandExpenditure Data2'!Z8/1000</f>
        <v>0</v>
      </c>
      <c r="Z5" s="343">
        <f>'IncomeandExpenditure Data2'!AA8/1000</f>
        <v>0</v>
      </c>
      <c r="AA5" s="343">
        <f>'IncomeandExpenditure Data2'!AB8/1000</f>
        <v>0</v>
      </c>
      <c r="AB5" s="343">
        <f>'IncomeandExpenditure Data2'!AC8/1000</f>
        <v>0</v>
      </c>
      <c r="AC5" s="343">
        <f>'IncomeandExpenditure Data2'!AD8/1000</f>
        <v>0</v>
      </c>
      <c r="AD5" s="343">
        <f>'IncomeandExpenditure Data2'!AE8/1000</f>
        <v>0</v>
      </c>
      <c r="AE5" s="343">
        <f>'IncomeandExpenditure Data2'!AF8/1000</f>
        <v>0</v>
      </c>
      <c r="AF5" s="343">
        <f>'IncomeandExpenditure Data2'!AG8/1000</f>
        <v>0</v>
      </c>
      <c r="AG5" s="343">
        <f>'IncomeandExpenditure Data2'!AH8/1000</f>
        <v>0</v>
      </c>
      <c r="AH5" s="343">
        <f>'IncomeandExpenditure Data2'!AI8/1000</f>
        <v>0</v>
      </c>
      <c r="AI5" s="343">
        <f>'IncomeandExpenditure Data2'!AJ8/1000</f>
        <v>0</v>
      </c>
      <c r="AJ5" s="448">
        <f t="shared" ref="AJ5:AJ15" si="1">SUM(X5:AI5)</f>
        <v>0</v>
      </c>
      <c r="AN5" s="448">
        <v>-10035.92704</v>
      </c>
      <c r="AO5" s="1559">
        <v>-11057.401</v>
      </c>
      <c r="AP5" s="1559">
        <v>-10166.359</v>
      </c>
      <c r="AQ5" s="1559">
        <v>-10753.574000000001</v>
      </c>
      <c r="AR5" s="1559">
        <v>-10891.466</v>
      </c>
      <c r="AS5" s="1559">
        <v>-10900.191999999999</v>
      </c>
      <c r="AU5" s="448">
        <v>-10658.721</v>
      </c>
      <c r="AV5" s="1559">
        <v>-10577.130999999999</v>
      </c>
      <c r="AW5" s="1559">
        <v>-10704.721</v>
      </c>
      <c r="AX5" s="1559">
        <v>-10691.286</v>
      </c>
      <c r="AY5" s="1559">
        <v>-10840.726000000001</v>
      </c>
      <c r="AZ5" s="1559">
        <v>-11072.764999999999</v>
      </c>
      <c r="BB5" s="448">
        <f>-10035.927+886</f>
        <v>-9149.9269999999997</v>
      </c>
      <c r="BC5" s="1559">
        <f>-11055.701+886</f>
        <v>-10169.700999999999</v>
      </c>
      <c r="BD5" s="1559">
        <f>-10164.659+886</f>
        <v>-9278.6589999999997</v>
      </c>
      <c r="BE5" s="1559">
        <f>-10751.874+886</f>
        <v>-9865.8739999999998</v>
      </c>
      <c r="BF5" s="1559">
        <f>-10889.766+886</f>
        <v>-10003.766</v>
      </c>
      <c r="BG5" s="1559">
        <f>-10898.492+886</f>
        <v>-10012.492</v>
      </c>
      <c r="BH5" s="448"/>
      <c r="BI5" s="448">
        <f>-10658.721+886</f>
        <v>-9772.7209999999995</v>
      </c>
      <c r="BJ5" s="1559">
        <f>-10577.131+886</f>
        <v>-9691.1309999999994</v>
      </c>
      <c r="BK5" s="1559">
        <f>-10704.721+886</f>
        <v>-9818.7209999999995</v>
      </c>
      <c r="BL5" s="1559">
        <f>-10691.286+886</f>
        <v>-9805.2860000000001</v>
      </c>
      <c r="BM5" s="1559">
        <f>-10840.726+886</f>
        <v>-9954.7260000000006</v>
      </c>
      <c r="BN5" s="1559">
        <f>-11072.765+886</f>
        <v>-10186.764999999999</v>
      </c>
      <c r="BO5" s="448"/>
    </row>
    <row r="6" spans="1:69">
      <c r="A6" s="1921" t="s">
        <v>752</v>
      </c>
      <c r="B6" s="700">
        <f>SUM(X6:Y6)</f>
        <v>-1317.2550000000001</v>
      </c>
      <c r="C6" s="700">
        <f>SUM(J6:K6)</f>
        <v>-1229.5230000000001</v>
      </c>
      <c r="D6" s="343">
        <f t="shared" ref="D6:D15" si="2">C6-B6</f>
        <v>87.731999999999971</v>
      </c>
      <c r="E6" s="343"/>
      <c r="F6" s="343">
        <f t="shared" ref="F6:F12" si="3">SUM(X6:AI6)</f>
        <v>-8391.4720000000016</v>
      </c>
      <c r="G6" s="343">
        <f t="shared" ref="G6:G12" si="4">SUM(J6:U6)</f>
        <v>-8218.0679999999993</v>
      </c>
      <c r="H6" s="343">
        <f t="shared" ref="H6:H12" si="5">G6-F6</f>
        <v>173.40400000000227</v>
      </c>
      <c r="I6" s="343"/>
      <c r="J6" s="1746">
        <f>'IncomeandExpenditure Data2'!K9/1000</f>
        <v>-598.42899999999997</v>
      </c>
      <c r="K6" s="1746">
        <f>'IncomeandExpenditure Data2'!L9/1000</f>
        <v>-631.09400000000005</v>
      </c>
      <c r="L6" s="1746">
        <f>'IncomeandExpenditure Data2'!M9/1000</f>
        <v>-659.452</v>
      </c>
      <c r="M6" s="1746">
        <f>'IncomeandExpenditure Data2'!N9/1000</f>
        <v>-700.18799999999999</v>
      </c>
      <c r="N6" s="1746">
        <f>'IncomeandExpenditure Data2'!O9/1000</f>
        <v>-700.90200000000004</v>
      </c>
      <c r="O6" s="1746">
        <f>'IncomeandExpenditure Data2'!P9/1000</f>
        <v>-700.18499999999995</v>
      </c>
      <c r="P6" s="1746">
        <f>'IncomeandExpenditure Data2'!Q9/1000</f>
        <v>-704.99400000000003</v>
      </c>
      <c r="Q6" s="1746">
        <f>'IncomeandExpenditure Data2'!R9/1000</f>
        <v>-704.28</v>
      </c>
      <c r="R6" s="1746">
        <f>'IncomeandExpenditure Data2'!S9/1000</f>
        <v>-704.99099999999999</v>
      </c>
      <c r="S6" s="1746">
        <f>'IncomeandExpenditure Data2'!T9/1000</f>
        <v>-704.28</v>
      </c>
      <c r="T6" s="1746">
        <f>'IncomeandExpenditure Data2'!U9/1000</f>
        <v>-704.99300000000005</v>
      </c>
      <c r="U6" s="1746">
        <f>'IncomeandExpenditure Data2'!V9/1000</f>
        <v>-704.28</v>
      </c>
      <c r="V6" s="448">
        <f t="shared" ref="V6:V15" si="6">SUM(J6:U6)</f>
        <v>-8218.0679999999993</v>
      </c>
      <c r="W6" s="448"/>
      <c r="X6" s="343">
        <f>'IncomeandExpenditure Data2'!Y9/1000</f>
        <v>-658.63400000000001</v>
      </c>
      <c r="Y6" s="343">
        <f>'IncomeandExpenditure Data2'!Z9/1000</f>
        <v>-658.62099999999998</v>
      </c>
      <c r="Z6" s="2013">
        <f>'IncomeandExpenditure Data2'!AA9/1000</f>
        <v>-653.62099999999998</v>
      </c>
      <c r="AA6" s="343">
        <f>'IncomeandExpenditure Data2'!AB9/1000</f>
        <v>-713.17700000000002</v>
      </c>
      <c r="AB6" s="343">
        <f>'IncomeandExpenditure Data2'!AC9/1000</f>
        <v>-713.17899999999997</v>
      </c>
      <c r="AC6" s="343">
        <f>'IncomeandExpenditure Data2'!AD9/1000</f>
        <v>-713.17399999999998</v>
      </c>
      <c r="AD6" s="343">
        <f>'IncomeandExpenditure Data2'!AE9/1000</f>
        <v>-713.17899999999997</v>
      </c>
      <c r="AE6" s="343">
        <f>'IncomeandExpenditure Data2'!AF9/1000</f>
        <v>-713.17700000000002</v>
      </c>
      <c r="AF6" s="343">
        <f>'IncomeandExpenditure Data2'!AG9/1000</f>
        <v>-713.17600000000004</v>
      </c>
      <c r="AG6" s="343">
        <f>'IncomeandExpenditure Data2'!AH9/1000</f>
        <v>-713.17700000000002</v>
      </c>
      <c r="AH6" s="343">
        <f>'IncomeandExpenditure Data2'!AI9/1000</f>
        <v>-714.17899999999997</v>
      </c>
      <c r="AI6" s="343">
        <f>'IncomeandExpenditure Data2'!AJ9/1000</f>
        <v>-714.178</v>
      </c>
      <c r="AJ6" s="448">
        <f t="shared" si="1"/>
        <v>-8391.4720000000016</v>
      </c>
      <c r="AN6" s="448">
        <v>-504.22153000000003</v>
      </c>
      <c r="AO6" s="1559">
        <v>-441.30500000000001</v>
      </c>
      <c r="AP6" s="1559">
        <v>-462.20299999999997</v>
      </c>
      <c r="AQ6" s="1559">
        <v>-472.089</v>
      </c>
      <c r="AR6" s="1559">
        <v>-486.55799999999999</v>
      </c>
      <c r="AS6" s="1559">
        <v>-492.19299999999998</v>
      </c>
      <c r="AU6" s="448">
        <v>-499.447</v>
      </c>
      <c r="AV6" s="1559">
        <v>-499.44799999999998</v>
      </c>
      <c r="AW6" s="1559">
        <v>-499.44799999999998</v>
      </c>
      <c r="AX6" s="1559">
        <v>-502.23</v>
      </c>
      <c r="AY6" s="1559">
        <v>-499.44799999999998</v>
      </c>
      <c r="AZ6" s="1559">
        <v>-499.44799999999998</v>
      </c>
      <c r="BB6" s="448">
        <v>-56.238999999999997</v>
      </c>
      <c r="BC6" s="1559">
        <v>-6.3440000000000003</v>
      </c>
      <c r="BD6" s="1559">
        <v>0</v>
      </c>
      <c r="BE6" s="1559">
        <v>-3.7810000000000001</v>
      </c>
      <c r="BF6" s="1559">
        <v>0</v>
      </c>
      <c r="BG6" s="1559">
        <v>0</v>
      </c>
      <c r="BH6" s="448"/>
      <c r="BI6" s="448">
        <v>0</v>
      </c>
      <c r="BJ6" s="1559">
        <v>0</v>
      </c>
      <c r="BK6" s="1559">
        <v>0</v>
      </c>
      <c r="BL6" s="1559">
        <v>-2.7810000000000001</v>
      </c>
      <c r="BM6" s="1559">
        <v>0</v>
      </c>
      <c r="BN6" s="1559">
        <v>0</v>
      </c>
      <c r="BO6" s="448"/>
    </row>
    <row r="7" spans="1:69" ht="13.8" thickBot="1">
      <c r="A7" s="1921" t="s">
        <v>1245</v>
      </c>
      <c r="B7" s="700">
        <f t="shared" ref="B7:B21" si="7">SUM(X7:Y7)</f>
        <v>-78527.426999999996</v>
      </c>
      <c r="C7" s="700">
        <f t="shared" ref="C7:C21" si="8">SUM(J7:K7)</f>
        <v>-76555.48</v>
      </c>
      <c r="D7" s="343">
        <f t="shared" si="2"/>
        <v>1971.9470000000001</v>
      </c>
      <c r="E7" s="343"/>
      <c r="F7" s="343">
        <f t="shared" si="3"/>
        <v>-470460.46199999994</v>
      </c>
      <c r="G7" s="343">
        <f t="shared" si="4"/>
        <v>-474767.51699999999</v>
      </c>
      <c r="H7" s="343">
        <f t="shared" si="5"/>
        <v>-4307.0550000000512</v>
      </c>
      <c r="I7" s="343"/>
      <c r="J7" s="1746">
        <f>'IncomeandExpenditure Data2'!K10/1000</f>
        <v>-38613.277999999998</v>
      </c>
      <c r="K7" s="1746">
        <f>'IncomeandExpenditure Data2'!L10/1000</f>
        <v>-37942.201999999997</v>
      </c>
      <c r="L7" s="1746">
        <f>'IncomeandExpenditure Data2'!M10/1000</f>
        <v>-38380.921999999999</v>
      </c>
      <c r="M7" s="1746">
        <f>'IncomeandExpenditure Data2'!N10/1000</f>
        <v>-41987.959000000003</v>
      </c>
      <c r="N7" s="1746">
        <f>'IncomeandExpenditure Data2'!O10/1000</f>
        <v>-38349.451999999997</v>
      </c>
      <c r="O7" s="1746">
        <f>'IncomeandExpenditure Data2'!P10/1000</f>
        <v>-38357.252</v>
      </c>
      <c r="P7" s="1746">
        <f>'IncomeandExpenditure Data2'!Q10/1000</f>
        <v>-41934.510999999999</v>
      </c>
      <c r="Q7" s="1746">
        <f>'IncomeandExpenditure Data2'!R10/1000</f>
        <v>-38360.021000000001</v>
      </c>
      <c r="R7" s="1746">
        <f>'IncomeandExpenditure Data2'!S10/1000</f>
        <v>-38408.089999999997</v>
      </c>
      <c r="S7" s="1746">
        <f>'IncomeandExpenditure Data2'!T10/1000</f>
        <v>-42008.089</v>
      </c>
      <c r="T7" s="1746">
        <f>'IncomeandExpenditure Data2'!U10/1000</f>
        <v>-38409.089</v>
      </c>
      <c r="U7" s="1746">
        <f>'IncomeandExpenditure Data2'!V10/1000</f>
        <v>-42016.652000000002</v>
      </c>
      <c r="V7" s="448">
        <f>SUM(J7:U7)</f>
        <v>-474767.51699999999</v>
      </c>
      <c r="W7" s="448"/>
      <c r="X7" s="343">
        <f>'IncomeandExpenditure Data2'!Y10/1000</f>
        <v>-39275.438999999998</v>
      </c>
      <c r="Y7" s="343">
        <f>'IncomeandExpenditure Data2'!Z10/1000</f>
        <v>-39251.987999999998</v>
      </c>
      <c r="Z7" s="343">
        <f>'IncomeandExpenditure Data2'!AA10/1000</f>
        <v>-39193.021000000001</v>
      </c>
      <c r="AA7" s="343">
        <f>'IncomeandExpenditure Data2'!AB10/1000</f>
        <v>-39200.057999999997</v>
      </c>
      <c r="AB7" s="343">
        <f>'IncomeandExpenditure Data2'!AC10/1000</f>
        <v>-39161.550999999999</v>
      </c>
      <c r="AC7" s="343">
        <f>'IncomeandExpenditure Data2'!AD10/1000</f>
        <v>-39169.351000000002</v>
      </c>
      <c r="AD7" s="343">
        <f>'IncomeandExpenditure Data2'!AE10/1000</f>
        <v>-39146.610999999997</v>
      </c>
      <c r="AE7" s="343">
        <f>'IncomeandExpenditure Data2'!AF10/1000</f>
        <v>-39172.120999999999</v>
      </c>
      <c r="AF7" s="343">
        <f>'IncomeandExpenditure Data2'!AG10/1000</f>
        <v>-39220.190999999999</v>
      </c>
      <c r="AG7" s="343">
        <f>'IncomeandExpenditure Data2'!AH10/1000</f>
        <v>-39220.19</v>
      </c>
      <c r="AH7" s="343">
        <f>'IncomeandExpenditure Data2'!AI10/1000</f>
        <v>-39221.188999999998</v>
      </c>
      <c r="AI7" s="343">
        <f>'IncomeandExpenditure Data2'!AJ10/1000</f>
        <v>-39228.752</v>
      </c>
      <c r="AJ7" s="448">
        <f t="shared" si="1"/>
        <v>-470460.46199999994</v>
      </c>
      <c r="AN7" s="448">
        <v>-35199.392100000005</v>
      </c>
      <c r="AO7" s="1559">
        <v>-33822.665000000001</v>
      </c>
      <c r="AP7" s="1559">
        <v>-35379.741999999998</v>
      </c>
      <c r="AQ7" s="1559">
        <v>-35379.741999999998</v>
      </c>
      <c r="AR7" s="1559">
        <v>-35379.741999999998</v>
      </c>
      <c r="AS7" s="1559">
        <v>-35379.741999999998</v>
      </c>
      <c r="AU7" s="448">
        <v>-34505.146000000001</v>
      </c>
      <c r="AV7" s="1559">
        <v>-34482.345000000001</v>
      </c>
      <c r="AW7" s="1559">
        <v>-34482.944000000003</v>
      </c>
      <c r="AX7" s="1559">
        <v>-34482.945</v>
      </c>
      <c r="AY7" s="1559">
        <v>-34481.345000000001</v>
      </c>
      <c r="AZ7" s="1559">
        <v>-34208.947</v>
      </c>
      <c r="BB7" s="448"/>
      <c r="BC7" s="1559">
        <v>0</v>
      </c>
      <c r="BD7" s="1559">
        <v>0</v>
      </c>
      <c r="BE7" s="1559">
        <v>0</v>
      </c>
      <c r="BF7" s="1559">
        <v>0</v>
      </c>
      <c r="BG7" s="1559">
        <v>0</v>
      </c>
      <c r="BH7" s="448"/>
      <c r="BI7" s="448"/>
      <c r="BJ7" s="1559">
        <v>0</v>
      </c>
      <c r="BK7" s="1559">
        <v>0</v>
      </c>
      <c r="BL7" s="1559">
        <v>0</v>
      </c>
      <c r="BM7" s="1559">
        <v>0</v>
      </c>
      <c r="BN7" s="1559">
        <v>0</v>
      </c>
      <c r="BO7" s="448"/>
    </row>
    <row r="8" spans="1:69" ht="13.8" thickBot="1">
      <c r="A8" s="1921" t="s">
        <v>1246</v>
      </c>
      <c r="B8" s="700">
        <f t="shared" si="7"/>
        <v>-1E-3</v>
      </c>
      <c r="C8" s="700">
        <f t="shared" si="8"/>
        <v>0</v>
      </c>
      <c r="D8" s="343">
        <f t="shared" si="2"/>
        <v>1E-3</v>
      </c>
      <c r="E8" s="343"/>
      <c r="F8" s="343">
        <f t="shared" si="3"/>
        <v>-1E-3</v>
      </c>
      <c r="G8" s="343">
        <f t="shared" si="4"/>
        <v>-8.0000000000000002E-3</v>
      </c>
      <c r="H8" s="343">
        <f t="shared" si="5"/>
        <v>-7.0000000000000001E-3</v>
      </c>
      <c r="I8" s="343"/>
      <c r="J8" s="1746">
        <f>'IncomeandExpenditure Data2'!K11/1000</f>
        <v>0</v>
      </c>
      <c r="K8" s="1746">
        <f>'IncomeandExpenditure Data2'!L11/1000</f>
        <v>0</v>
      </c>
      <c r="L8" s="1746">
        <f>'IncomeandExpenditure Data2'!M11/1000</f>
        <v>-1E-3</v>
      </c>
      <c r="M8" s="1746">
        <f>'IncomeandExpenditure Data2'!N11/1000</f>
        <v>-1E-3</v>
      </c>
      <c r="N8" s="1746">
        <f>'IncomeandExpenditure Data2'!O11/1000</f>
        <v>-1E-3</v>
      </c>
      <c r="O8" s="1746">
        <f>'IncomeandExpenditure Data2'!P11/1000</f>
        <v>-1E-3</v>
      </c>
      <c r="P8" s="1746">
        <f>'IncomeandExpenditure Data2'!Q11/1000</f>
        <v>-1E-3</v>
      </c>
      <c r="Q8" s="1746">
        <f>'IncomeandExpenditure Data2'!R11/1000</f>
        <v>-1E-3</v>
      </c>
      <c r="R8" s="1746">
        <f>'IncomeandExpenditure Data2'!S11/1000</f>
        <v>0</v>
      </c>
      <c r="S8" s="1746">
        <f>'IncomeandExpenditure Data2'!T11/1000</f>
        <v>-1E-3</v>
      </c>
      <c r="T8" s="1746">
        <f>'IncomeandExpenditure Data2'!U11/1000</f>
        <v>0</v>
      </c>
      <c r="U8" s="1746">
        <f>'IncomeandExpenditure Data2'!V11/1000</f>
        <v>-1E-3</v>
      </c>
      <c r="V8" s="448">
        <f t="shared" si="6"/>
        <v>-8.0000000000000002E-3</v>
      </c>
      <c r="W8" s="448"/>
      <c r="X8" s="345">
        <f>'IncomeandExpenditure Data2'!Y11/1000</f>
        <v>0</v>
      </c>
      <c r="Y8" s="345">
        <f>'IncomeandExpenditure Data2'!Z11/1000</f>
        <v>-1E-3</v>
      </c>
      <c r="Z8" s="345">
        <f>'IncomeandExpenditure Data2'!AA11/1000</f>
        <v>0</v>
      </c>
      <c r="AA8" s="345">
        <f>'IncomeandExpenditure Data2'!AB11/1000</f>
        <v>0</v>
      </c>
      <c r="AB8" s="345">
        <f>'IncomeandExpenditure Data2'!AC11/1000</f>
        <v>0</v>
      </c>
      <c r="AC8" s="345">
        <f>'IncomeandExpenditure Data2'!AD11/1000</f>
        <v>0</v>
      </c>
      <c r="AD8" s="345">
        <f>'IncomeandExpenditure Data2'!AE11/1000</f>
        <v>0</v>
      </c>
      <c r="AE8" s="345">
        <f>'IncomeandExpenditure Data2'!AF11/1000</f>
        <v>0</v>
      </c>
      <c r="AF8" s="345">
        <f>'IncomeandExpenditure Data2'!AG11/1000</f>
        <v>0</v>
      </c>
      <c r="AG8" s="345">
        <f>'IncomeandExpenditure Data2'!AH11/1000</f>
        <v>0</v>
      </c>
      <c r="AH8" s="345">
        <f>'IncomeandExpenditure Data2'!AI11/1000</f>
        <v>0</v>
      </c>
      <c r="AI8" s="345">
        <f>'IncomeandExpenditure Data2'!AJ11/1000</f>
        <v>0</v>
      </c>
      <c r="AJ8" s="1747">
        <v>0</v>
      </c>
      <c r="AN8" s="448">
        <v>0</v>
      </c>
      <c r="AO8" s="1560">
        <v>0</v>
      </c>
      <c r="AP8" s="1560">
        <v>-4.0000000000000001E-3</v>
      </c>
      <c r="AQ8" s="1560">
        <v>-3.0000000000000001E-3</v>
      </c>
      <c r="AR8" s="1560">
        <v>-3.0000000000000001E-3</v>
      </c>
      <c r="AS8" s="1560">
        <v>-3.0000000000000001E-3</v>
      </c>
      <c r="AU8" s="448">
        <v>-0.46600000000000003</v>
      </c>
      <c r="AV8" s="1560">
        <v>-1E-3</v>
      </c>
      <c r="AW8" s="1560">
        <v>-1E-3</v>
      </c>
      <c r="AX8" s="1560">
        <v>0</v>
      </c>
      <c r="AY8" s="1560">
        <v>-1E-3</v>
      </c>
      <c r="AZ8" s="1560">
        <v>-2E-3</v>
      </c>
      <c r="BB8" s="448"/>
      <c r="BC8" s="1560">
        <v>0</v>
      </c>
      <c r="BD8" s="1560">
        <v>0</v>
      </c>
      <c r="BE8" s="1560">
        <v>0</v>
      </c>
      <c r="BF8" s="1560">
        <v>0</v>
      </c>
      <c r="BG8" s="1560">
        <v>0</v>
      </c>
      <c r="BH8" s="448"/>
      <c r="BI8" s="448"/>
      <c r="BJ8" s="1560">
        <v>0</v>
      </c>
      <c r="BK8" s="1560">
        <v>0</v>
      </c>
      <c r="BL8" s="1560">
        <v>0</v>
      </c>
      <c r="BM8" s="1560">
        <v>0</v>
      </c>
      <c r="BN8" s="1560">
        <v>0</v>
      </c>
      <c r="BO8" s="448"/>
    </row>
    <row r="9" spans="1:69">
      <c r="A9" s="1921" t="s">
        <v>753</v>
      </c>
      <c r="B9" s="700">
        <f t="shared" si="7"/>
        <v>-1736.9279999999999</v>
      </c>
      <c r="C9" s="700">
        <f t="shared" si="8"/>
        <v>-1693.2570000000001</v>
      </c>
      <c r="D9" s="343">
        <f t="shared" si="2"/>
        <v>43.670999999999822</v>
      </c>
      <c r="E9" s="343"/>
      <c r="F9" s="343">
        <f t="shared" si="3"/>
        <v>-11141.376999999999</v>
      </c>
      <c r="G9" s="343">
        <f t="shared" si="4"/>
        <v>-10241.509000000002</v>
      </c>
      <c r="H9" s="343">
        <f t="shared" si="5"/>
        <v>899.86799999999675</v>
      </c>
      <c r="I9" s="343"/>
      <c r="J9" s="1746">
        <f>'IncomeandExpenditure Data2'!K12/1000</f>
        <v>-775.85900000000004</v>
      </c>
      <c r="K9" s="1746">
        <f>'IncomeandExpenditure Data2'!L12/1000</f>
        <v>-917.39800000000002</v>
      </c>
      <c r="L9" s="1746">
        <f>'IncomeandExpenditure Data2'!M12/1000</f>
        <v>-836.32600000000002</v>
      </c>
      <c r="M9" s="1746">
        <f>'IncomeandExpenditure Data2'!N12/1000</f>
        <v>-904.20899999999995</v>
      </c>
      <c r="N9" s="1746">
        <f>'IncomeandExpenditure Data2'!O12/1000</f>
        <v>-931.61800000000005</v>
      </c>
      <c r="O9" s="1746">
        <f>'IncomeandExpenditure Data2'!P12/1000</f>
        <v>-871.59400000000005</v>
      </c>
      <c r="P9" s="1746">
        <f>'IncomeandExpenditure Data2'!Q12/1000</f>
        <v>-862.62400000000002</v>
      </c>
      <c r="Q9" s="1746">
        <f>'IncomeandExpenditure Data2'!R12/1000</f>
        <v>-840.02</v>
      </c>
      <c r="R9" s="1746">
        <f>'IncomeandExpenditure Data2'!S12/1000</f>
        <v>-817.78300000000002</v>
      </c>
      <c r="S9" s="1746">
        <f>'IncomeandExpenditure Data2'!T12/1000</f>
        <v>-825.70500000000004</v>
      </c>
      <c r="T9" s="1746">
        <f>'IncomeandExpenditure Data2'!U12/1000</f>
        <v>-823.56700000000001</v>
      </c>
      <c r="U9" s="1746">
        <f>'IncomeandExpenditure Data2'!V12/1000</f>
        <v>-834.80600000000004</v>
      </c>
      <c r="V9" s="448">
        <f t="shared" si="6"/>
        <v>-10241.509000000002</v>
      </c>
      <c r="W9" s="448"/>
      <c r="X9" s="343">
        <f>'IncomeandExpenditure Data2'!Y12/1000</f>
        <v>-851.49599999999998</v>
      </c>
      <c r="Y9" s="343">
        <f>'IncomeandExpenditure Data2'!Z12/1000</f>
        <v>-885.43200000000002</v>
      </c>
      <c r="Z9" s="2013">
        <f>'IncomeandExpenditure Data2'!AA12/1000</f>
        <v>-939.86500000000001</v>
      </c>
      <c r="AA9" s="343">
        <f>'IncomeandExpenditure Data2'!AB12/1000</f>
        <v>-926.60799999999995</v>
      </c>
      <c r="AB9" s="343">
        <f>'IncomeandExpenditure Data2'!AC12/1000</f>
        <v>-945.11099999999999</v>
      </c>
      <c r="AC9" s="343">
        <f>'IncomeandExpenditure Data2'!AD12/1000</f>
        <v>-961.83399999999995</v>
      </c>
      <c r="AD9" s="343">
        <f>'IncomeandExpenditure Data2'!AE12/1000</f>
        <v>-992.86400000000003</v>
      </c>
      <c r="AE9" s="343">
        <f>'IncomeandExpenditure Data2'!AF12/1000</f>
        <v>-972.36</v>
      </c>
      <c r="AF9" s="343">
        <f>'IncomeandExpenditure Data2'!AG12/1000</f>
        <v>-916.19</v>
      </c>
      <c r="AG9" s="343">
        <f>'IncomeandExpenditure Data2'!AH12/1000</f>
        <v>-919.19</v>
      </c>
      <c r="AH9" s="343">
        <f>'IncomeandExpenditure Data2'!AI12/1000</f>
        <v>-917.19</v>
      </c>
      <c r="AI9" s="343">
        <f>'IncomeandExpenditure Data2'!AJ12/1000</f>
        <v>-913.23699999999997</v>
      </c>
      <c r="AJ9" s="448">
        <f t="shared" si="1"/>
        <v>-11141.376999999999</v>
      </c>
      <c r="AN9" s="448">
        <v>-811.26850000000002</v>
      </c>
      <c r="AO9" s="1559">
        <v>-882.04499999999996</v>
      </c>
      <c r="AP9" s="1559">
        <v>-940.471</v>
      </c>
      <c r="AQ9" s="1559">
        <v>-962.38800000000003</v>
      </c>
      <c r="AR9" s="1559">
        <v>-1530.9860000000001</v>
      </c>
      <c r="AS9" s="1559">
        <v>-1271.71</v>
      </c>
      <c r="AU9" s="448">
        <v>-889.41399999999999</v>
      </c>
      <c r="AV9" s="1559">
        <v>-883.16300000000001</v>
      </c>
      <c r="AW9" s="1559">
        <v>-874.38199999999995</v>
      </c>
      <c r="AX9" s="1559">
        <v>-914.52499999999998</v>
      </c>
      <c r="AY9" s="1559">
        <v>-948.38599999999997</v>
      </c>
      <c r="AZ9" s="1559">
        <v>-1025.481</v>
      </c>
      <c r="BB9" s="448">
        <v>-55.973999999999997</v>
      </c>
      <c r="BC9" s="1559">
        <v>-5.032</v>
      </c>
      <c r="BD9" s="1559">
        <v>-20.64</v>
      </c>
      <c r="BE9" s="1559">
        <v>-20.782</v>
      </c>
      <c r="BF9" s="1559">
        <v>-20.643999999999998</v>
      </c>
      <c r="BG9" s="1559">
        <v>-20.643999999999998</v>
      </c>
      <c r="BH9" s="448"/>
      <c r="BI9" s="448">
        <v>-30.53</v>
      </c>
      <c r="BJ9" s="1559">
        <v>-21.385000000000002</v>
      </c>
      <c r="BK9" s="1559">
        <v>-21.385000000000002</v>
      </c>
      <c r="BL9" s="1559">
        <v>-21.527000000000001</v>
      </c>
      <c r="BM9" s="1559">
        <v>-21.388999999999999</v>
      </c>
      <c r="BN9" s="1559">
        <v>-21.388999999999999</v>
      </c>
      <c r="BO9" s="448"/>
    </row>
    <row r="10" spans="1:69">
      <c r="A10" s="1921" t="s">
        <v>1247</v>
      </c>
      <c r="B10" s="700">
        <f t="shared" si="7"/>
        <v>-12.602</v>
      </c>
      <c r="C10" s="700">
        <f t="shared" si="8"/>
        <v>0</v>
      </c>
      <c r="D10" s="343">
        <f t="shared" si="2"/>
        <v>12.602</v>
      </c>
      <c r="E10" s="343"/>
      <c r="F10" s="343">
        <f t="shared" si="3"/>
        <v>-75.612000000000009</v>
      </c>
      <c r="G10" s="343">
        <f t="shared" si="4"/>
        <v>-19.540000000000003</v>
      </c>
      <c r="H10" s="343">
        <f t="shared" si="5"/>
        <v>56.072000000000003</v>
      </c>
      <c r="I10" s="343"/>
      <c r="J10" s="1746">
        <f>'IncomeandExpenditure Data2'!K13/1000</f>
        <v>0</v>
      </c>
      <c r="K10" s="1746">
        <f>'IncomeandExpenditure Data2'!L13/1000</f>
        <v>0</v>
      </c>
      <c r="L10" s="1746">
        <f>'IncomeandExpenditure Data2'!M13/1000</f>
        <v>-1.954</v>
      </c>
      <c r="M10" s="1746">
        <f>'IncomeandExpenditure Data2'!N13/1000</f>
        <v>-1.954</v>
      </c>
      <c r="N10" s="1746">
        <f>'IncomeandExpenditure Data2'!O13/1000</f>
        <v>-1.954</v>
      </c>
      <c r="O10" s="1746">
        <f>'IncomeandExpenditure Data2'!P13/1000</f>
        <v>-1.954</v>
      </c>
      <c r="P10" s="1746">
        <f>'IncomeandExpenditure Data2'!Q13/1000</f>
        <v>-1.954</v>
      </c>
      <c r="Q10" s="1746">
        <f>'IncomeandExpenditure Data2'!R13/1000</f>
        <v>-1.954</v>
      </c>
      <c r="R10" s="1746">
        <f>'IncomeandExpenditure Data2'!S13/1000</f>
        <v>-1.954</v>
      </c>
      <c r="S10" s="1746">
        <f>'IncomeandExpenditure Data2'!T13/1000</f>
        <v>-1.954</v>
      </c>
      <c r="T10" s="1746">
        <f>'IncomeandExpenditure Data2'!U13/1000</f>
        <v>-1.954</v>
      </c>
      <c r="U10" s="1746">
        <f>'IncomeandExpenditure Data2'!V13/1000</f>
        <v>-1.954</v>
      </c>
      <c r="V10" s="448">
        <f t="shared" si="6"/>
        <v>-19.540000000000003</v>
      </c>
      <c r="W10" s="448"/>
      <c r="X10" s="343">
        <f>'IncomeandExpenditure Data2'!Y13/1000</f>
        <v>-6.3010000000000002</v>
      </c>
      <c r="Y10" s="343">
        <f>'IncomeandExpenditure Data2'!Z13/1000</f>
        <v>-6.3010000000000002</v>
      </c>
      <c r="Z10" s="343">
        <f>'IncomeandExpenditure Data2'!AA13/1000</f>
        <v>-6.3010000000000002</v>
      </c>
      <c r="AA10" s="343">
        <f>'IncomeandExpenditure Data2'!AB13/1000</f>
        <v>-6.3010000000000002</v>
      </c>
      <c r="AB10" s="343">
        <f>'IncomeandExpenditure Data2'!AC13/1000</f>
        <v>-6.3010000000000002</v>
      </c>
      <c r="AC10" s="343">
        <f>'IncomeandExpenditure Data2'!AD13/1000</f>
        <v>-6.3010000000000002</v>
      </c>
      <c r="AD10" s="343">
        <f>'IncomeandExpenditure Data2'!AE13/1000</f>
        <v>-6.3010000000000002</v>
      </c>
      <c r="AE10" s="343">
        <f>'IncomeandExpenditure Data2'!AF13/1000</f>
        <v>-6.3010000000000002</v>
      </c>
      <c r="AF10" s="343">
        <f>'IncomeandExpenditure Data2'!AG13/1000</f>
        <v>-6.3010000000000002</v>
      </c>
      <c r="AG10" s="343">
        <f>'IncomeandExpenditure Data2'!AH13/1000</f>
        <v>-6.3010000000000002</v>
      </c>
      <c r="AH10" s="343">
        <f>'IncomeandExpenditure Data2'!AI13/1000</f>
        <v>-6.3010000000000002</v>
      </c>
      <c r="AI10" s="343">
        <f>'IncomeandExpenditure Data2'!AJ13/1000</f>
        <v>-6.3010000000000002</v>
      </c>
      <c r="AJ10" s="448">
        <f t="shared" si="1"/>
        <v>-75.612000000000009</v>
      </c>
      <c r="AN10" s="448">
        <v>-29.699580000000001</v>
      </c>
      <c r="AO10" s="1559">
        <v>-30.283000000000001</v>
      </c>
      <c r="AP10" s="1559">
        <v>-29.757999999999999</v>
      </c>
      <c r="AQ10" s="1559">
        <v>-29.757999999999999</v>
      </c>
      <c r="AR10" s="1559">
        <v>-29.757999999999999</v>
      </c>
      <c r="AS10" s="1559">
        <v>-29.757999999999999</v>
      </c>
      <c r="AU10" s="448">
        <v>-29.756</v>
      </c>
      <c r="AV10" s="1559">
        <v>-29.756</v>
      </c>
      <c r="AW10" s="1559">
        <v>-29.756</v>
      </c>
      <c r="AX10" s="1559">
        <v>-29.756</v>
      </c>
      <c r="AY10" s="1559">
        <v>-29.756</v>
      </c>
      <c r="AZ10" s="1559">
        <v>-29.756</v>
      </c>
      <c r="BB10" s="448"/>
      <c r="BC10" s="1559">
        <v>0</v>
      </c>
      <c r="BD10" s="1559">
        <v>0</v>
      </c>
      <c r="BE10" s="1559">
        <v>0</v>
      </c>
      <c r="BF10" s="1559">
        <v>0</v>
      </c>
      <c r="BG10" s="1559">
        <v>0</v>
      </c>
      <c r="BH10" s="448"/>
      <c r="BI10" s="448"/>
      <c r="BJ10" s="1559">
        <v>0</v>
      </c>
      <c r="BK10" s="1559">
        <v>0</v>
      </c>
      <c r="BL10" s="1559">
        <v>0</v>
      </c>
      <c r="BM10" s="1559">
        <v>0</v>
      </c>
      <c r="BN10" s="1559">
        <v>0</v>
      </c>
      <c r="BO10" s="448"/>
    </row>
    <row r="11" spans="1:69">
      <c r="A11" s="1921" t="s">
        <v>1248</v>
      </c>
      <c r="B11" s="700">
        <f t="shared" si="7"/>
        <v>-722.45</v>
      </c>
      <c r="C11" s="700">
        <f t="shared" si="8"/>
        <v>-546.09300000000007</v>
      </c>
      <c r="D11" s="343">
        <f t="shared" si="2"/>
        <v>176.35699999999997</v>
      </c>
      <c r="E11" s="343"/>
      <c r="F11" s="343">
        <f t="shared" si="3"/>
        <v>-4592.2510000000002</v>
      </c>
      <c r="G11" s="1608">
        <f t="shared" si="4"/>
        <v>-4368.0439999999999</v>
      </c>
      <c r="H11" s="343">
        <f t="shared" si="5"/>
        <v>224.20700000000033</v>
      </c>
      <c r="I11" s="343"/>
      <c r="J11" s="1746">
        <f>'IncomeandExpenditure Data2'!K14/1000</f>
        <v>-221.584</v>
      </c>
      <c r="K11" s="1746">
        <f>'IncomeandExpenditure Data2'!L14/1000</f>
        <v>-324.50900000000001</v>
      </c>
      <c r="L11" s="1746">
        <f>'IncomeandExpenditure Data2'!M14/1000</f>
        <v>-339.10399999999998</v>
      </c>
      <c r="M11" s="1746">
        <f>'IncomeandExpenditure Data2'!N14/1000</f>
        <v>-371.49799999999999</v>
      </c>
      <c r="N11" s="1746">
        <f>'IncomeandExpenditure Data2'!O14/1000</f>
        <v>-386.42</v>
      </c>
      <c r="O11" s="1746">
        <f>'IncomeandExpenditure Data2'!P14/1000</f>
        <v>-386.41899999999998</v>
      </c>
      <c r="P11" s="1746">
        <f>'IncomeandExpenditure Data2'!Q14/1000</f>
        <v>-386.42099999999999</v>
      </c>
      <c r="Q11" s="1746">
        <f>'IncomeandExpenditure Data2'!R14/1000</f>
        <v>-386.41899999999998</v>
      </c>
      <c r="R11" s="1746">
        <f>'IncomeandExpenditure Data2'!S14/1000</f>
        <v>-391.42</v>
      </c>
      <c r="S11" s="1746">
        <f>'IncomeandExpenditure Data2'!T14/1000</f>
        <v>-391.42</v>
      </c>
      <c r="T11" s="1746">
        <f>'IncomeandExpenditure Data2'!U14/1000</f>
        <v>-391.42</v>
      </c>
      <c r="U11" s="1746">
        <f>'IncomeandExpenditure Data2'!V14/1000</f>
        <v>-391.41</v>
      </c>
      <c r="V11" s="448">
        <f t="shared" si="6"/>
        <v>-4368.0439999999999</v>
      </c>
      <c r="W11" s="448"/>
      <c r="X11" s="343">
        <f>'IncomeandExpenditure Data2'!Y14/1000</f>
        <v>-361.226</v>
      </c>
      <c r="Y11" s="343">
        <f>'IncomeandExpenditure Data2'!Z14/1000</f>
        <v>-361.22399999999999</v>
      </c>
      <c r="Z11" s="343">
        <f>'IncomeandExpenditure Data2'!AA14/1000</f>
        <v>-389.84199999999998</v>
      </c>
      <c r="AA11" s="343">
        <f>'IncomeandExpenditure Data2'!AB14/1000</f>
        <v>-389.84199999999998</v>
      </c>
      <c r="AB11" s="343">
        <f>'IncomeandExpenditure Data2'!AC14/1000</f>
        <v>-389.84199999999998</v>
      </c>
      <c r="AC11" s="343">
        <f>'IncomeandExpenditure Data2'!AD14/1000</f>
        <v>-389.84100000000001</v>
      </c>
      <c r="AD11" s="343">
        <f>'IncomeandExpenditure Data2'!AE14/1000</f>
        <v>-389.84300000000002</v>
      </c>
      <c r="AE11" s="343">
        <f>'IncomeandExpenditure Data2'!AF14/1000</f>
        <v>-389.84100000000001</v>
      </c>
      <c r="AF11" s="343">
        <f>'IncomeandExpenditure Data2'!AG14/1000</f>
        <v>-389.84199999999998</v>
      </c>
      <c r="AG11" s="343">
        <f>'IncomeandExpenditure Data2'!AH14/1000</f>
        <v>-389.84199999999998</v>
      </c>
      <c r="AH11" s="343">
        <f>'IncomeandExpenditure Data2'!AI14/1000</f>
        <v>-389.84199999999998</v>
      </c>
      <c r="AI11" s="343">
        <f>'IncomeandExpenditure Data2'!AJ14/1000</f>
        <v>-361.22399999999999</v>
      </c>
      <c r="AJ11" s="448">
        <f t="shared" si="1"/>
        <v>-4592.2510000000002</v>
      </c>
      <c r="AN11" s="448">
        <v>-450.49182999999999</v>
      </c>
      <c r="AO11" s="1559">
        <v>-343.86</v>
      </c>
      <c r="AP11" s="1559">
        <v>-467.51299999999998</v>
      </c>
      <c r="AQ11" s="1559">
        <v>-437.51299999999998</v>
      </c>
      <c r="AR11" s="1559">
        <v>-438.51299999999998</v>
      </c>
      <c r="AS11" s="1559">
        <v>-438.51299999999998</v>
      </c>
      <c r="AU11" s="448">
        <v>-541.41800000000001</v>
      </c>
      <c r="AV11" s="1559">
        <v>-541.41800000000001</v>
      </c>
      <c r="AW11" s="1559">
        <v>-541.41800000000001</v>
      </c>
      <c r="AX11" s="1559">
        <v>-541.41800000000001</v>
      </c>
      <c r="AY11" s="1559">
        <v>-542.41800000000001</v>
      </c>
      <c r="AZ11" s="1559">
        <v>-542.41800000000001</v>
      </c>
      <c r="BB11" s="448"/>
      <c r="BC11" s="1559">
        <v>0</v>
      </c>
      <c r="BD11" s="1559">
        <v>0</v>
      </c>
      <c r="BE11" s="1559">
        <v>0</v>
      </c>
      <c r="BF11" s="1559">
        <v>0</v>
      </c>
      <c r="BG11" s="1559">
        <v>0</v>
      </c>
      <c r="BH11" s="448"/>
      <c r="BI11" s="448"/>
      <c r="BJ11" s="1559">
        <v>0</v>
      </c>
      <c r="BK11" s="1559">
        <v>0</v>
      </c>
      <c r="BL11" s="1559">
        <v>0</v>
      </c>
      <c r="BM11" s="1559">
        <v>0</v>
      </c>
      <c r="BN11" s="1559">
        <v>0</v>
      </c>
      <c r="BO11" s="448"/>
    </row>
    <row r="12" spans="1:69">
      <c r="A12" s="1921" t="s">
        <v>1294</v>
      </c>
      <c r="B12" s="700">
        <f t="shared" si="7"/>
        <v>-285.07799999999997</v>
      </c>
      <c r="C12" s="700">
        <f t="shared" si="8"/>
        <v>-310.26099999999997</v>
      </c>
      <c r="D12" s="343">
        <f t="shared" si="2"/>
        <v>-25.182999999999993</v>
      </c>
      <c r="E12" s="343"/>
      <c r="F12" s="343">
        <f t="shared" si="3"/>
        <v>-1710.4679999999998</v>
      </c>
      <c r="G12" s="343">
        <f t="shared" si="4"/>
        <v>-1735.6509999999998</v>
      </c>
      <c r="H12" s="343">
        <f t="shared" si="5"/>
        <v>-25.182999999999993</v>
      </c>
      <c r="I12" s="343"/>
      <c r="J12" s="1746">
        <f>'IncomeandExpenditure Data2'!K15/1000</f>
        <v>-66.167000000000002</v>
      </c>
      <c r="K12" s="1746">
        <f>'IncomeandExpenditure Data2'!L15/1000</f>
        <v>-244.09399999999999</v>
      </c>
      <c r="L12" s="1746">
        <f>'IncomeandExpenditure Data2'!M15/1000</f>
        <v>-142.53899999999999</v>
      </c>
      <c r="M12" s="1746">
        <f>'IncomeandExpenditure Data2'!N15/1000</f>
        <v>-142.53899999999999</v>
      </c>
      <c r="N12" s="1746">
        <f>'IncomeandExpenditure Data2'!O15/1000</f>
        <v>-142.53899999999999</v>
      </c>
      <c r="O12" s="1746">
        <f>'IncomeandExpenditure Data2'!P15/1000</f>
        <v>-142.53899999999999</v>
      </c>
      <c r="P12" s="1746">
        <f>'IncomeandExpenditure Data2'!Q15/1000</f>
        <v>-142.53899999999999</v>
      </c>
      <c r="Q12" s="1746">
        <f>'IncomeandExpenditure Data2'!R15/1000</f>
        <v>-142.53899999999999</v>
      </c>
      <c r="R12" s="1746">
        <f>'IncomeandExpenditure Data2'!S15/1000</f>
        <v>-142.53899999999999</v>
      </c>
      <c r="S12" s="1746">
        <f>'IncomeandExpenditure Data2'!T15/1000</f>
        <v>-142.53899999999999</v>
      </c>
      <c r="T12" s="1746">
        <f>'IncomeandExpenditure Data2'!U15/1000</f>
        <v>-142.53899999999999</v>
      </c>
      <c r="U12" s="1746">
        <f>'IncomeandExpenditure Data2'!V15/1000</f>
        <v>-142.53899999999999</v>
      </c>
      <c r="V12" s="448">
        <f t="shared" si="6"/>
        <v>-1735.6509999999998</v>
      </c>
      <c r="W12" s="448"/>
      <c r="X12" s="343">
        <f>'IncomeandExpenditure Data2'!Y15/1000</f>
        <v>-142.53899999999999</v>
      </c>
      <c r="Y12" s="343">
        <f>'IncomeandExpenditure Data2'!Z15/1000</f>
        <v>-142.53899999999999</v>
      </c>
      <c r="Z12" s="343">
        <f>'IncomeandExpenditure Data2'!AA15/1000</f>
        <v>-142.53899999999999</v>
      </c>
      <c r="AA12" s="343">
        <f>'IncomeandExpenditure Data2'!AB15/1000</f>
        <v>-142.53899999999999</v>
      </c>
      <c r="AB12" s="343">
        <f>'IncomeandExpenditure Data2'!AC15/1000</f>
        <v>-142.53899999999999</v>
      </c>
      <c r="AC12" s="343">
        <f>'IncomeandExpenditure Data2'!AD15/1000</f>
        <v>-142.53899999999999</v>
      </c>
      <c r="AD12" s="343">
        <f>'IncomeandExpenditure Data2'!AE15/1000</f>
        <v>-142.53899999999999</v>
      </c>
      <c r="AE12" s="343">
        <f>'IncomeandExpenditure Data2'!AF15/1000</f>
        <v>-142.53899999999999</v>
      </c>
      <c r="AF12" s="343">
        <f>'IncomeandExpenditure Data2'!AG15/1000</f>
        <v>-142.53899999999999</v>
      </c>
      <c r="AG12" s="343">
        <f>'IncomeandExpenditure Data2'!AH15/1000</f>
        <v>-142.53899999999999</v>
      </c>
      <c r="AH12" s="343">
        <f>'IncomeandExpenditure Data2'!AI15/1000</f>
        <v>-142.53899999999999</v>
      </c>
      <c r="AI12" s="343">
        <f>'IncomeandExpenditure Data2'!AJ15/1000</f>
        <v>-142.53899999999999</v>
      </c>
      <c r="AJ12" s="448">
        <f t="shared" si="1"/>
        <v>-1710.4679999999998</v>
      </c>
      <c r="AN12" s="448">
        <v>-1078.93596</v>
      </c>
      <c r="AO12" s="1559">
        <v>-1816.0129999999999</v>
      </c>
      <c r="AP12" s="1559">
        <v>-556.20000000000005</v>
      </c>
      <c r="AQ12" s="1559">
        <v>-561.09400000000005</v>
      </c>
      <c r="AR12" s="1559">
        <v>-560.12199999999996</v>
      </c>
      <c r="AS12" s="1559">
        <v>-563.12199999999996</v>
      </c>
      <c r="AU12" s="448">
        <v>-391.24</v>
      </c>
      <c r="AV12" s="1559">
        <v>-520.87</v>
      </c>
      <c r="AW12" s="1559">
        <v>-514.47400000000005</v>
      </c>
      <c r="AX12" s="1559">
        <v>-548.78800000000001</v>
      </c>
      <c r="AY12" s="1559">
        <v>-501.91800000000001</v>
      </c>
      <c r="AZ12" s="1559">
        <v>68.992000000000004</v>
      </c>
      <c r="BB12" s="448"/>
      <c r="BC12" s="1559">
        <v>0</v>
      </c>
      <c r="BD12" s="1559">
        <v>0</v>
      </c>
      <c r="BE12" s="1559">
        <v>0</v>
      </c>
      <c r="BF12" s="1559">
        <v>0</v>
      </c>
      <c r="BG12" s="1559">
        <v>0</v>
      </c>
      <c r="BH12" s="448"/>
      <c r="BI12" s="448"/>
      <c r="BJ12" s="1559">
        <v>0</v>
      </c>
      <c r="BK12" s="1559">
        <v>0</v>
      </c>
      <c r="BL12" s="1559">
        <v>0</v>
      </c>
      <c r="BM12" s="1559">
        <v>0</v>
      </c>
      <c r="BN12" s="1559">
        <v>0</v>
      </c>
      <c r="BO12" s="448"/>
    </row>
    <row r="13" spans="1:69">
      <c r="A13" s="1921" t="s">
        <v>1249</v>
      </c>
      <c r="B13" s="700">
        <f t="shared" si="7"/>
        <v>-367.56400000000002</v>
      </c>
      <c r="C13" s="700">
        <f t="shared" si="8"/>
        <v>-144.01900000000001</v>
      </c>
      <c r="D13" s="343">
        <f t="shared" si="2"/>
        <v>223.54500000000002</v>
      </c>
      <c r="E13" s="343"/>
      <c r="F13" s="343">
        <f t="shared" ref="F13:F15" si="9">SUM(X13:AI13)</f>
        <v>-2205.3879999999995</v>
      </c>
      <c r="G13" s="343">
        <f t="shared" ref="G13:G15" si="10">SUM(J13:U13)</f>
        <v>-1376.1869999999999</v>
      </c>
      <c r="H13" s="343">
        <f t="shared" ref="H13:H15" si="11">G13-F13</f>
        <v>829.20099999999957</v>
      </c>
      <c r="I13" s="343"/>
      <c r="J13" s="1746">
        <f>'IncomeandExpenditure Data2'!K16/1000</f>
        <v>-96.281999999999996</v>
      </c>
      <c r="K13" s="1746">
        <f>'IncomeandExpenditure Data2'!L16/1000</f>
        <v>-47.737000000000002</v>
      </c>
      <c r="L13" s="1746">
        <f>'IncomeandExpenditure Data2'!M16/1000</f>
        <v>-107.01</v>
      </c>
      <c r="M13" s="1746">
        <f>'IncomeandExpenditure Data2'!N16/1000</f>
        <v>-107.009</v>
      </c>
      <c r="N13" s="1746">
        <f>'IncomeandExpenditure Data2'!O16/1000</f>
        <v>-112.009</v>
      </c>
      <c r="O13" s="1746">
        <f>'IncomeandExpenditure Data2'!P16/1000</f>
        <v>-117.01</v>
      </c>
      <c r="P13" s="1746">
        <f>'IncomeandExpenditure Data2'!Q16/1000</f>
        <v>-117.009</v>
      </c>
      <c r="Q13" s="1746">
        <f>'IncomeandExpenditure Data2'!R16/1000</f>
        <v>-127.009</v>
      </c>
      <c r="R13" s="1746">
        <f>'IncomeandExpenditure Data2'!S16/1000</f>
        <v>-127.01</v>
      </c>
      <c r="S13" s="1746">
        <f>'IncomeandExpenditure Data2'!T16/1000</f>
        <v>-139.36699999999999</v>
      </c>
      <c r="T13" s="1746">
        <f>'IncomeandExpenditure Data2'!U16/1000</f>
        <v>-139.36699999999999</v>
      </c>
      <c r="U13" s="1746">
        <f>'IncomeandExpenditure Data2'!V16/1000</f>
        <v>-139.36799999999999</v>
      </c>
      <c r="V13" s="448">
        <f t="shared" si="6"/>
        <v>-1376.1869999999999</v>
      </c>
      <c r="W13" s="448"/>
      <c r="X13" s="343">
        <f>'IncomeandExpenditure Data2'!Y16/1000</f>
        <v>-183.78200000000001</v>
      </c>
      <c r="Y13" s="343">
        <f>'IncomeandExpenditure Data2'!Z16/1000</f>
        <v>-183.78200000000001</v>
      </c>
      <c r="Z13" s="343">
        <f>'IncomeandExpenditure Data2'!AA16/1000</f>
        <v>-183.78299999999999</v>
      </c>
      <c r="AA13" s="343">
        <f>'IncomeandExpenditure Data2'!AB16/1000</f>
        <v>-183.78200000000001</v>
      </c>
      <c r="AB13" s="343">
        <f>'IncomeandExpenditure Data2'!AC16/1000</f>
        <v>-183.78200000000001</v>
      </c>
      <c r="AC13" s="343">
        <f>'IncomeandExpenditure Data2'!AD16/1000</f>
        <v>-183.78299999999999</v>
      </c>
      <c r="AD13" s="343">
        <f>'IncomeandExpenditure Data2'!AE16/1000</f>
        <v>-183.78200000000001</v>
      </c>
      <c r="AE13" s="343">
        <f>'IncomeandExpenditure Data2'!AF16/1000</f>
        <v>-183.78200000000001</v>
      </c>
      <c r="AF13" s="343">
        <f>'IncomeandExpenditure Data2'!AG16/1000</f>
        <v>-183.78299999999999</v>
      </c>
      <c r="AG13" s="343">
        <f>'IncomeandExpenditure Data2'!AH16/1000</f>
        <v>-183.78200000000001</v>
      </c>
      <c r="AH13" s="343">
        <f>'IncomeandExpenditure Data2'!AI16/1000</f>
        <v>-183.78200000000001</v>
      </c>
      <c r="AI13" s="343">
        <f>'IncomeandExpenditure Data2'!AJ16/1000</f>
        <v>-183.78299999999999</v>
      </c>
      <c r="AJ13" s="448">
        <f t="shared" si="1"/>
        <v>-2205.3879999999995</v>
      </c>
      <c r="AN13" s="448"/>
      <c r="AO13" s="1559"/>
      <c r="AP13" s="1559"/>
      <c r="AQ13" s="1559"/>
      <c r="AR13" s="1559"/>
      <c r="AS13" s="1559"/>
      <c r="AU13" s="448"/>
      <c r="AV13" s="1559"/>
      <c r="AW13" s="1559"/>
      <c r="AX13" s="1559"/>
      <c r="AY13" s="1559"/>
      <c r="AZ13" s="1559"/>
      <c r="BB13" s="448"/>
      <c r="BC13" s="1559"/>
      <c r="BD13" s="1559"/>
      <c r="BE13" s="1559"/>
      <c r="BF13" s="1559"/>
      <c r="BG13" s="1559"/>
      <c r="BH13" s="448"/>
      <c r="BI13" s="448"/>
      <c r="BJ13" s="1559"/>
      <c r="BK13" s="1559"/>
      <c r="BL13" s="1559"/>
      <c r="BM13" s="1559"/>
      <c r="BN13" s="1559"/>
      <c r="BO13" s="448"/>
    </row>
    <row r="14" spans="1:69">
      <c r="A14" s="1921" t="s">
        <v>1295</v>
      </c>
      <c r="B14" s="700">
        <f t="shared" si="7"/>
        <v>-717.66</v>
      </c>
      <c r="C14" s="700">
        <f t="shared" si="8"/>
        <v>-751.73500000000001</v>
      </c>
      <c r="D14" s="343">
        <f t="shared" si="2"/>
        <v>-34.075000000000045</v>
      </c>
      <c r="E14" s="343"/>
      <c r="F14" s="343">
        <f t="shared" si="9"/>
        <v>-4305.96</v>
      </c>
      <c r="G14" s="343">
        <f t="shared" si="10"/>
        <v>-4281.1650000000009</v>
      </c>
      <c r="H14" s="343">
        <f t="shared" si="11"/>
        <v>24.794999999999163</v>
      </c>
      <c r="I14" s="343"/>
      <c r="J14" s="1746">
        <f>'IncomeandExpenditure Data2'!K17/1000</f>
        <v>-350.226</v>
      </c>
      <c r="K14" s="1746">
        <f>'IncomeandExpenditure Data2'!L17/1000</f>
        <v>-401.50900000000001</v>
      </c>
      <c r="L14" s="1746">
        <f>'IncomeandExpenditure Data2'!M17/1000</f>
        <v>-352.94299999999998</v>
      </c>
      <c r="M14" s="1746">
        <f>'IncomeandExpenditure Data2'!N17/1000</f>
        <v>-352.94299999999998</v>
      </c>
      <c r="N14" s="1746">
        <f>'IncomeandExpenditure Data2'!O17/1000</f>
        <v>-352.94299999999998</v>
      </c>
      <c r="O14" s="1746">
        <f>'IncomeandExpenditure Data2'!P17/1000</f>
        <v>-352.94299999999998</v>
      </c>
      <c r="P14" s="1746">
        <f>'IncomeandExpenditure Data2'!Q17/1000</f>
        <v>-352.94299999999998</v>
      </c>
      <c r="Q14" s="1746">
        <f>'IncomeandExpenditure Data2'!R17/1000</f>
        <v>-352.94299999999998</v>
      </c>
      <c r="R14" s="1746">
        <f>'IncomeandExpenditure Data2'!S17/1000</f>
        <v>-352.94299999999998</v>
      </c>
      <c r="S14" s="1746">
        <f>'IncomeandExpenditure Data2'!T17/1000</f>
        <v>-352.94299999999998</v>
      </c>
      <c r="T14" s="1746">
        <f>'IncomeandExpenditure Data2'!U17/1000</f>
        <v>-352.94299999999998</v>
      </c>
      <c r="U14" s="1746">
        <f>'IncomeandExpenditure Data2'!V17/1000</f>
        <v>-352.94299999999998</v>
      </c>
      <c r="V14" s="448">
        <f t="shared" si="6"/>
        <v>-4281.1650000000009</v>
      </c>
      <c r="W14" s="448"/>
      <c r="X14" s="343">
        <f>'IncomeandExpenditure Data2'!Y17/1000</f>
        <v>-358.83</v>
      </c>
      <c r="Y14" s="343">
        <f>'IncomeandExpenditure Data2'!Z17/1000</f>
        <v>-358.83</v>
      </c>
      <c r="Z14" s="343">
        <f>'IncomeandExpenditure Data2'!AA17/1000</f>
        <v>-358.83</v>
      </c>
      <c r="AA14" s="343">
        <f>'IncomeandExpenditure Data2'!AB17/1000</f>
        <v>-358.83</v>
      </c>
      <c r="AB14" s="343">
        <f>'IncomeandExpenditure Data2'!AC17/1000</f>
        <v>-358.83</v>
      </c>
      <c r="AC14" s="343">
        <f>'IncomeandExpenditure Data2'!AD17/1000</f>
        <v>-358.83</v>
      </c>
      <c r="AD14" s="343">
        <f>'IncomeandExpenditure Data2'!AE17/1000</f>
        <v>-358.83</v>
      </c>
      <c r="AE14" s="343">
        <f>'IncomeandExpenditure Data2'!AF17/1000</f>
        <v>-358.83</v>
      </c>
      <c r="AF14" s="343">
        <f>'IncomeandExpenditure Data2'!AG17/1000</f>
        <v>-358.83</v>
      </c>
      <c r="AG14" s="343">
        <f>'IncomeandExpenditure Data2'!AH17/1000</f>
        <v>-358.83</v>
      </c>
      <c r="AH14" s="343">
        <f>'IncomeandExpenditure Data2'!AI17/1000</f>
        <v>-358.83</v>
      </c>
      <c r="AI14" s="343">
        <f>'IncomeandExpenditure Data2'!AJ17/1000</f>
        <v>-358.83</v>
      </c>
      <c r="AJ14" s="448">
        <f t="shared" si="1"/>
        <v>-4305.96</v>
      </c>
      <c r="AN14" s="448"/>
      <c r="AO14" s="1559"/>
      <c r="AP14" s="1559"/>
      <c r="AQ14" s="1559"/>
      <c r="AR14" s="1559"/>
      <c r="AS14" s="1559"/>
      <c r="AU14" s="448"/>
      <c r="AV14" s="1559"/>
      <c r="AW14" s="1559"/>
      <c r="AX14" s="1559"/>
      <c r="AY14" s="1559"/>
      <c r="AZ14" s="1559"/>
      <c r="BB14" s="448"/>
      <c r="BC14" s="1559"/>
      <c r="BD14" s="1559"/>
      <c r="BE14" s="1559"/>
      <c r="BF14" s="1559"/>
      <c r="BG14" s="1559"/>
      <c r="BH14" s="448"/>
      <c r="BI14" s="448"/>
      <c r="BJ14" s="1559"/>
      <c r="BK14" s="1559"/>
      <c r="BL14" s="1559"/>
      <c r="BM14" s="1559"/>
      <c r="BN14" s="1559"/>
      <c r="BO14" s="448"/>
    </row>
    <row r="15" spans="1:69" ht="13.8" thickBot="1">
      <c r="A15" s="1921" t="s">
        <v>1296</v>
      </c>
      <c r="B15" s="700">
        <f t="shared" si="7"/>
        <v>-32.853999999999999</v>
      </c>
      <c r="C15" s="700">
        <f t="shared" si="8"/>
        <v>-77.88</v>
      </c>
      <c r="D15" s="343">
        <f t="shared" si="2"/>
        <v>-45.025999999999996</v>
      </c>
      <c r="E15" s="343"/>
      <c r="F15" s="343">
        <f t="shared" si="9"/>
        <v>-247.12800000000001</v>
      </c>
      <c r="G15" s="343">
        <f t="shared" si="10"/>
        <v>-242.14999999999992</v>
      </c>
      <c r="H15" s="343">
        <f t="shared" si="11"/>
        <v>4.9780000000000939</v>
      </c>
      <c r="I15" s="343"/>
      <c r="J15" s="1746">
        <f>'IncomeandExpenditure Data2'!K18/1000</f>
        <v>-81.388999999999996</v>
      </c>
      <c r="K15" s="1746">
        <f>'IncomeandExpenditure Data2'!L18/1000</f>
        <v>3.5089999999999999</v>
      </c>
      <c r="L15" s="1746">
        <f>'IncomeandExpenditure Data2'!M18/1000</f>
        <v>-16.427</v>
      </c>
      <c r="M15" s="1746">
        <f>'IncomeandExpenditure Data2'!N18/1000</f>
        <v>-16.427</v>
      </c>
      <c r="N15" s="1746">
        <f>'IncomeandExpenditure Data2'!O18/1000</f>
        <v>-16.427</v>
      </c>
      <c r="O15" s="1746">
        <f>'IncomeandExpenditure Data2'!P18/1000</f>
        <v>-16.427</v>
      </c>
      <c r="P15" s="1746">
        <f>'IncomeandExpenditure Data2'!Q18/1000</f>
        <v>-16.427</v>
      </c>
      <c r="Q15" s="1746">
        <f>'IncomeandExpenditure Data2'!R18/1000</f>
        <v>-16.427</v>
      </c>
      <c r="R15" s="1746">
        <f>'IncomeandExpenditure Data2'!S18/1000</f>
        <v>-16.427</v>
      </c>
      <c r="S15" s="1746">
        <f>'IncomeandExpenditure Data2'!T18/1000</f>
        <v>-16.427</v>
      </c>
      <c r="T15" s="1746">
        <f>'IncomeandExpenditure Data2'!U18/1000</f>
        <v>-16.427</v>
      </c>
      <c r="U15" s="1746">
        <f>'IncomeandExpenditure Data2'!V18/1000</f>
        <v>-16.427</v>
      </c>
      <c r="V15" s="448">
        <f t="shared" si="6"/>
        <v>-242.14999999999992</v>
      </c>
      <c r="W15" s="448"/>
      <c r="X15" s="343">
        <f>'IncomeandExpenditure Data2'!Y18/1000</f>
        <v>-16.427</v>
      </c>
      <c r="Y15" s="343">
        <f>'IncomeandExpenditure Data2'!Z18/1000</f>
        <v>-16.427</v>
      </c>
      <c r="Z15" s="343">
        <f>'IncomeandExpenditure Data2'!AA18/1000</f>
        <v>-16.427</v>
      </c>
      <c r="AA15" s="343">
        <f>'IncomeandExpenditure Data2'!AB18/1000</f>
        <v>-21.983000000000001</v>
      </c>
      <c r="AB15" s="343">
        <f>'IncomeandExpenditure Data2'!AC18/1000</f>
        <v>-21.983000000000001</v>
      </c>
      <c r="AC15" s="343">
        <f>'IncomeandExpenditure Data2'!AD18/1000</f>
        <v>-21.983000000000001</v>
      </c>
      <c r="AD15" s="343">
        <f>'IncomeandExpenditure Data2'!AE18/1000</f>
        <v>-21.983000000000001</v>
      </c>
      <c r="AE15" s="343">
        <f>'IncomeandExpenditure Data2'!AF18/1000</f>
        <v>-21.983000000000001</v>
      </c>
      <c r="AF15" s="343">
        <f>'IncomeandExpenditure Data2'!AG18/1000</f>
        <v>-21.983000000000001</v>
      </c>
      <c r="AG15" s="343">
        <f>'IncomeandExpenditure Data2'!AH18/1000</f>
        <v>-21.983000000000001</v>
      </c>
      <c r="AH15" s="343">
        <f>'IncomeandExpenditure Data2'!AI18/1000</f>
        <v>-21.983000000000001</v>
      </c>
      <c r="AI15" s="343">
        <f>'IncomeandExpenditure Data2'!AJ18/1000</f>
        <v>-21.983000000000001</v>
      </c>
      <c r="AJ15" s="448">
        <f t="shared" si="1"/>
        <v>-247.12800000000001</v>
      </c>
      <c r="AN15" s="448"/>
      <c r="AO15" s="1559"/>
      <c r="AP15" s="1559"/>
      <c r="AQ15" s="1559"/>
      <c r="AR15" s="1559"/>
      <c r="AS15" s="1559"/>
      <c r="AU15" s="448"/>
      <c r="AV15" s="1559"/>
      <c r="AW15" s="1559"/>
      <c r="AX15" s="1559"/>
      <c r="AY15" s="1559"/>
      <c r="AZ15" s="1559"/>
      <c r="BB15" s="448"/>
      <c r="BC15" s="1559"/>
      <c r="BD15" s="1559"/>
      <c r="BE15" s="1559"/>
      <c r="BF15" s="1559"/>
      <c r="BG15" s="1559"/>
      <c r="BH15" s="448"/>
      <c r="BI15" s="448"/>
      <c r="BJ15" s="1559"/>
      <c r="BK15" s="1559"/>
      <c r="BL15" s="1559"/>
      <c r="BM15" s="1559"/>
      <c r="BN15" s="1559"/>
      <c r="BO15" s="448"/>
    </row>
    <row r="16" spans="1:69" ht="13.8" thickBot="1">
      <c r="A16" s="344" t="s">
        <v>375</v>
      </c>
      <c r="B16" s="701">
        <f>SUM(B5:B15)</f>
        <v>-83719.819000000003</v>
      </c>
      <c r="C16" s="701">
        <f>SUM(C5:C15)</f>
        <v>-81308.247999999992</v>
      </c>
      <c r="D16" s="345">
        <f>SUM(D5:D15)</f>
        <v>2411.5709999999999</v>
      </c>
      <c r="E16" s="343"/>
      <c r="F16" s="345">
        <f>SUM(F5:F15)</f>
        <v>-503130.11899999995</v>
      </c>
      <c r="G16" s="345">
        <f>SUM(G5:G15)</f>
        <v>-505249.83899999992</v>
      </c>
      <c r="H16" s="345">
        <f>SUM(H5:H15)</f>
        <v>-2119.7200000000526</v>
      </c>
      <c r="I16" s="343"/>
      <c r="J16" s="449">
        <f t="shared" ref="J16:T16" si="12">SUM(J5:J15)</f>
        <v>-40803.214</v>
      </c>
      <c r="K16" s="449">
        <f t="shared" si="12"/>
        <v>-40505.033999999992</v>
      </c>
      <c r="L16" s="449">
        <f t="shared" si="12"/>
        <v>-40836.677999999993</v>
      </c>
      <c r="M16" s="449">
        <f t="shared" si="12"/>
        <v>-44584.726999999999</v>
      </c>
      <c r="N16" s="449">
        <f t="shared" si="12"/>
        <v>-40994.264999999992</v>
      </c>
      <c r="O16" s="449">
        <f t="shared" si="12"/>
        <v>-40946.323999999993</v>
      </c>
      <c r="P16" s="449">
        <f t="shared" si="12"/>
        <v>-44519.422999999995</v>
      </c>
      <c r="Q16" s="449">
        <f t="shared" si="12"/>
        <v>-40931.61299999999</v>
      </c>
      <c r="R16" s="449">
        <f t="shared" si="12"/>
        <v>-40963.156999999999</v>
      </c>
      <c r="S16" s="449">
        <f t="shared" si="12"/>
        <v>-44582.724999999991</v>
      </c>
      <c r="T16" s="449">
        <f t="shared" si="12"/>
        <v>-40982.298999999999</v>
      </c>
      <c r="U16" s="449">
        <f>SUM(U5:U15)</f>
        <v>-44600.38</v>
      </c>
      <c r="V16" s="449">
        <f>SUM(V5:V15)</f>
        <v>-505249.83899999992</v>
      </c>
      <c r="W16" s="449"/>
      <c r="X16" s="449">
        <f t="shared" ref="X16:AH16" si="13">SUM(X5:X15)</f>
        <v>-41854.673999999999</v>
      </c>
      <c r="Y16" s="449">
        <f t="shared" si="13"/>
        <v>-41865.144999999997</v>
      </c>
      <c r="Z16" s="449">
        <f t="shared" si="13"/>
        <v>-41884.228999999999</v>
      </c>
      <c r="AA16" s="449">
        <f t="shared" si="13"/>
        <v>-41943.119999999995</v>
      </c>
      <c r="AB16" s="449">
        <f t="shared" si="13"/>
        <v>-41923.117999999988</v>
      </c>
      <c r="AC16" s="449">
        <f t="shared" si="13"/>
        <v>-41947.636000000006</v>
      </c>
      <c r="AD16" s="449">
        <f t="shared" si="13"/>
        <v>-41955.931999999993</v>
      </c>
      <c r="AE16" s="449">
        <f t="shared" si="13"/>
        <v>-41960.934000000001</v>
      </c>
      <c r="AF16" s="449">
        <f t="shared" si="13"/>
        <v>-41952.834999999999</v>
      </c>
      <c r="AG16" s="449">
        <f t="shared" si="13"/>
        <v>-41955.834000000003</v>
      </c>
      <c r="AH16" s="449">
        <f t="shared" si="13"/>
        <v>-41955.834999999992</v>
      </c>
      <c r="AI16" s="449">
        <f>SUM(AI5:AI15)</f>
        <v>-41930.827000000005</v>
      </c>
      <c r="AJ16" s="449">
        <f>SUM(AJ5:AJ15)</f>
        <v>-503130.11799999996</v>
      </c>
      <c r="AN16" s="449">
        <f t="shared" ref="AN16:AS16" si="14">SUM(AN5:AN12)</f>
        <v>-48109.936540000002</v>
      </c>
      <c r="AO16" s="449">
        <f t="shared" si="14"/>
        <v>-48393.572</v>
      </c>
      <c r="AP16" s="449">
        <f t="shared" si="14"/>
        <v>-48002.249999999993</v>
      </c>
      <c r="AQ16" s="449">
        <f t="shared" si="14"/>
        <v>-48596.160999999993</v>
      </c>
      <c r="AR16" s="449">
        <f t="shared" si="14"/>
        <v>-49317.148000000001</v>
      </c>
      <c r="AS16" s="449">
        <f t="shared" si="14"/>
        <v>-49075.232999999993</v>
      </c>
      <c r="AU16" s="449">
        <f t="shared" ref="AU16:AZ16" si="15">SUM(AU5:AU12)</f>
        <v>-47515.607999999993</v>
      </c>
      <c r="AV16" s="449">
        <f t="shared" si="15"/>
        <v>-47534.131999999998</v>
      </c>
      <c r="AW16" s="449">
        <f t="shared" si="15"/>
        <v>-47647.144</v>
      </c>
      <c r="AX16" s="449">
        <f t="shared" si="15"/>
        <v>-47710.947999999997</v>
      </c>
      <c r="AY16" s="449">
        <f t="shared" si="15"/>
        <v>-47843.997999999992</v>
      </c>
      <c r="AZ16" s="449">
        <f t="shared" si="15"/>
        <v>-47309.825000000004</v>
      </c>
      <c r="BB16" s="449">
        <f>SUM(BB5:BB12)</f>
        <v>-9262.14</v>
      </c>
      <c r="BC16" s="449">
        <f t="shared" ref="BC16:BI16" si="16">SUM(BC5:BC12)</f>
        <v>-10181.076999999997</v>
      </c>
      <c r="BD16" s="449">
        <f t="shared" si="16"/>
        <v>-9299.2989999999991</v>
      </c>
      <c r="BE16" s="449">
        <f t="shared" si="16"/>
        <v>-9890.4369999999999</v>
      </c>
      <c r="BF16" s="449">
        <f t="shared" si="16"/>
        <v>-10024.41</v>
      </c>
      <c r="BG16" s="449">
        <f t="shared" si="16"/>
        <v>-10033.136</v>
      </c>
      <c r="BH16" s="449"/>
      <c r="BI16" s="449">
        <f t="shared" si="16"/>
        <v>-9803.2510000000002</v>
      </c>
      <c r="BJ16" s="449">
        <f>SUM(BJ5:BJ12)</f>
        <v>-9712.5159999999996</v>
      </c>
      <c r="BK16" s="449">
        <f>SUM(BK5:BK12)</f>
        <v>-9840.1059999999998</v>
      </c>
      <c r="BL16" s="449">
        <f>SUM(BL5:BL12)</f>
        <v>-9829.594000000001</v>
      </c>
      <c r="BM16" s="449">
        <f>SUM(BM5:BM12)</f>
        <v>-9976.1149999999998</v>
      </c>
      <c r="BN16" s="449">
        <f>SUM(BN5:BN12)</f>
        <v>-10208.153999999999</v>
      </c>
      <c r="BO16" s="449"/>
    </row>
    <row r="17" spans="1:67">
      <c r="A17" s="1921" t="s">
        <v>1297</v>
      </c>
      <c r="B17" s="700">
        <f t="shared" si="7"/>
        <v>-5408.1949999999997</v>
      </c>
      <c r="C17" s="700">
        <f t="shared" si="8"/>
        <v>-4861.7520000000004</v>
      </c>
      <c r="D17" s="343">
        <f t="shared" ref="D17:D21" si="17">C17-B17</f>
        <v>546.4429999999993</v>
      </c>
      <c r="E17" s="343"/>
      <c r="F17" s="343">
        <f t="shared" ref="F17:F21" si="18">SUM(X17:AI17)</f>
        <v>-32458.895000000008</v>
      </c>
      <c r="G17" s="343">
        <f t="shared" ref="G17:G21" si="19">SUM(J17:U17)</f>
        <v>-31991.623</v>
      </c>
      <c r="H17" s="343">
        <f t="shared" ref="H17:H21" si="20">G17-F17</f>
        <v>467.27200000000812</v>
      </c>
      <c r="I17" s="343"/>
      <c r="J17" s="1746">
        <f>'IncomeandExpenditure Data2'!K20/1000</f>
        <v>-2388.375</v>
      </c>
      <c r="K17" s="1746">
        <f>'IncomeandExpenditure Data2'!L20/1000</f>
        <v>-2473.377</v>
      </c>
      <c r="L17" s="1746">
        <f>'IncomeandExpenditure Data2'!M20/1000</f>
        <v>-2714.7860000000001</v>
      </c>
      <c r="M17" s="1746">
        <f>'IncomeandExpenditure Data2'!N20/1000</f>
        <v>-2713.9349999999999</v>
      </c>
      <c r="N17" s="1746">
        <f>'IncomeandExpenditure Data2'!O20/1000</f>
        <v>-2715.029</v>
      </c>
      <c r="O17" s="1746">
        <f>'IncomeandExpenditure Data2'!P20/1000</f>
        <v>-2717.7060000000001</v>
      </c>
      <c r="P17" s="1746">
        <f>'IncomeandExpenditure Data2'!Q20/1000</f>
        <v>-2714.625</v>
      </c>
      <c r="Q17" s="1746">
        <f>'IncomeandExpenditure Data2'!R20/1000</f>
        <v>-2711.0250000000001</v>
      </c>
      <c r="R17" s="1746">
        <f>'IncomeandExpenditure Data2'!S20/1000</f>
        <v>-2711.37</v>
      </c>
      <c r="S17" s="1746">
        <f>'IncomeandExpenditure Data2'!T20/1000</f>
        <v>-2710.5749999999998</v>
      </c>
      <c r="T17" s="1746">
        <f>'IncomeandExpenditure Data2'!U20/1000</f>
        <v>-2710.4850000000001</v>
      </c>
      <c r="U17" s="1746">
        <f>'IncomeandExpenditure Data2'!V20/1000</f>
        <v>-2710.335</v>
      </c>
      <c r="V17" s="448">
        <f>SUM(J17:U17)</f>
        <v>-31991.623</v>
      </c>
      <c r="W17" s="448"/>
      <c r="X17" s="343">
        <f>'IncomeandExpenditure Data2'!Y20/1000</f>
        <v>-2704.0970000000002</v>
      </c>
      <c r="Y17" s="343">
        <f>'IncomeandExpenditure Data2'!Z20/1000</f>
        <v>-2704.098</v>
      </c>
      <c r="Z17" s="343">
        <f>'IncomeandExpenditure Data2'!AA20/1000</f>
        <v>-2707.2779999999998</v>
      </c>
      <c r="AA17" s="343">
        <f>'IncomeandExpenditure Data2'!AB20/1000</f>
        <v>-2707.2779999999998</v>
      </c>
      <c r="AB17" s="343">
        <f>'IncomeandExpenditure Data2'!AC20/1000</f>
        <v>-2707.2779999999998</v>
      </c>
      <c r="AC17" s="343">
        <f>'IncomeandExpenditure Data2'!AD20/1000</f>
        <v>-2706.85</v>
      </c>
      <c r="AD17" s="343">
        <f>'IncomeandExpenditure Data2'!AE20/1000</f>
        <v>-2703.6680000000001</v>
      </c>
      <c r="AE17" s="343">
        <f>'IncomeandExpenditure Data2'!AF20/1000</f>
        <v>-2703.6680000000001</v>
      </c>
      <c r="AF17" s="343">
        <f>'IncomeandExpenditure Data2'!AG20/1000</f>
        <v>-2703.6680000000001</v>
      </c>
      <c r="AG17" s="343">
        <f>'IncomeandExpenditure Data2'!AH20/1000</f>
        <v>-2703.6680000000001</v>
      </c>
      <c r="AH17" s="343">
        <f>'IncomeandExpenditure Data2'!AI20/1000</f>
        <v>-2703.6680000000001</v>
      </c>
      <c r="AI17" s="343">
        <f>'IncomeandExpenditure Data2'!AJ20/1000</f>
        <v>-2703.6759999999999</v>
      </c>
      <c r="AJ17" s="448">
        <f>SUM(X17:AI17)</f>
        <v>-32458.895000000008</v>
      </c>
      <c r="AN17" s="448">
        <v>-2840.1121400000002</v>
      </c>
      <c r="AO17" s="1559">
        <v>-3609.11</v>
      </c>
      <c r="AP17" s="1559">
        <v>-2692.5639999999999</v>
      </c>
      <c r="AQ17" s="1559">
        <v>-2610.6469999999999</v>
      </c>
      <c r="AR17" s="1559">
        <v>-2476.9940000000001</v>
      </c>
      <c r="AS17" s="1559">
        <v>-2394.2950000000001</v>
      </c>
      <c r="AU17" s="448">
        <v>-2359.85</v>
      </c>
      <c r="AV17" s="1559">
        <v>-2359.701</v>
      </c>
      <c r="AW17" s="1559">
        <v>-2360.011</v>
      </c>
      <c r="AX17" s="1559">
        <v>-2360.319</v>
      </c>
      <c r="AY17" s="1559">
        <v>-2359.9780000000001</v>
      </c>
      <c r="AZ17" s="1559">
        <v>-2340.348</v>
      </c>
      <c r="BB17" s="448">
        <f>'Deanery Forecast'!H16</f>
        <v>0</v>
      </c>
      <c r="BC17" s="1559">
        <v>-7.4999999999999997E-2</v>
      </c>
      <c r="BD17" s="1559">
        <v>0</v>
      </c>
      <c r="BE17" s="1559">
        <v>-1</v>
      </c>
      <c r="BF17" s="1559">
        <v>0</v>
      </c>
      <c r="BG17" s="1559">
        <v>0</v>
      </c>
      <c r="BH17" s="448"/>
      <c r="BI17" s="448"/>
      <c r="BJ17" s="448"/>
      <c r="BK17" s="448"/>
      <c r="BL17" s="448"/>
      <c r="BM17" s="448"/>
      <c r="BN17" s="448"/>
      <c r="BO17" s="448"/>
    </row>
    <row r="18" spans="1:67">
      <c r="A18" s="1921" t="s">
        <v>1298</v>
      </c>
      <c r="B18" s="700">
        <f t="shared" si="7"/>
        <v>-1096.4639999999999</v>
      </c>
      <c r="C18" s="700">
        <f t="shared" si="8"/>
        <v>-863.5</v>
      </c>
      <c r="D18" s="343">
        <f t="shared" si="17"/>
        <v>232.96399999999994</v>
      </c>
      <c r="E18" s="343"/>
      <c r="F18" s="343">
        <f t="shared" ref="F18" si="21">SUM(X18:AI18)</f>
        <v>-6578.7839999999997</v>
      </c>
      <c r="G18" s="1608">
        <f t="shared" ref="G18" si="22">SUM(J18:U18)</f>
        <v>-6581.4710000000005</v>
      </c>
      <c r="H18" s="343">
        <f t="shared" ref="H18" si="23">G18-F18</f>
        <v>-2.6870000000008076</v>
      </c>
      <c r="I18" s="343"/>
      <c r="J18" s="1746">
        <f>'IncomeandExpenditure Data2'!K21/1000</f>
        <v>-343.08499999999998</v>
      </c>
      <c r="K18" s="1746">
        <f>'IncomeandExpenditure Data2'!L21/1000</f>
        <v>-520.41499999999996</v>
      </c>
      <c r="L18" s="1746">
        <f>'IncomeandExpenditure Data2'!M21/1000</f>
        <v>-496.85599999999999</v>
      </c>
      <c r="M18" s="1746">
        <f>'IncomeandExpenditure Data2'!N21/1000</f>
        <v>-494.85599999999999</v>
      </c>
      <c r="N18" s="1746">
        <f>'IncomeandExpenditure Data2'!O21/1000</f>
        <v>-494.85599999999999</v>
      </c>
      <c r="O18" s="1746">
        <f>'IncomeandExpenditure Data2'!P21/1000</f>
        <v>-598.09500000000003</v>
      </c>
      <c r="P18" s="1746">
        <f>'IncomeandExpenditure Data2'!Q21/1000</f>
        <v>-605.55200000000002</v>
      </c>
      <c r="Q18" s="1746">
        <f>'IncomeandExpenditure Data2'!R21/1000</f>
        <v>-605.55200000000002</v>
      </c>
      <c r="R18" s="1746">
        <f>'IncomeandExpenditure Data2'!S21/1000</f>
        <v>-605.55200000000002</v>
      </c>
      <c r="S18" s="1746">
        <f>'IncomeandExpenditure Data2'!T21/1000</f>
        <v>-605.55200000000002</v>
      </c>
      <c r="T18" s="1746">
        <f>'IncomeandExpenditure Data2'!U21/1000</f>
        <v>-605.54999999999995</v>
      </c>
      <c r="U18" s="1746">
        <f>'IncomeandExpenditure Data2'!V21/1000</f>
        <v>-605.54999999999995</v>
      </c>
      <c r="V18" s="448">
        <f>SUM(J18:U18)</f>
        <v>-6581.4710000000005</v>
      </c>
      <c r="W18" s="448"/>
      <c r="X18" s="343">
        <f>'IncomeandExpenditure Data2'!Y21/1000</f>
        <v>-548.23199999999997</v>
      </c>
      <c r="Y18" s="343">
        <f>'IncomeandExpenditure Data2'!Z21/1000</f>
        <v>-548.23199999999997</v>
      </c>
      <c r="Z18" s="343">
        <f>'IncomeandExpenditure Data2'!AA21/1000</f>
        <v>-548.23199999999997</v>
      </c>
      <c r="AA18" s="343">
        <f>'IncomeandExpenditure Data2'!AB21/1000</f>
        <v>-548.23199999999997</v>
      </c>
      <c r="AB18" s="343">
        <f>'IncomeandExpenditure Data2'!AC21/1000</f>
        <v>-548.23199999999997</v>
      </c>
      <c r="AC18" s="343">
        <f>'IncomeandExpenditure Data2'!AD21/1000</f>
        <v>-548.23199999999997</v>
      </c>
      <c r="AD18" s="343">
        <f>'IncomeandExpenditure Data2'!AE21/1000</f>
        <v>-548.23199999999997</v>
      </c>
      <c r="AE18" s="343">
        <f>'IncomeandExpenditure Data2'!AF21/1000</f>
        <v>-548.23199999999997</v>
      </c>
      <c r="AF18" s="343">
        <f>'IncomeandExpenditure Data2'!AG21/1000</f>
        <v>-548.23199999999997</v>
      </c>
      <c r="AG18" s="343">
        <f>'IncomeandExpenditure Data2'!AH21/1000</f>
        <v>-548.23199999999997</v>
      </c>
      <c r="AH18" s="343">
        <f>'IncomeandExpenditure Data2'!AI21/1000</f>
        <v>-548.23199999999997</v>
      </c>
      <c r="AI18" s="343">
        <f>'IncomeandExpenditure Data2'!AJ21/1000</f>
        <v>-548.23199999999997</v>
      </c>
      <c r="AJ18" s="448">
        <f>SUM(X18:AI18)</f>
        <v>-6578.7839999999997</v>
      </c>
      <c r="AN18" s="448"/>
      <c r="AO18" s="1559"/>
      <c r="AP18" s="1559"/>
      <c r="AQ18" s="1559"/>
      <c r="AR18" s="1559"/>
      <c r="AS18" s="1559"/>
      <c r="AU18" s="448"/>
      <c r="AV18" s="1559"/>
      <c r="AW18" s="1559"/>
      <c r="AX18" s="1559"/>
      <c r="AY18" s="1559"/>
      <c r="AZ18" s="1559"/>
      <c r="BB18" s="448"/>
      <c r="BC18" s="1559"/>
      <c r="BD18" s="1559"/>
      <c r="BE18" s="1559"/>
      <c r="BF18" s="1559"/>
      <c r="BG18" s="1559"/>
      <c r="BH18" s="448"/>
      <c r="BI18" s="448"/>
      <c r="BJ18" s="448"/>
      <c r="BK18" s="448"/>
      <c r="BL18" s="448"/>
      <c r="BM18" s="448"/>
      <c r="BN18" s="448"/>
      <c r="BO18" s="448"/>
    </row>
    <row r="19" spans="1:67">
      <c r="A19" s="1921" t="s">
        <v>1276</v>
      </c>
      <c r="B19" s="700">
        <f t="shared" si="7"/>
        <v>0</v>
      </c>
      <c r="C19" s="700">
        <f t="shared" si="8"/>
        <v>0</v>
      </c>
      <c r="D19" s="343">
        <f t="shared" si="17"/>
        <v>0</v>
      </c>
      <c r="E19" s="343"/>
      <c r="F19" s="343">
        <f t="shared" si="18"/>
        <v>0</v>
      </c>
      <c r="G19" s="1608">
        <f t="shared" si="19"/>
        <v>0</v>
      </c>
      <c r="H19" s="343">
        <f t="shared" si="20"/>
        <v>0</v>
      </c>
      <c r="I19" s="343"/>
      <c r="J19" s="1746">
        <f>'IncomeandExpenditure Data2'!K22/1000</f>
        <v>0</v>
      </c>
      <c r="K19" s="1746">
        <f>'IncomeandExpenditure Data2'!L22/1000</f>
        <v>0</v>
      </c>
      <c r="L19" s="1746">
        <f>'IncomeandExpenditure Data2'!M22/1000</f>
        <v>0</v>
      </c>
      <c r="M19" s="1746">
        <f>'IncomeandExpenditure Data2'!N22/1000</f>
        <v>0</v>
      </c>
      <c r="N19" s="1746">
        <f>'IncomeandExpenditure Data2'!O22/1000</f>
        <v>0</v>
      </c>
      <c r="O19" s="1746">
        <f>'IncomeandExpenditure Data2'!P22/1000</f>
        <v>0</v>
      </c>
      <c r="P19" s="1746">
        <f>'IncomeandExpenditure Data2'!Q22/1000</f>
        <v>0</v>
      </c>
      <c r="Q19" s="1746">
        <f>'IncomeandExpenditure Data2'!R22/1000</f>
        <v>0</v>
      </c>
      <c r="R19" s="1746">
        <f>'IncomeandExpenditure Data2'!S22/1000</f>
        <v>0</v>
      </c>
      <c r="S19" s="1746">
        <f>'IncomeandExpenditure Data2'!T22/1000</f>
        <v>0</v>
      </c>
      <c r="T19" s="1746">
        <f>'IncomeandExpenditure Data2'!U22/1000</f>
        <v>0</v>
      </c>
      <c r="U19" s="1746">
        <f>'IncomeandExpenditure Data2'!V22/1000</f>
        <v>0</v>
      </c>
      <c r="V19" s="448">
        <f>SUM(J19:U19)</f>
        <v>0</v>
      </c>
      <c r="W19" s="448"/>
      <c r="X19" s="343">
        <f>'IncomeandExpenditure Data2'!Y22/1000</f>
        <v>0</v>
      </c>
      <c r="Y19" s="343">
        <f>'IncomeandExpenditure Data2'!Z22/1000</f>
        <v>0</v>
      </c>
      <c r="Z19" s="343">
        <f>'IncomeandExpenditure Data2'!AA22/1000</f>
        <v>0</v>
      </c>
      <c r="AA19" s="343">
        <f>'IncomeandExpenditure Data2'!AB22/1000</f>
        <v>0</v>
      </c>
      <c r="AB19" s="343">
        <f>'IncomeandExpenditure Data2'!AC22/1000</f>
        <v>0</v>
      </c>
      <c r="AC19" s="343">
        <f>'IncomeandExpenditure Data2'!AD22/1000</f>
        <v>0</v>
      </c>
      <c r="AD19" s="343">
        <f>'IncomeandExpenditure Data2'!AE22/1000</f>
        <v>0</v>
      </c>
      <c r="AE19" s="343">
        <f>'IncomeandExpenditure Data2'!AF22/1000</f>
        <v>0</v>
      </c>
      <c r="AF19" s="343">
        <f>'IncomeandExpenditure Data2'!AG22/1000</f>
        <v>0</v>
      </c>
      <c r="AG19" s="343">
        <f>'IncomeandExpenditure Data2'!AH22/1000</f>
        <v>0</v>
      </c>
      <c r="AH19" s="343">
        <f>'IncomeandExpenditure Data2'!AI22/1000</f>
        <v>0</v>
      </c>
      <c r="AI19" s="343">
        <f>'IncomeandExpenditure Data2'!AJ22/1000</f>
        <v>0</v>
      </c>
      <c r="AJ19" s="448">
        <f>SUM(X19:AI19)</f>
        <v>0</v>
      </c>
      <c r="AN19" s="448">
        <v>-21.990400000000001</v>
      </c>
      <c r="AO19" s="1559">
        <v>-105</v>
      </c>
      <c r="AP19" s="1561">
        <v>-139</v>
      </c>
      <c r="AQ19" s="1561">
        <v>-251</v>
      </c>
      <c r="AR19" s="1561">
        <v>-229</v>
      </c>
      <c r="AS19" s="1561">
        <v>-2500</v>
      </c>
      <c r="AU19" s="448">
        <v>0</v>
      </c>
      <c r="AV19" s="1559">
        <v>0</v>
      </c>
      <c r="AW19" s="1559">
        <v>0</v>
      </c>
      <c r="AX19" s="1559">
        <v>0</v>
      </c>
      <c r="AY19" s="1559">
        <v>0</v>
      </c>
      <c r="AZ19" s="1559">
        <v>0</v>
      </c>
      <c r="BB19" s="448"/>
      <c r="BC19" s="1559">
        <v>0</v>
      </c>
      <c r="BD19" s="1559">
        <v>0</v>
      </c>
      <c r="BE19" s="1559">
        <v>0</v>
      </c>
      <c r="BF19" s="1559">
        <v>0</v>
      </c>
      <c r="BG19" s="1559">
        <v>0</v>
      </c>
      <c r="BH19" s="448"/>
      <c r="BI19" s="448"/>
      <c r="BJ19" s="448"/>
      <c r="BK19" s="448"/>
      <c r="BL19" s="448"/>
      <c r="BM19" s="448"/>
      <c r="BN19" s="448"/>
      <c r="BO19" s="448"/>
    </row>
    <row r="20" spans="1:67">
      <c r="A20" s="1921" t="s">
        <v>1250</v>
      </c>
      <c r="B20" s="700">
        <f t="shared" si="7"/>
        <v>-360.48099999999999</v>
      </c>
      <c r="C20" s="700">
        <f t="shared" si="8"/>
        <v>-392.83799999999997</v>
      </c>
      <c r="D20" s="343">
        <f t="shared" si="17"/>
        <v>-32.356999999999971</v>
      </c>
      <c r="E20" s="343"/>
      <c r="F20" s="343">
        <f t="shared" si="18"/>
        <v>-2183.8820000000001</v>
      </c>
      <c r="G20" s="343">
        <f t="shared" si="19"/>
        <v>-2527.2190000000001</v>
      </c>
      <c r="H20" s="343">
        <f t="shared" si="20"/>
        <v>-343.33699999999999</v>
      </c>
      <c r="I20" s="343"/>
      <c r="J20" s="1746">
        <f>'IncomeandExpenditure Data2'!K23/1000</f>
        <v>-204.471</v>
      </c>
      <c r="K20" s="1746">
        <f>'IncomeandExpenditure Data2'!L23/1000</f>
        <v>-188.36699999999999</v>
      </c>
      <c r="L20" s="1746">
        <f>'IncomeandExpenditure Data2'!M23/1000</f>
        <v>-212.43799999999999</v>
      </c>
      <c r="M20" s="1746">
        <f>'IncomeandExpenditure Data2'!N23/1000</f>
        <v>-213.54900000000001</v>
      </c>
      <c r="N20" s="1746">
        <f>'IncomeandExpenditure Data2'!O23/1000</f>
        <v>-213.55</v>
      </c>
      <c r="O20" s="1746">
        <f>'IncomeandExpenditure Data2'!P23/1000</f>
        <v>-213.54900000000001</v>
      </c>
      <c r="P20" s="1746">
        <f>'IncomeandExpenditure Data2'!Q23/1000</f>
        <v>-213.55</v>
      </c>
      <c r="Q20" s="1746">
        <f>'IncomeandExpenditure Data2'!R23/1000</f>
        <v>-213.54900000000001</v>
      </c>
      <c r="R20" s="1746">
        <f>'IncomeandExpenditure Data2'!S23/1000</f>
        <v>-213.54900000000001</v>
      </c>
      <c r="S20" s="1746">
        <f>'IncomeandExpenditure Data2'!T23/1000</f>
        <v>-213.55</v>
      </c>
      <c r="T20" s="1746">
        <f>'IncomeandExpenditure Data2'!U23/1000</f>
        <v>-213.54900000000001</v>
      </c>
      <c r="U20" s="1746">
        <f>'IncomeandExpenditure Data2'!V23/1000</f>
        <v>-213.548</v>
      </c>
      <c r="V20" s="448">
        <f>SUM(J20:U20)</f>
        <v>-2527.2190000000001</v>
      </c>
      <c r="W20" s="448"/>
      <c r="X20" s="343">
        <f>'IncomeandExpenditure Data2'!Y23/1000</f>
        <v>-180.24100000000001</v>
      </c>
      <c r="Y20" s="343">
        <f>'IncomeandExpenditure Data2'!Z23/1000</f>
        <v>-180.24</v>
      </c>
      <c r="Z20" s="2013">
        <f>'IncomeandExpenditure Data2'!AA23/1000</f>
        <v>-182.24</v>
      </c>
      <c r="AA20" s="343">
        <f>'IncomeandExpenditure Data2'!AB23/1000</f>
        <v>-182.351</v>
      </c>
      <c r="AB20" s="343">
        <f>'IncomeandExpenditure Data2'!AC23/1000</f>
        <v>-182.352</v>
      </c>
      <c r="AC20" s="343">
        <f>'IncomeandExpenditure Data2'!AD23/1000</f>
        <v>-182.351</v>
      </c>
      <c r="AD20" s="343">
        <f>'IncomeandExpenditure Data2'!AE23/1000</f>
        <v>-182.352</v>
      </c>
      <c r="AE20" s="343">
        <f>'IncomeandExpenditure Data2'!AF23/1000</f>
        <v>-182.351</v>
      </c>
      <c r="AF20" s="343">
        <f>'IncomeandExpenditure Data2'!AG23/1000</f>
        <v>-182.351</v>
      </c>
      <c r="AG20" s="343">
        <f>'IncomeandExpenditure Data2'!AH23/1000</f>
        <v>-182.352</v>
      </c>
      <c r="AH20" s="343">
        <f>'IncomeandExpenditure Data2'!AI23/1000</f>
        <v>-182.351</v>
      </c>
      <c r="AI20" s="343">
        <f>'IncomeandExpenditure Data2'!AJ23/1000</f>
        <v>-182.35</v>
      </c>
      <c r="AJ20" s="448">
        <f>SUM(X20:AI20)</f>
        <v>-2183.8820000000001</v>
      </c>
      <c r="AN20" s="448">
        <v>-46.181379999999997</v>
      </c>
      <c r="AO20" s="1559">
        <v>-65.224000000000004</v>
      </c>
      <c r="AP20" s="1559">
        <v>-64.111999999999995</v>
      </c>
      <c r="AQ20" s="1559">
        <v>-68.623999999999995</v>
      </c>
      <c r="AR20" s="1559">
        <v>-82.033000000000001</v>
      </c>
      <c r="AS20" s="1559">
        <v>-62.033000000000001</v>
      </c>
      <c r="AU20" s="448">
        <v>-81.08</v>
      </c>
      <c r="AV20" s="1559">
        <v>-75.44</v>
      </c>
      <c r="AW20" s="1559">
        <v>-75.44</v>
      </c>
      <c r="AX20" s="1559">
        <v>-75.44</v>
      </c>
      <c r="AY20" s="1559">
        <v>-75.44</v>
      </c>
      <c r="AZ20" s="1559">
        <v>-75.44</v>
      </c>
      <c r="BB20" s="448"/>
      <c r="BC20" s="1559">
        <v>0</v>
      </c>
      <c r="BD20" s="1559">
        <v>0</v>
      </c>
      <c r="BE20" s="1559">
        <v>0</v>
      </c>
      <c r="BF20" s="1559">
        <v>0</v>
      </c>
      <c r="BG20" s="1559">
        <v>0</v>
      </c>
      <c r="BH20" s="448"/>
      <c r="BI20" s="448"/>
      <c r="BJ20" s="448"/>
      <c r="BK20" s="448"/>
      <c r="BL20" s="448"/>
      <c r="BM20" s="448"/>
      <c r="BN20" s="448"/>
      <c r="BO20" s="448"/>
    </row>
    <row r="21" spans="1:67" ht="13.8" thickBot="1">
      <c r="A21" s="1921" t="s">
        <v>756</v>
      </c>
      <c r="B21" s="700">
        <f t="shared" si="7"/>
        <v>-877.04</v>
      </c>
      <c r="C21" s="700">
        <f t="shared" si="8"/>
        <v>-860.82400000000007</v>
      </c>
      <c r="D21" s="343">
        <f t="shared" si="17"/>
        <v>16.215999999999894</v>
      </c>
      <c r="E21" s="343"/>
      <c r="F21" s="343">
        <f t="shared" si="18"/>
        <v>-5284.607</v>
      </c>
      <c r="G21" s="343">
        <f t="shared" si="19"/>
        <v>-5502.8260000000009</v>
      </c>
      <c r="H21" s="343">
        <f t="shared" si="20"/>
        <v>-218.21900000000096</v>
      </c>
      <c r="I21" s="343"/>
      <c r="J21" s="1746">
        <f>'IncomeandExpenditure Data2'!K24/1000</f>
        <v>-490.25400000000002</v>
      </c>
      <c r="K21" s="1746">
        <f>'IncomeandExpenditure Data2'!L24/1000</f>
        <v>-370.57</v>
      </c>
      <c r="L21" s="1746">
        <f>'IncomeandExpenditure Data2'!M24/1000</f>
        <v>-438.47</v>
      </c>
      <c r="M21" s="1746">
        <f>'IncomeandExpenditure Data2'!N24/1000</f>
        <v>-498.46899999999999</v>
      </c>
      <c r="N21" s="1746">
        <f>'IncomeandExpenditure Data2'!O24/1000</f>
        <v>-507.81799999999998</v>
      </c>
      <c r="O21" s="1746">
        <f>'IncomeandExpenditure Data2'!P24/1000</f>
        <v>-476.69799999999998</v>
      </c>
      <c r="P21" s="1746">
        <f>'IncomeandExpenditure Data2'!Q24/1000</f>
        <v>-428.988</v>
      </c>
      <c r="Q21" s="1746">
        <f>'IncomeandExpenditure Data2'!R24/1000</f>
        <v>-443.98700000000002</v>
      </c>
      <c r="R21" s="1746">
        <f>'IncomeandExpenditure Data2'!S24/1000</f>
        <v>-448.988</v>
      </c>
      <c r="S21" s="1746">
        <f>'IncomeandExpenditure Data2'!T24/1000</f>
        <v>-448.988</v>
      </c>
      <c r="T21" s="1746">
        <f>'IncomeandExpenditure Data2'!U24/1000</f>
        <v>-455.608</v>
      </c>
      <c r="U21" s="1746">
        <f>'IncomeandExpenditure Data2'!V24/1000</f>
        <v>-493.988</v>
      </c>
      <c r="V21" s="448">
        <f>SUM(J21:U21)</f>
        <v>-5502.8260000000009</v>
      </c>
      <c r="W21" s="448"/>
      <c r="X21" s="343">
        <f>'IncomeandExpenditure Data2'!Y24/1000</f>
        <v>-453.75599999999997</v>
      </c>
      <c r="Y21" s="343">
        <f>'IncomeandExpenditure Data2'!Z24/1000</f>
        <v>-423.28399999999999</v>
      </c>
      <c r="Z21" s="2013">
        <f>'IncomeandExpenditure Data2'!AA24/1000</f>
        <v>-432.02</v>
      </c>
      <c r="AA21" s="343">
        <f>'IncomeandExpenditure Data2'!AB24/1000</f>
        <v>-429.01900000000001</v>
      </c>
      <c r="AB21" s="343">
        <f>'IncomeandExpenditure Data2'!AC24/1000</f>
        <v>-434.02</v>
      </c>
      <c r="AC21" s="343">
        <f>'IncomeandExpenditure Data2'!AD24/1000</f>
        <v>-434.02</v>
      </c>
      <c r="AD21" s="343">
        <f>'IncomeandExpenditure Data2'!AE24/1000</f>
        <v>-423.91500000000002</v>
      </c>
      <c r="AE21" s="343">
        <f>'IncomeandExpenditure Data2'!AF24/1000</f>
        <v>-433.91399999999999</v>
      </c>
      <c r="AF21" s="343">
        <f>'IncomeandExpenditure Data2'!AG24/1000</f>
        <v>-443.91500000000002</v>
      </c>
      <c r="AG21" s="343">
        <f>'IncomeandExpenditure Data2'!AH24/1000</f>
        <v>-443.91500000000002</v>
      </c>
      <c r="AH21" s="343">
        <f>'IncomeandExpenditure Data2'!AI24/1000</f>
        <v>-443.91500000000002</v>
      </c>
      <c r="AI21" s="343">
        <f>'IncomeandExpenditure Data2'!AJ24/1000</f>
        <v>-488.91399999999999</v>
      </c>
      <c r="AJ21" s="448">
        <f>SUM(X21:AI21)</f>
        <v>-5284.607</v>
      </c>
      <c r="AN21" s="448">
        <v>-947.90211999999997</v>
      </c>
      <c r="AO21" s="1559">
        <f>60.011-AO19</f>
        <v>165.011</v>
      </c>
      <c r="AP21" s="1559">
        <f>-1075.232-AP19</f>
        <v>-936.23199999999997</v>
      </c>
      <c r="AQ21" s="1559">
        <f>-556.396-AQ19</f>
        <v>-305.39599999999996</v>
      </c>
      <c r="AR21" s="1559">
        <f>-570.585-AR19</f>
        <v>-341.58500000000004</v>
      </c>
      <c r="AS21" s="1559">
        <f>-2823.067-AS19</f>
        <v>-323.06700000000001</v>
      </c>
      <c r="AU21" s="448">
        <v>-906.904</v>
      </c>
      <c r="AV21" s="1559">
        <v>-463.24700000000001</v>
      </c>
      <c r="AW21" s="1559">
        <v>-448.79399999999998</v>
      </c>
      <c r="AX21" s="1559">
        <v>-340.46499999999997</v>
      </c>
      <c r="AY21" s="1559">
        <v>-513.93200000000002</v>
      </c>
      <c r="AZ21" s="1559">
        <v>-2846.5520000000001</v>
      </c>
      <c r="BB21" s="448">
        <v>-623.48500000000001</v>
      </c>
      <c r="BC21" s="1559">
        <v>509.221</v>
      </c>
      <c r="BD21" s="1559">
        <v>-692.79499999999996</v>
      </c>
      <c r="BE21" s="1559">
        <v>-12.557</v>
      </c>
      <c r="BF21" s="1559">
        <v>-35.411999999999999</v>
      </c>
      <c r="BG21" s="1559">
        <v>-12.106999999999999</v>
      </c>
      <c r="BH21" s="448"/>
      <c r="BI21" s="448">
        <v>-31.920999999999999</v>
      </c>
      <c r="BJ21" s="448">
        <v>-94.271000000000001</v>
      </c>
      <c r="BK21" s="448">
        <v>-19.271000000000001</v>
      </c>
      <c r="BL21" s="448">
        <v>-11.771000000000001</v>
      </c>
      <c r="BM21" s="448">
        <v>-81.971000000000004</v>
      </c>
      <c r="BN21" s="448">
        <v>-22.971</v>
      </c>
      <c r="BO21" s="448"/>
    </row>
    <row r="22" spans="1:67" ht="13.8" thickBot="1">
      <c r="A22" s="344" t="s">
        <v>26</v>
      </c>
      <c r="B22" s="701">
        <f>SUM(B17:B21)</f>
        <v>-7742.1799999999994</v>
      </c>
      <c r="C22" s="701">
        <f>SUM(C17:C21)</f>
        <v>-6978.9140000000007</v>
      </c>
      <c r="D22" s="345">
        <f>SUM(D17:D21)</f>
        <v>763.26599999999917</v>
      </c>
      <c r="E22" s="343"/>
      <c r="F22" s="345">
        <f>SUM(F17:F21)</f>
        <v>-46506.168000000005</v>
      </c>
      <c r="G22" s="345">
        <f>SUM(G17:G21)</f>
        <v>-46603.138999999996</v>
      </c>
      <c r="H22" s="345">
        <f>SUM(H17:H21)</f>
        <v>-96.970999999993637</v>
      </c>
      <c r="I22" s="343"/>
      <c r="J22" s="449">
        <f>SUM(J17:J21)</f>
        <v>-3426.1849999999999</v>
      </c>
      <c r="K22" s="449">
        <f>SUM(K17:K21)</f>
        <v>-3552.7290000000003</v>
      </c>
      <c r="L22" s="449">
        <f t="shared" ref="L22:V22" si="24">SUM(L17:L21)</f>
        <v>-3862.55</v>
      </c>
      <c r="M22" s="449">
        <f t="shared" si="24"/>
        <v>-3920.8090000000002</v>
      </c>
      <c r="N22" s="449">
        <f t="shared" si="24"/>
        <v>-3931.2530000000006</v>
      </c>
      <c r="O22" s="449">
        <f t="shared" si="24"/>
        <v>-4006.0480000000002</v>
      </c>
      <c r="P22" s="449">
        <f t="shared" si="24"/>
        <v>-3962.7150000000001</v>
      </c>
      <c r="Q22" s="449">
        <f t="shared" si="24"/>
        <v>-3974.1130000000003</v>
      </c>
      <c r="R22" s="449">
        <f t="shared" si="24"/>
        <v>-3979.4589999999998</v>
      </c>
      <c r="S22" s="449">
        <f t="shared" si="24"/>
        <v>-3978.665</v>
      </c>
      <c r="T22" s="449">
        <f t="shared" si="24"/>
        <v>-3985.192</v>
      </c>
      <c r="U22" s="449">
        <f t="shared" si="24"/>
        <v>-4023.4209999999998</v>
      </c>
      <c r="V22" s="449">
        <f t="shared" si="24"/>
        <v>-46603.138999999996</v>
      </c>
      <c r="W22" s="449"/>
      <c r="X22" s="449">
        <f t="shared" ref="X22:AJ22" si="25">SUM(X17:X21)</f>
        <v>-3886.326</v>
      </c>
      <c r="Y22" s="449">
        <f t="shared" ref="Y22:AI22" si="26">SUM(Y17:Y21)</f>
        <v>-3855.8539999999998</v>
      </c>
      <c r="Z22" s="449">
        <f t="shared" si="26"/>
        <v>-3869.77</v>
      </c>
      <c r="AA22" s="449">
        <f t="shared" si="26"/>
        <v>-3866.88</v>
      </c>
      <c r="AB22" s="449">
        <f t="shared" si="26"/>
        <v>-3871.8819999999996</v>
      </c>
      <c r="AC22" s="449">
        <f t="shared" si="26"/>
        <v>-3871.453</v>
      </c>
      <c r="AD22" s="449">
        <f t="shared" si="26"/>
        <v>-3858.1669999999999</v>
      </c>
      <c r="AE22" s="449">
        <f t="shared" si="26"/>
        <v>-3868.165</v>
      </c>
      <c r="AF22" s="449">
        <f t="shared" si="26"/>
        <v>-3878.1660000000002</v>
      </c>
      <c r="AG22" s="449">
        <f t="shared" si="26"/>
        <v>-3878.1669999999999</v>
      </c>
      <c r="AH22" s="449">
        <f t="shared" si="26"/>
        <v>-3878.1660000000002</v>
      </c>
      <c r="AI22" s="449">
        <f t="shared" si="26"/>
        <v>-3923.1719999999996</v>
      </c>
      <c r="AJ22" s="449">
        <f t="shared" si="25"/>
        <v>-46506.168000000005</v>
      </c>
      <c r="AN22" s="449">
        <f t="shared" ref="AN22:AS22" si="27">SUM(AN17:AN21)</f>
        <v>-3856.1860400000005</v>
      </c>
      <c r="AO22" s="449">
        <f t="shared" si="27"/>
        <v>-3614.3230000000003</v>
      </c>
      <c r="AP22" s="449">
        <f t="shared" si="27"/>
        <v>-3831.9079999999999</v>
      </c>
      <c r="AQ22" s="449">
        <f t="shared" si="27"/>
        <v>-3235.6669999999995</v>
      </c>
      <c r="AR22" s="449">
        <f t="shared" si="27"/>
        <v>-3129.6120000000001</v>
      </c>
      <c r="AS22" s="449">
        <f t="shared" si="27"/>
        <v>-5279.3950000000004</v>
      </c>
      <c r="AU22" s="449">
        <f t="shared" ref="AU22:AZ22" si="28">SUM(AU17:AU21)</f>
        <v>-3347.8339999999998</v>
      </c>
      <c r="AV22" s="449">
        <f t="shared" si="28"/>
        <v>-2898.3879999999999</v>
      </c>
      <c r="AW22" s="449">
        <f t="shared" si="28"/>
        <v>-2884.2449999999999</v>
      </c>
      <c r="AX22" s="449">
        <f t="shared" si="28"/>
        <v>-2776.2240000000002</v>
      </c>
      <c r="AY22" s="449">
        <f t="shared" si="28"/>
        <v>-2949.3500000000004</v>
      </c>
      <c r="AZ22" s="449">
        <f t="shared" si="28"/>
        <v>-5262.34</v>
      </c>
      <c r="BB22" s="449">
        <f>SUM(BB17:BB21)</f>
        <v>-623.48500000000001</v>
      </c>
      <c r="BC22" s="449">
        <f t="shared" ref="BC22:BI22" si="29">SUM(BC17:BC21)</f>
        <v>509.14600000000002</v>
      </c>
      <c r="BD22" s="449">
        <f t="shared" si="29"/>
        <v>-692.79499999999996</v>
      </c>
      <c r="BE22" s="449">
        <f t="shared" si="29"/>
        <v>-13.557</v>
      </c>
      <c r="BF22" s="449">
        <f t="shared" si="29"/>
        <v>-35.411999999999999</v>
      </c>
      <c r="BG22" s="449">
        <f t="shared" si="29"/>
        <v>-12.106999999999999</v>
      </c>
      <c r="BH22" s="449"/>
      <c r="BI22" s="449">
        <f t="shared" si="29"/>
        <v>-31.920999999999999</v>
      </c>
      <c r="BJ22" s="449">
        <f>SUM(BJ17:BJ21)</f>
        <v>-94.271000000000001</v>
      </c>
      <c r="BK22" s="449">
        <f>SUM(BK17:BK21)</f>
        <v>-19.271000000000001</v>
      </c>
      <c r="BL22" s="449">
        <f>SUM(BL17:BL21)</f>
        <v>-11.771000000000001</v>
      </c>
      <c r="BM22" s="449">
        <f>SUM(BM17:BM21)</f>
        <v>-81.971000000000004</v>
      </c>
      <c r="BN22" s="449">
        <f>SUM(BN17:BN21)</f>
        <v>-22.971</v>
      </c>
      <c r="BO22" s="449"/>
    </row>
    <row r="23" spans="1:67" ht="13.8" thickBot="1">
      <c r="A23" s="344" t="s">
        <v>433</v>
      </c>
      <c r="B23" s="701">
        <f>B22+B16</f>
        <v>-91461.998999999996</v>
      </c>
      <c r="C23" s="701">
        <f>C22+C16</f>
        <v>-88287.161999999997</v>
      </c>
      <c r="D23" s="345">
        <f>D22+D16</f>
        <v>3174.8369999999991</v>
      </c>
      <c r="E23" s="343"/>
      <c r="F23" s="345">
        <f>F22+F16</f>
        <v>-549636.28700000001</v>
      </c>
      <c r="G23" s="345">
        <f>G22+G16</f>
        <v>-551852.97799999989</v>
      </c>
      <c r="H23" s="345">
        <f>H22+H16</f>
        <v>-2216.6910000000462</v>
      </c>
      <c r="I23" s="343"/>
      <c r="J23" s="449">
        <f>J22+J16</f>
        <v>-44229.398999999998</v>
      </c>
      <c r="K23" s="449">
        <f>K22+K16</f>
        <v>-44057.762999999992</v>
      </c>
      <c r="L23" s="449">
        <f t="shared" ref="L23:V23" si="30">L22+L16</f>
        <v>-44699.227999999996</v>
      </c>
      <c r="M23" s="449">
        <f t="shared" si="30"/>
        <v>-48505.536</v>
      </c>
      <c r="N23" s="449">
        <f t="shared" si="30"/>
        <v>-44925.517999999996</v>
      </c>
      <c r="O23" s="449">
        <f t="shared" si="30"/>
        <v>-44952.371999999996</v>
      </c>
      <c r="P23" s="449">
        <f t="shared" si="30"/>
        <v>-48482.137999999992</v>
      </c>
      <c r="Q23" s="449">
        <f t="shared" si="30"/>
        <v>-44905.725999999988</v>
      </c>
      <c r="R23" s="449">
        <f t="shared" si="30"/>
        <v>-44942.616000000002</v>
      </c>
      <c r="S23" s="449">
        <f t="shared" si="30"/>
        <v>-48561.389999999992</v>
      </c>
      <c r="T23" s="449">
        <f t="shared" si="30"/>
        <v>-44967.491000000002</v>
      </c>
      <c r="U23" s="449">
        <f t="shared" si="30"/>
        <v>-48623.800999999999</v>
      </c>
      <c r="V23" s="449">
        <f t="shared" si="30"/>
        <v>-551852.97799999989</v>
      </c>
      <c r="W23" s="449"/>
      <c r="X23" s="449">
        <f t="shared" ref="X23:AJ23" si="31">X22+X16</f>
        <v>-45741</v>
      </c>
      <c r="Y23" s="449">
        <f t="shared" ref="Y23:AI23" si="32">Y22+Y16</f>
        <v>-45720.998999999996</v>
      </c>
      <c r="Z23" s="449">
        <f t="shared" si="32"/>
        <v>-45753.998999999996</v>
      </c>
      <c r="AA23" s="449">
        <f t="shared" si="32"/>
        <v>-45809.999999999993</v>
      </c>
      <c r="AB23" s="449">
        <f t="shared" si="32"/>
        <v>-45794.999999999985</v>
      </c>
      <c r="AC23" s="449">
        <f t="shared" si="32"/>
        <v>-45819.089000000007</v>
      </c>
      <c r="AD23" s="449">
        <f t="shared" si="32"/>
        <v>-45814.098999999995</v>
      </c>
      <c r="AE23" s="449">
        <f t="shared" si="32"/>
        <v>-45829.099000000002</v>
      </c>
      <c r="AF23" s="449">
        <f t="shared" si="32"/>
        <v>-45831.000999999997</v>
      </c>
      <c r="AG23" s="449">
        <f t="shared" si="32"/>
        <v>-45834.001000000004</v>
      </c>
      <c r="AH23" s="449">
        <f t="shared" si="32"/>
        <v>-45834.000999999989</v>
      </c>
      <c r="AI23" s="449">
        <f t="shared" si="32"/>
        <v>-45853.999000000003</v>
      </c>
      <c r="AJ23" s="449">
        <f t="shared" si="31"/>
        <v>-549636.28599999996</v>
      </c>
      <c r="AK23" s="447"/>
      <c r="AN23" s="449">
        <f t="shared" ref="AN23:AS23" si="33">AN22+AN16</f>
        <v>-51966.122580000003</v>
      </c>
      <c r="AO23" s="449">
        <f t="shared" si="33"/>
        <v>-52007.895000000004</v>
      </c>
      <c r="AP23" s="449">
        <f t="shared" si="33"/>
        <v>-51834.157999999996</v>
      </c>
      <c r="AQ23" s="449">
        <f t="shared" si="33"/>
        <v>-51831.827999999994</v>
      </c>
      <c r="AR23" s="449">
        <f t="shared" si="33"/>
        <v>-52446.76</v>
      </c>
      <c r="AS23" s="449">
        <f t="shared" si="33"/>
        <v>-54354.627999999997</v>
      </c>
      <c r="AU23" s="449">
        <f t="shared" ref="AU23:AZ23" si="34">AU22+AU16</f>
        <v>-50863.441999999995</v>
      </c>
      <c r="AV23" s="449">
        <f t="shared" si="34"/>
        <v>-50432.52</v>
      </c>
      <c r="AW23" s="449">
        <f t="shared" si="34"/>
        <v>-50531.389000000003</v>
      </c>
      <c r="AX23" s="449">
        <f t="shared" si="34"/>
        <v>-50487.171999999999</v>
      </c>
      <c r="AY23" s="449">
        <f t="shared" si="34"/>
        <v>-50793.347999999991</v>
      </c>
      <c r="AZ23" s="449">
        <f t="shared" si="34"/>
        <v>-52572.165000000008</v>
      </c>
      <c r="BB23" s="449">
        <f>BB22+BB16</f>
        <v>-9885.625</v>
      </c>
      <c r="BC23" s="449">
        <f t="shared" ref="BC23:BI23" si="35">BC22+BC16</f>
        <v>-9671.9309999999969</v>
      </c>
      <c r="BD23" s="449">
        <f t="shared" si="35"/>
        <v>-9992.0939999999991</v>
      </c>
      <c r="BE23" s="449">
        <f t="shared" si="35"/>
        <v>-9903.9940000000006</v>
      </c>
      <c r="BF23" s="449">
        <f t="shared" si="35"/>
        <v>-10059.822</v>
      </c>
      <c r="BG23" s="449">
        <f t="shared" si="35"/>
        <v>-10045.243</v>
      </c>
      <c r="BH23" s="449"/>
      <c r="BI23" s="449">
        <f t="shared" si="35"/>
        <v>-9835.1720000000005</v>
      </c>
      <c r="BJ23" s="449">
        <f>BJ22+BJ16</f>
        <v>-9806.7870000000003</v>
      </c>
      <c r="BK23" s="449">
        <f>BK22+BK16</f>
        <v>-9859.3770000000004</v>
      </c>
      <c r="BL23" s="449">
        <f>BL22+BL16</f>
        <v>-9841.3650000000016</v>
      </c>
      <c r="BM23" s="449">
        <f>BM22+BM16</f>
        <v>-10058.085999999999</v>
      </c>
      <c r="BN23" s="449">
        <f>BN22+BN16</f>
        <v>-10231.124999999998</v>
      </c>
      <c r="BO23" s="449"/>
    </row>
    <row r="24" spans="1:67">
      <c r="A24" s="1921" t="s">
        <v>758</v>
      </c>
      <c r="B24" s="700">
        <f t="shared" ref="B24:B50" si="36">SUM(X24:Y24)</f>
        <v>2388.404</v>
      </c>
      <c r="C24" s="700">
        <f t="shared" ref="C24:C50" si="37">SUM(J24:K24)</f>
        <v>2280.4359999999997</v>
      </c>
      <c r="D24" s="343">
        <f t="shared" ref="D24:D32" si="38">C24-B24</f>
        <v>-107.9680000000003</v>
      </c>
      <c r="E24" s="343"/>
      <c r="F24" s="343">
        <f t="shared" ref="F24:F31" si="39">SUM(X24:AI24)</f>
        <v>14331.100999999999</v>
      </c>
      <c r="G24" s="343">
        <f t="shared" ref="G24:G31" si="40">SUM(J24:U24)</f>
        <v>14351.259999999998</v>
      </c>
      <c r="H24" s="343">
        <f t="shared" ref="H24:H31" si="41">G24-F24</f>
        <v>20.158999999999651</v>
      </c>
      <c r="I24" s="343"/>
      <c r="J24" s="1746">
        <f>'IncomeandExpenditure Data2'!K27/1000</f>
        <v>1126.098</v>
      </c>
      <c r="K24" s="1746">
        <f>'IncomeandExpenditure Data2'!L27/1000</f>
        <v>1154.338</v>
      </c>
      <c r="L24" s="1746">
        <f>'IncomeandExpenditure Data2'!M27/1000</f>
        <v>1118.614</v>
      </c>
      <c r="M24" s="1746">
        <f>'IncomeandExpenditure Data2'!N27/1000</f>
        <v>1160.1559999999999</v>
      </c>
      <c r="N24" s="1746">
        <f>'IncomeandExpenditure Data2'!O27/1000</f>
        <v>1181.5809999999999</v>
      </c>
      <c r="O24" s="1746">
        <f>'IncomeandExpenditure Data2'!P27/1000</f>
        <v>1235.9960000000001</v>
      </c>
      <c r="P24" s="1746">
        <f>'IncomeandExpenditure Data2'!Q27/1000</f>
        <v>1226.896</v>
      </c>
      <c r="Q24" s="1746">
        <f>'IncomeandExpenditure Data2'!R27/1000</f>
        <v>1223.924</v>
      </c>
      <c r="R24" s="1746">
        <f>'IncomeandExpenditure Data2'!S27/1000</f>
        <v>1223.924</v>
      </c>
      <c r="S24" s="1746">
        <f>'IncomeandExpenditure Data2'!T27/1000</f>
        <v>1223.924</v>
      </c>
      <c r="T24" s="1746">
        <f>'IncomeandExpenditure Data2'!U27/1000</f>
        <v>1225.914</v>
      </c>
      <c r="U24" s="1746">
        <f>'IncomeandExpenditure Data2'!V27/1000</f>
        <v>1249.895</v>
      </c>
      <c r="V24" s="448">
        <f t="shared" ref="V24:V32" si="42">SUM(J24:U24)</f>
        <v>14351.259999999998</v>
      </c>
      <c r="W24" s="448"/>
      <c r="X24" s="343">
        <f>'IncomeandExpenditure Data2'!Y27/1000</f>
        <v>1194.1990000000001</v>
      </c>
      <c r="Y24" s="343">
        <f>'IncomeandExpenditure Data2'!Z27/1000</f>
        <v>1194.2049999999999</v>
      </c>
      <c r="Z24" s="343">
        <f>'IncomeandExpenditure Data2'!AA27/1000</f>
        <v>1194.3689999999999</v>
      </c>
      <c r="AA24" s="343">
        <f>'IncomeandExpenditure Data2'!AB27/1000</f>
        <v>1194.258</v>
      </c>
      <c r="AB24" s="343">
        <f>'IncomeandExpenditure Data2'!AC27/1000</f>
        <v>1194.258</v>
      </c>
      <c r="AC24" s="343">
        <f>'IncomeandExpenditure Data2'!AD27/1000</f>
        <v>1194.258</v>
      </c>
      <c r="AD24" s="343">
        <f>'IncomeandExpenditure Data2'!AE27/1000</f>
        <v>1194.258</v>
      </c>
      <c r="AE24" s="343">
        <f>'IncomeandExpenditure Data2'!AF27/1000</f>
        <v>1194.258</v>
      </c>
      <c r="AF24" s="343">
        <f>'IncomeandExpenditure Data2'!AG27/1000</f>
        <v>1194.258</v>
      </c>
      <c r="AG24" s="343">
        <f>'IncomeandExpenditure Data2'!AH27/1000</f>
        <v>1194.258</v>
      </c>
      <c r="AH24" s="343">
        <f>'IncomeandExpenditure Data2'!AI27/1000</f>
        <v>1194.258</v>
      </c>
      <c r="AI24" s="343">
        <f>'IncomeandExpenditure Data2'!AJ27/1000</f>
        <v>1194.2639999999999</v>
      </c>
      <c r="AJ24" s="448">
        <f t="shared" ref="AJ24:AJ32" si="43">SUM(X24:AI24)</f>
        <v>14331.100999999999</v>
      </c>
      <c r="AK24" s="447"/>
      <c r="AN24" s="448">
        <v>976.54829000000007</v>
      </c>
      <c r="AO24" s="1559">
        <v>1182.261</v>
      </c>
      <c r="AP24" s="1559">
        <v>1126.922</v>
      </c>
      <c r="AQ24" s="1559">
        <v>1156.96</v>
      </c>
      <c r="AR24" s="1559">
        <v>1201.296</v>
      </c>
      <c r="AS24" s="1559">
        <v>1231.258</v>
      </c>
      <c r="AU24" s="448">
        <v>1254.9870000000001</v>
      </c>
      <c r="AV24" s="1559">
        <v>1240.6769999999999</v>
      </c>
      <c r="AW24" s="1559">
        <v>1228.55</v>
      </c>
      <c r="AX24" s="1559">
        <v>1240.7139999999999</v>
      </c>
      <c r="AY24" s="1559">
        <v>1240.354</v>
      </c>
      <c r="AZ24" s="1559">
        <v>1240.9459999999999</v>
      </c>
      <c r="BB24" s="448">
        <v>155.63399999999999</v>
      </c>
      <c r="BC24" s="1559">
        <v>154.28700000000001</v>
      </c>
      <c r="BD24" s="1559">
        <v>154.72300000000001</v>
      </c>
      <c r="BE24" s="1559">
        <v>155.37899999999999</v>
      </c>
      <c r="BF24" s="1559">
        <v>154.72300000000001</v>
      </c>
      <c r="BG24" s="1559">
        <v>155.32900000000001</v>
      </c>
      <c r="BH24" s="448"/>
      <c r="BI24" s="448">
        <v>166.57599999999999</v>
      </c>
      <c r="BJ24" s="448">
        <v>166.27600000000001</v>
      </c>
      <c r="BK24" s="448">
        <v>165.976</v>
      </c>
      <c r="BL24" s="448">
        <v>166.89</v>
      </c>
      <c r="BM24" s="448">
        <v>166.24</v>
      </c>
      <c r="BN24" s="448">
        <v>166.84</v>
      </c>
      <c r="BO24" s="448"/>
    </row>
    <row r="25" spans="1:67">
      <c r="A25" s="1921" t="s">
        <v>759</v>
      </c>
      <c r="B25" s="700">
        <f t="shared" si="36"/>
        <v>17111.938999999998</v>
      </c>
      <c r="C25" s="700">
        <f t="shared" si="37"/>
        <v>16904.239000000001</v>
      </c>
      <c r="D25" s="343">
        <f t="shared" si="38"/>
        <v>-207.69999999999709</v>
      </c>
      <c r="E25" s="343"/>
      <c r="F25" s="343">
        <f t="shared" si="39"/>
        <v>99634.120999999999</v>
      </c>
      <c r="G25" s="343">
        <f t="shared" si="40"/>
        <v>99426.33600000001</v>
      </c>
      <c r="H25" s="343">
        <f t="shared" si="41"/>
        <v>-207.78499999998894</v>
      </c>
      <c r="I25" s="343"/>
      <c r="J25" s="1746">
        <f>'IncomeandExpenditure Data2'!K28/1000</f>
        <v>8496.9619999999995</v>
      </c>
      <c r="K25" s="1746">
        <f>'IncomeandExpenditure Data2'!L28/1000</f>
        <v>8407.277</v>
      </c>
      <c r="L25" s="1746">
        <f>'IncomeandExpenditure Data2'!M28/1000</f>
        <v>8540.2379999999994</v>
      </c>
      <c r="M25" s="1746">
        <f>'IncomeandExpenditure Data2'!N28/1000</f>
        <v>8254.0939999999991</v>
      </c>
      <c r="N25" s="1746">
        <f>'IncomeandExpenditure Data2'!O28/1000</f>
        <v>8253.902</v>
      </c>
      <c r="O25" s="1746">
        <f>'IncomeandExpenditure Data2'!P28/1000</f>
        <v>8254.6839999999993</v>
      </c>
      <c r="P25" s="1746">
        <f>'IncomeandExpenditure Data2'!Q28/1000</f>
        <v>8207.4</v>
      </c>
      <c r="Q25" s="1746">
        <f>'IncomeandExpenditure Data2'!R28/1000</f>
        <v>8202.9539999999997</v>
      </c>
      <c r="R25" s="1746">
        <f>'IncomeandExpenditure Data2'!S28/1000</f>
        <v>8201.9549999999999</v>
      </c>
      <c r="S25" s="1746">
        <f>'IncomeandExpenditure Data2'!T28/1000</f>
        <v>8201.9549999999999</v>
      </c>
      <c r="T25" s="1746">
        <f>'IncomeandExpenditure Data2'!U28/1000</f>
        <v>8202.9549999999999</v>
      </c>
      <c r="U25" s="1746">
        <f>'IncomeandExpenditure Data2'!V28/1000</f>
        <v>8201.9599999999991</v>
      </c>
      <c r="V25" s="448">
        <f t="shared" si="42"/>
        <v>99426.33600000001</v>
      </c>
      <c r="W25" s="448"/>
      <c r="X25" s="343">
        <f>'IncomeandExpenditure Data2'!Y28/1000</f>
        <v>8556.6830000000009</v>
      </c>
      <c r="Y25" s="343">
        <f>'IncomeandExpenditure Data2'!Z28/1000</f>
        <v>8555.2559999999994</v>
      </c>
      <c r="Z25" s="343">
        <f>'IncomeandExpenditure Data2'!AA28/1000</f>
        <v>8538.5390000000007</v>
      </c>
      <c r="AA25" s="343">
        <f>'IncomeandExpenditure Data2'!AB28/1000</f>
        <v>8254.3960000000006</v>
      </c>
      <c r="AB25" s="343">
        <f>'IncomeandExpenditure Data2'!AC28/1000</f>
        <v>8254.3950000000004</v>
      </c>
      <c r="AC25" s="343">
        <f>'IncomeandExpenditure Data2'!AD28/1000</f>
        <v>8254.3970000000008</v>
      </c>
      <c r="AD25" s="343">
        <f>'IncomeandExpenditure Data2'!AE28/1000</f>
        <v>8207.1119999999992</v>
      </c>
      <c r="AE25" s="343">
        <f>'IncomeandExpenditure Data2'!AF28/1000</f>
        <v>8202.6669999999995</v>
      </c>
      <c r="AF25" s="343">
        <f>'IncomeandExpenditure Data2'!AG28/1000</f>
        <v>8202.6669999999995</v>
      </c>
      <c r="AG25" s="343">
        <f>'IncomeandExpenditure Data2'!AH28/1000</f>
        <v>8202.6679999999997</v>
      </c>
      <c r="AH25" s="343">
        <f>'IncomeandExpenditure Data2'!AI28/1000</f>
        <v>8202.6679999999997</v>
      </c>
      <c r="AI25" s="343">
        <f>'IncomeandExpenditure Data2'!AJ28/1000</f>
        <v>8202.6730000000007</v>
      </c>
      <c r="AJ25" s="448">
        <f t="shared" si="43"/>
        <v>99634.120999999999</v>
      </c>
      <c r="AN25" s="448">
        <v>7771.9232099999999</v>
      </c>
      <c r="AO25" s="1559">
        <v>7772.36</v>
      </c>
      <c r="AP25" s="1559">
        <v>7639.6440000000002</v>
      </c>
      <c r="AQ25" s="1559">
        <v>7524.8220000000001</v>
      </c>
      <c r="AR25" s="1559">
        <v>7708.893</v>
      </c>
      <c r="AS25" s="1559">
        <v>7687.7730000000001</v>
      </c>
      <c r="AU25" s="448">
        <v>7601.6480000000001</v>
      </c>
      <c r="AV25" s="1559">
        <v>7519.95</v>
      </c>
      <c r="AW25" s="1559">
        <v>7499.3029999999999</v>
      </c>
      <c r="AX25" s="1559">
        <v>7489.9539999999997</v>
      </c>
      <c r="AY25" s="1559">
        <v>7489.4539999999997</v>
      </c>
      <c r="AZ25" s="1559">
        <v>7489.4790000000003</v>
      </c>
      <c r="BB25" s="448">
        <v>277.613</v>
      </c>
      <c r="BC25" s="1559">
        <v>272.92599999999999</v>
      </c>
      <c r="BD25" s="1559">
        <v>286.19099999999997</v>
      </c>
      <c r="BE25" s="1559">
        <v>284.61500000000001</v>
      </c>
      <c r="BF25" s="1559">
        <v>284.61500000000001</v>
      </c>
      <c r="BG25" s="1559">
        <v>284.61500000000001</v>
      </c>
      <c r="BH25" s="448"/>
      <c r="BI25" s="448">
        <v>281.66199999999998</v>
      </c>
      <c r="BJ25" s="448">
        <v>282.65899999999999</v>
      </c>
      <c r="BK25" s="448">
        <v>282.59399999999999</v>
      </c>
      <c r="BL25" s="448">
        <v>281.66199999999998</v>
      </c>
      <c r="BM25" s="448">
        <v>281.66199999999998</v>
      </c>
      <c r="BN25" s="448">
        <v>281.66199999999998</v>
      </c>
      <c r="BO25" s="448"/>
    </row>
    <row r="26" spans="1:67">
      <c r="A26" s="1921" t="s">
        <v>1251</v>
      </c>
      <c r="B26" s="700">
        <f t="shared" si="36"/>
        <v>21930.945</v>
      </c>
      <c r="C26" s="700">
        <f t="shared" si="37"/>
        <v>22143.986000000001</v>
      </c>
      <c r="D26" s="343">
        <f t="shared" si="38"/>
        <v>213.04100000000108</v>
      </c>
      <c r="E26" s="343"/>
      <c r="F26" s="343">
        <f t="shared" si="39"/>
        <v>128006.32599999999</v>
      </c>
      <c r="G26" s="343">
        <f t="shared" si="40"/>
        <v>127993.88100000001</v>
      </c>
      <c r="H26" s="343">
        <f t="shared" si="41"/>
        <v>-12.444999999977881</v>
      </c>
      <c r="I26" s="343"/>
      <c r="J26" s="1746">
        <f>'IncomeandExpenditure Data2'!K29/1000</f>
        <v>11228.134</v>
      </c>
      <c r="K26" s="1746">
        <f>'IncomeandExpenditure Data2'!L29/1000</f>
        <v>10915.852000000001</v>
      </c>
      <c r="L26" s="1746">
        <f>'IncomeandExpenditure Data2'!M29/1000</f>
        <v>11072.166999999999</v>
      </c>
      <c r="M26" s="1746">
        <f>'IncomeandExpenditure Data2'!N29/1000</f>
        <v>10524.225</v>
      </c>
      <c r="N26" s="1746">
        <f>'IncomeandExpenditure Data2'!O29/1000</f>
        <v>10481.674000000001</v>
      </c>
      <c r="O26" s="1746">
        <f>'IncomeandExpenditure Data2'!P29/1000</f>
        <v>10464.157999999999</v>
      </c>
      <c r="P26" s="1746">
        <f>'IncomeandExpenditure Data2'!Q29/1000</f>
        <v>10547.565000000001</v>
      </c>
      <c r="Q26" s="1746">
        <f>'IncomeandExpenditure Data2'!R29/1000</f>
        <v>10537.504999999999</v>
      </c>
      <c r="R26" s="1746">
        <f>'IncomeandExpenditure Data2'!S29/1000</f>
        <v>10557.724</v>
      </c>
      <c r="S26" s="1746">
        <f>'IncomeandExpenditure Data2'!T29/1000</f>
        <v>10555.365</v>
      </c>
      <c r="T26" s="1746">
        <f>'IncomeandExpenditure Data2'!U29/1000</f>
        <v>10555.362999999999</v>
      </c>
      <c r="U26" s="1746">
        <f>'IncomeandExpenditure Data2'!V29/1000</f>
        <v>10554.148999999999</v>
      </c>
      <c r="V26" s="448">
        <f t="shared" si="42"/>
        <v>127993.88100000001</v>
      </c>
      <c r="W26" s="448"/>
      <c r="X26" s="343">
        <f>'IncomeandExpenditure Data2'!Y29/1000</f>
        <v>10964.79</v>
      </c>
      <c r="Y26" s="343">
        <f>'IncomeandExpenditure Data2'!Z29/1000</f>
        <v>10966.155000000001</v>
      </c>
      <c r="Z26" s="343">
        <f>'IncomeandExpenditure Data2'!AA29/1000</f>
        <v>11045.522000000001</v>
      </c>
      <c r="AA26" s="343">
        <f>'IncomeandExpenditure Data2'!AB29/1000</f>
        <v>10386.107</v>
      </c>
      <c r="AB26" s="343">
        <f>'IncomeandExpenditure Data2'!AC29/1000</f>
        <v>10573.843999999999</v>
      </c>
      <c r="AC26" s="343">
        <f>'IncomeandExpenditure Data2'!AD29/1000</f>
        <v>10554.24</v>
      </c>
      <c r="AD26" s="343">
        <f>'IncomeandExpenditure Data2'!AE29/1000</f>
        <v>10587.647000000001</v>
      </c>
      <c r="AE26" s="343">
        <f>'IncomeandExpenditure Data2'!AF29/1000</f>
        <v>10574.406999999999</v>
      </c>
      <c r="AF26" s="343">
        <f>'IncomeandExpenditure Data2'!AG29/1000</f>
        <v>10591.579</v>
      </c>
      <c r="AG26" s="343">
        <f>'IncomeandExpenditure Data2'!AH29/1000</f>
        <v>10587.130999999999</v>
      </c>
      <c r="AH26" s="343">
        <f>'IncomeandExpenditure Data2'!AI29/1000</f>
        <v>10587.129000000001</v>
      </c>
      <c r="AI26" s="343">
        <f>'IncomeandExpenditure Data2'!AJ29/1000</f>
        <v>10587.775</v>
      </c>
      <c r="AJ26" s="448">
        <f t="shared" si="43"/>
        <v>128006.32599999999</v>
      </c>
      <c r="AN26" s="448">
        <v>9480.7209199999998</v>
      </c>
      <c r="AO26" s="1559">
        <v>9476.4060000000009</v>
      </c>
      <c r="AP26" s="1559">
        <v>9319.33</v>
      </c>
      <c r="AQ26" s="1559">
        <v>9434.5460000000003</v>
      </c>
      <c r="AR26" s="1559">
        <v>9509.2309999999998</v>
      </c>
      <c r="AS26" s="1559">
        <v>9473.7330000000002</v>
      </c>
      <c r="AU26" s="448">
        <v>8972.0229999999992</v>
      </c>
      <c r="AV26" s="1559">
        <v>9127.4670000000006</v>
      </c>
      <c r="AW26" s="1559">
        <v>9034.09</v>
      </c>
      <c r="AX26" s="1559">
        <v>9013.2360000000008</v>
      </c>
      <c r="AY26" s="1559">
        <v>8968.98</v>
      </c>
      <c r="AZ26" s="1559">
        <v>8916.5310000000009</v>
      </c>
      <c r="BB26" s="448"/>
      <c r="BC26" s="1559">
        <v>0</v>
      </c>
      <c r="BD26" s="1559">
        <v>0</v>
      </c>
      <c r="BE26" s="1559">
        <v>0</v>
      </c>
      <c r="BF26" s="1559">
        <v>0</v>
      </c>
      <c r="BG26" s="1559">
        <v>0</v>
      </c>
      <c r="BH26" s="448"/>
      <c r="BI26" s="448"/>
      <c r="BJ26" s="448"/>
      <c r="BK26" s="448"/>
      <c r="BL26" s="448"/>
      <c r="BM26" s="448"/>
      <c r="BN26" s="448"/>
      <c r="BO26" s="448"/>
    </row>
    <row r="27" spans="1:67">
      <c r="A27" s="1921" t="s">
        <v>760</v>
      </c>
      <c r="B27" s="700">
        <f t="shared" si="36"/>
        <v>7755.44</v>
      </c>
      <c r="C27" s="700">
        <f t="shared" si="37"/>
        <v>7854.9960000000001</v>
      </c>
      <c r="D27" s="343">
        <f t="shared" si="38"/>
        <v>99.556000000000495</v>
      </c>
      <c r="E27" s="343"/>
      <c r="F27" s="343">
        <f t="shared" si="39"/>
        <v>46218.771000000008</v>
      </c>
      <c r="G27" s="343">
        <f t="shared" si="40"/>
        <v>46414.893999999986</v>
      </c>
      <c r="H27" s="343">
        <f t="shared" si="41"/>
        <v>196.12299999997776</v>
      </c>
      <c r="I27" s="343"/>
      <c r="J27" s="1746">
        <f>'IncomeandExpenditure Data2'!K30/1000</f>
        <v>3907.616</v>
      </c>
      <c r="K27" s="1746">
        <f>'IncomeandExpenditure Data2'!L30/1000</f>
        <v>3947.38</v>
      </c>
      <c r="L27" s="1746">
        <f>'IncomeandExpenditure Data2'!M30/1000</f>
        <v>3886.9749999999999</v>
      </c>
      <c r="M27" s="1746">
        <f>'IncomeandExpenditure Data2'!N30/1000</f>
        <v>3886.7939999999999</v>
      </c>
      <c r="N27" s="1746">
        <f>'IncomeandExpenditure Data2'!O30/1000</f>
        <v>3886.8690000000001</v>
      </c>
      <c r="O27" s="1746">
        <f>'IncomeandExpenditure Data2'!P30/1000</f>
        <v>3885.7080000000001</v>
      </c>
      <c r="P27" s="1746">
        <f>'IncomeandExpenditure Data2'!Q30/1000</f>
        <v>3833.768</v>
      </c>
      <c r="Q27" s="1746">
        <f>'IncomeandExpenditure Data2'!R30/1000</f>
        <v>3833.768</v>
      </c>
      <c r="R27" s="1746">
        <f>'IncomeandExpenditure Data2'!S30/1000</f>
        <v>3833.768</v>
      </c>
      <c r="S27" s="1746">
        <f>'IncomeandExpenditure Data2'!T30/1000</f>
        <v>3833.768</v>
      </c>
      <c r="T27" s="1746">
        <f>'IncomeandExpenditure Data2'!U30/1000</f>
        <v>3833.768</v>
      </c>
      <c r="U27" s="1746">
        <f>'IncomeandExpenditure Data2'!V30/1000</f>
        <v>3844.712</v>
      </c>
      <c r="V27" s="448">
        <f t="shared" si="42"/>
        <v>46414.893999999986</v>
      </c>
      <c r="W27" s="448"/>
      <c r="X27" s="343">
        <f>'IncomeandExpenditure Data2'!Y30/1000</f>
        <v>3877.72</v>
      </c>
      <c r="Y27" s="343">
        <f>'IncomeandExpenditure Data2'!Z30/1000</f>
        <v>3877.72</v>
      </c>
      <c r="Z27" s="343">
        <f>'IncomeandExpenditure Data2'!AA30/1000</f>
        <v>3877.0410000000002</v>
      </c>
      <c r="AA27" s="343">
        <f>'IncomeandExpenditure Data2'!AB30/1000</f>
        <v>3876.8620000000001</v>
      </c>
      <c r="AB27" s="343">
        <f>'IncomeandExpenditure Data2'!AC30/1000</f>
        <v>3876.9349999999999</v>
      </c>
      <c r="AC27" s="343">
        <f>'IncomeandExpenditure Data2'!AD30/1000</f>
        <v>3875.7739999999999</v>
      </c>
      <c r="AD27" s="343">
        <f>'IncomeandExpenditure Data2'!AE30/1000</f>
        <v>3826.12</v>
      </c>
      <c r="AE27" s="343">
        <f>'IncomeandExpenditure Data2'!AF30/1000</f>
        <v>3826.1190000000001</v>
      </c>
      <c r="AF27" s="343">
        <f>'IncomeandExpenditure Data2'!AG30/1000</f>
        <v>3826.1190000000001</v>
      </c>
      <c r="AG27" s="343">
        <f>'IncomeandExpenditure Data2'!AH30/1000</f>
        <v>3826.12</v>
      </c>
      <c r="AH27" s="343">
        <f>'IncomeandExpenditure Data2'!AI30/1000</f>
        <v>3826.1190000000001</v>
      </c>
      <c r="AI27" s="343">
        <f>'IncomeandExpenditure Data2'!AJ30/1000</f>
        <v>3826.1219999999998</v>
      </c>
      <c r="AJ27" s="448">
        <f t="shared" si="43"/>
        <v>46218.771000000008</v>
      </c>
      <c r="AN27" s="448">
        <v>3661.3067000000001</v>
      </c>
      <c r="AO27" s="1559">
        <v>3627.85</v>
      </c>
      <c r="AP27" s="1559">
        <v>3598.7080000000001</v>
      </c>
      <c r="AQ27" s="1559">
        <v>3633.7620000000002</v>
      </c>
      <c r="AR27" s="1559">
        <v>3690.9949999999999</v>
      </c>
      <c r="AS27" s="1559">
        <v>3691.39</v>
      </c>
      <c r="AU27" s="448">
        <v>3587.6379999999999</v>
      </c>
      <c r="AV27" s="1559">
        <v>3606.752</v>
      </c>
      <c r="AW27" s="1559">
        <v>3595.8229999999999</v>
      </c>
      <c r="AX27" s="1559">
        <v>3594.85</v>
      </c>
      <c r="AY27" s="1559">
        <v>3587.51</v>
      </c>
      <c r="AZ27" s="1559">
        <v>3584.6570000000002</v>
      </c>
      <c r="BB27" s="448">
        <v>19.885000000000002</v>
      </c>
      <c r="BC27" s="1559">
        <v>22.452000000000002</v>
      </c>
      <c r="BD27" s="1559">
        <v>22.245999999999999</v>
      </c>
      <c r="BE27" s="1559">
        <v>21.568999999999999</v>
      </c>
      <c r="BF27" s="1559">
        <v>21.568999999999999</v>
      </c>
      <c r="BG27" s="1559">
        <v>30.149000000000001</v>
      </c>
      <c r="BH27" s="448"/>
      <c r="BI27" s="448">
        <v>26.957000000000001</v>
      </c>
      <c r="BJ27" s="448">
        <v>26.957000000000001</v>
      </c>
      <c r="BK27" s="448">
        <v>26.957000000000001</v>
      </c>
      <c r="BL27" s="448">
        <v>26.957000000000001</v>
      </c>
      <c r="BM27" s="448">
        <v>26.957000000000001</v>
      </c>
      <c r="BN27" s="448">
        <v>26.957000000000001</v>
      </c>
      <c r="BO27" s="448"/>
    </row>
    <row r="28" spans="1:67">
      <c r="A28" s="1921" t="s">
        <v>1252</v>
      </c>
      <c r="B28" s="700">
        <f t="shared" si="36"/>
        <v>2441.846</v>
      </c>
      <c r="C28" s="700">
        <f t="shared" si="37"/>
        <v>2438.19</v>
      </c>
      <c r="D28" s="343">
        <f t="shared" si="38"/>
        <v>-3.6559999999999491</v>
      </c>
      <c r="E28" s="343"/>
      <c r="F28" s="343">
        <f t="shared" si="39"/>
        <v>14651.076000000003</v>
      </c>
      <c r="G28" s="343">
        <f t="shared" si="40"/>
        <v>14681.951000000005</v>
      </c>
      <c r="H28" s="343">
        <f t="shared" si="41"/>
        <v>30.875000000001819</v>
      </c>
      <c r="I28" s="343"/>
      <c r="J28" s="1746">
        <f>'IncomeandExpenditure Data2'!K31/1000</f>
        <v>1240.373</v>
      </c>
      <c r="K28" s="1746">
        <f>'IncomeandExpenditure Data2'!L31/1000</f>
        <v>1197.817</v>
      </c>
      <c r="L28" s="1746">
        <f>'IncomeandExpenditure Data2'!M31/1000</f>
        <v>1223.8009999999999</v>
      </c>
      <c r="M28" s="1746">
        <f>'IncomeandExpenditure Data2'!N31/1000</f>
        <v>1224.44</v>
      </c>
      <c r="N28" s="1746">
        <f>'IncomeandExpenditure Data2'!O31/1000</f>
        <v>1224.44</v>
      </c>
      <c r="O28" s="1746">
        <f>'IncomeandExpenditure Data2'!P31/1000</f>
        <v>1224.44</v>
      </c>
      <c r="P28" s="1746">
        <f>'IncomeandExpenditure Data2'!Q31/1000</f>
        <v>1224.44</v>
      </c>
      <c r="Q28" s="1746">
        <f>'IncomeandExpenditure Data2'!R31/1000</f>
        <v>1224.44</v>
      </c>
      <c r="R28" s="1746">
        <f>'IncomeandExpenditure Data2'!S31/1000</f>
        <v>1224.44</v>
      </c>
      <c r="S28" s="1746">
        <f>'IncomeandExpenditure Data2'!T31/1000</f>
        <v>1224.44</v>
      </c>
      <c r="T28" s="1746">
        <f>'IncomeandExpenditure Data2'!U31/1000</f>
        <v>1224.44</v>
      </c>
      <c r="U28" s="1746">
        <f>'IncomeandExpenditure Data2'!V31/1000</f>
        <v>1224.44</v>
      </c>
      <c r="V28" s="448">
        <f t="shared" si="42"/>
        <v>14681.951000000005</v>
      </c>
      <c r="W28" s="448"/>
      <c r="X28" s="343">
        <f>'IncomeandExpenditure Data2'!Y31/1000</f>
        <v>1220.923</v>
      </c>
      <c r="Y28" s="343">
        <f>'IncomeandExpenditure Data2'!Z31/1000</f>
        <v>1220.923</v>
      </c>
      <c r="Z28" s="343">
        <f>'IncomeandExpenditure Data2'!AA31/1000</f>
        <v>1220.923</v>
      </c>
      <c r="AA28" s="343">
        <f>'IncomeandExpenditure Data2'!AB31/1000</f>
        <v>1220.923</v>
      </c>
      <c r="AB28" s="343">
        <f>'IncomeandExpenditure Data2'!AC31/1000</f>
        <v>1220.923</v>
      </c>
      <c r="AC28" s="343">
        <f>'IncomeandExpenditure Data2'!AD31/1000</f>
        <v>1220.923</v>
      </c>
      <c r="AD28" s="343">
        <f>'IncomeandExpenditure Data2'!AE31/1000</f>
        <v>1220.923</v>
      </c>
      <c r="AE28" s="343">
        <f>'IncomeandExpenditure Data2'!AF31/1000</f>
        <v>1220.923</v>
      </c>
      <c r="AF28" s="343">
        <f>'IncomeandExpenditure Data2'!AG31/1000</f>
        <v>1220.923</v>
      </c>
      <c r="AG28" s="343">
        <f>'IncomeandExpenditure Data2'!AH31/1000</f>
        <v>1220.923</v>
      </c>
      <c r="AH28" s="343">
        <f>'IncomeandExpenditure Data2'!AI31/1000</f>
        <v>1220.923</v>
      </c>
      <c r="AI28" s="343">
        <f>'IncomeandExpenditure Data2'!AJ31/1000</f>
        <v>1220.923</v>
      </c>
      <c r="AJ28" s="448">
        <f t="shared" si="43"/>
        <v>14651.076000000003</v>
      </c>
      <c r="AN28" s="448">
        <v>65.111109999999996</v>
      </c>
      <c r="AO28" s="1559">
        <v>61.161000000000001</v>
      </c>
      <c r="AP28" s="1559">
        <v>59.665999999999997</v>
      </c>
      <c r="AQ28" s="1559">
        <v>61.792999999999999</v>
      </c>
      <c r="AR28" s="1559">
        <v>63.15</v>
      </c>
      <c r="AS28" s="1559">
        <v>77.022999999999996</v>
      </c>
      <c r="AU28" s="448">
        <v>82.141000000000005</v>
      </c>
      <c r="AV28" s="1559">
        <v>81.578999999999994</v>
      </c>
      <c r="AW28" s="1559">
        <v>49.962000000000003</v>
      </c>
      <c r="AX28" s="1559">
        <v>49.962000000000003</v>
      </c>
      <c r="AY28" s="1559">
        <v>49.962000000000003</v>
      </c>
      <c r="AZ28" s="1559">
        <v>49.962000000000003</v>
      </c>
      <c r="BB28" s="448"/>
      <c r="BC28" s="1559">
        <v>0</v>
      </c>
      <c r="BD28" s="1559">
        <v>0</v>
      </c>
      <c r="BE28" s="1559">
        <v>0</v>
      </c>
      <c r="BF28" s="1559">
        <v>0</v>
      </c>
      <c r="BG28" s="1559">
        <v>0</v>
      </c>
      <c r="BH28" s="448"/>
      <c r="BI28" s="448"/>
      <c r="BJ28" s="448"/>
      <c r="BK28" s="448"/>
      <c r="BL28" s="448"/>
      <c r="BM28" s="448"/>
      <c r="BN28" s="448"/>
      <c r="BO28" s="448"/>
    </row>
    <row r="29" spans="1:67">
      <c r="A29" s="1921" t="s">
        <v>761</v>
      </c>
      <c r="B29" s="700">
        <f t="shared" si="36"/>
        <v>5512.6030000000001</v>
      </c>
      <c r="C29" s="700">
        <f t="shared" si="37"/>
        <v>5510.8029999999999</v>
      </c>
      <c r="D29" s="343">
        <f t="shared" si="38"/>
        <v>-1.8000000000001819</v>
      </c>
      <c r="E29" s="343"/>
      <c r="F29" s="343">
        <f t="shared" si="39"/>
        <v>33076.004999999997</v>
      </c>
      <c r="G29" s="343">
        <f t="shared" si="40"/>
        <v>33070.085000000006</v>
      </c>
      <c r="H29" s="343">
        <f t="shared" si="41"/>
        <v>-5.9199999999909778</v>
      </c>
      <c r="I29" s="343"/>
      <c r="J29" s="1746">
        <f>'IncomeandExpenditure Data2'!K32/1000</f>
        <v>2733.98</v>
      </c>
      <c r="K29" s="1746">
        <f>'IncomeandExpenditure Data2'!L32/1000</f>
        <v>2776.8229999999999</v>
      </c>
      <c r="L29" s="1746">
        <f>'IncomeandExpenditure Data2'!M32/1000</f>
        <v>2742.7080000000001</v>
      </c>
      <c r="M29" s="1746">
        <f>'IncomeandExpenditure Data2'!N32/1000</f>
        <v>2756.2820000000002</v>
      </c>
      <c r="N29" s="1746">
        <f>'IncomeandExpenditure Data2'!O32/1000</f>
        <v>2761.2040000000002</v>
      </c>
      <c r="O29" s="1746">
        <f>'IncomeandExpenditure Data2'!P32/1000</f>
        <v>2761.2049999999999</v>
      </c>
      <c r="P29" s="1746">
        <f>'IncomeandExpenditure Data2'!Q32/1000</f>
        <v>2740.259</v>
      </c>
      <c r="Q29" s="1746">
        <f>'IncomeandExpenditure Data2'!R32/1000</f>
        <v>2758.2040000000002</v>
      </c>
      <c r="R29" s="1746">
        <f>'IncomeandExpenditure Data2'!S32/1000</f>
        <v>2760.6039999999998</v>
      </c>
      <c r="S29" s="1746">
        <f>'IncomeandExpenditure Data2'!T32/1000</f>
        <v>2760.6039999999998</v>
      </c>
      <c r="T29" s="1746">
        <f>'IncomeandExpenditure Data2'!U32/1000</f>
        <v>2757.6039999999998</v>
      </c>
      <c r="U29" s="1746">
        <f>'IncomeandExpenditure Data2'!V32/1000</f>
        <v>2760.6080000000002</v>
      </c>
      <c r="V29" s="448">
        <f t="shared" si="42"/>
        <v>33070.085000000006</v>
      </c>
      <c r="W29" s="448"/>
      <c r="X29" s="343">
        <f>'IncomeandExpenditure Data2'!Y32/1000</f>
        <v>2756.3009999999999</v>
      </c>
      <c r="Y29" s="343">
        <f>'IncomeandExpenditure Data2'!Z32/1000</f>
        <v>2756.3020000000001</v>
      </c>
      <c r="Z29" s="343">
        <f>'IncomeandExpenditure Data2'!AA32/1000</f>
        <v>2756.395</v>
      </c>
      <c r="AA29" s="343">
        <f>'IncomeandExpenditure Data2'!AB32/1000</f>
        <v>2756.3330000000001</v>
      </c>
      <c r="AB29" s="343">
        <f>'IncomeandExpenditure Data2'!AC32/1000</f>
        <v>2756.3339999999998</v>
      </c>
      <c r="AC29" s="343">
        <f>'IncomeandExpenditure Data2'!AD32/1000</f>
        <v>2756.335</v>
      </c>
      <c r="AD29" s="343">
        <f>'IncomeandExpenditure Data2'!AE32/1000</f>
        <v>2756.3339999999998</v>
      </c>
      <c r="AE29" s="343">
        <f>'IncomeandExpenditure Data2'!AF32/1000</f>
        <v>2756.3339999999998</v>
      </c>
      <c r="AF29" s="343">
        <f>'IncomeandExpenditure Data2'!AG32/1000</f>
        <v>2756.3339999999998</v>
      </c>
      <c r="AG29" s="343">
        <f>'IncomeandExpenditure Data2'!AH32/1000</f>
        <v>2756.3330000000001</v>
      </c>
      <c r="AH29" s="343">
        <f>'IncomeandExpenditure Data2'!AI32/1000</f>
        <v>2756.3330000000001</v>
      </c>
      <c r="AI29" s="343">
        <f>'IncomeandExpenditure Data2'!AJ32/1000</f>
        <v>2756.337</v>
      </c>
      <c r="AJ29" s="448">
        <f t="shared" si="43"/>
        <v>33076.004999999997</v>
      </c>
      <c r="AN29" s="448">
        <v>2509.6751899999999</v>
      </c>
      <c r="AO29" s="1559">
        <v>2543.3580000000002</v>
      </c>
      <c r="AP29" s="1559">
        <v>2502.5230000000001</v>
      </c>
      <c r="AQ29" s="1559">
        <v>2522.6729999999998</v>
      </c>
      <c r="AR29" s="1559">
        <v>2590.509</v>
      </c>
      <c r="AS29" s="1559">
        <v>2602.6080000000002</v>
      </c>
      <c r="AU29" s="448">
        <v>2595.424</v>
      </c>
      <c r="AV29" s="1559">
        <v>2508.194</v>
      </c>
      <c r="AW29" s="1559">
        <v>2469.3389999999999</v>
      </c>
      <c r="AX29" s="1559">
        <v>2439.3670000000002</v>
      </c>
      <c r="AY29" s="1559">
        <v>2445.4949999999999</v>
      </c>
      <c r="AZ29" s="1559">
        <v>2469.9899999999998</v>
      </c>
      <c r="BB29" s="448">
        <v>284.61799999999999</v>
      </c>
      <c r="BC29" s="1559">
        <v>290.40899999999999</v>
      </c>
      <c r="BD29" s="1559">
        <v>280.267</v>
      </c>
      <c r="BE29" s="1559">
        <v>279.95699999999999</v>
      </c>
      <c r="BF29" s="1559">
        <v>284.63099999999997</v>
      </c>
      <c r="BG29" s="1559">
        <v>282.589</v>
      </c>
      <c r="BH29" s="448"/>
      <c r="BI29" s="448">
        <v>266.06299999999999</v>
      </c>
      <c r="BJ29" s="448">
        <v>266.06299999999999</v>
      </c>
      <c r="BK29" s="448">
        <v>256.81299999999999</v>
      </c>
      <c r="BL29" s="448">
        <v>257.988</v>
      </c>
      <c r="BM29" s="448">
        <v>265.81299999999999</v>
      </c>
      <c r="BN29" s="448">
        <v>265.99900000000002</v>
      </c>
      <c r="BO29" s="448"/>
    </row>
    <row r="30" spans="1:67">
      <c r="A30" s="1921" t="s">
        <v>1253</v>
      </c>
      <c r="B30" s="700">
        <f t="shared" si="36"/>
        <v>490.40199999999999</v>
      </c>
      <c r="C30" s="700">
        <f t="shared" si="37"/>
        <v>439.48199999999997</v>
      </c>
      <c r="D30" s="343">
        <f t="shared" si="38"/>
        <v>-50.920000000000016</v>
      </c>
      <c r="E30" s="343"/>
      <c r="F30" s="343">
        <f t="shared" si="39"/>
        <v>2942.4119999999998</v>
      </c>
      <c r="G30" s="343">
        <f t="shared" si="40"/>
        <v>2891.4920000000002</v>
      </c>
      <c r="H30" s="343">
        <f t="shared" si="41"/>
        <v>-50.919999999999618</v>
      </c>
      <c r="I30" s="343"/>
      <c r="J30" s="1746">
        <f>'IncomeandExpenditure Data2'!K33/1000</f>
        <v>222.94900000000001</v>
      </c>
      <c r="K30" s="1746">
        <f>'IncomeandExpenditure Data2'!L33/1000</f>
        <v>216.53299999999999</v>
      </c>
      <c r="L30" s="1746">
        <f>'IncomeandExpenditure Data2'!M33/1000</f>
        <v>245.20099999999999</v>
      </c>
      <c r="M30" s="1746">
        <f>'IncomeandExpenditure Data2'!N33/1000</f>
        <v>245.20099999999999</v>
      </c>
      <c r="N30" s="1746">
        <f>'IncomeandExpenditure Data2'!O33/1000</f>
        <v>245.20099999999999</v>
      </c>
      <c r="O30" s="1746">
        <f>'IncomeandExpenditure Data2'!P33/1000</f>
        <v>245.20099999999999</v>
      </c>
      <c r="P30" s="1746">
        <f>'IncomeandExpenditure Data2'!Q33/1000</f>
        <v>245.20099999999999</v>
      </c>
      <c r="Q30" s="1746">
        <f>'IncomeandExpenditure Data2'!R33/1000</f>
        <v>245.20099999999999</v>
      </c>
      <c r="R30" s="1746">
        <f>'IncomeandExpenditure Data2'!S33/1000</f>
        <v>245.20099999999999</v>
      </c>
      <c r="S30" s="1746">
        <f>'IncomeandExpenditure Data2'!T33/1000</f>
        <v>245.20099999999999</v>
      </c>
      <c r="T30" s="1746">
        <f>'IncomeandExpenditure Data2'!U33/1000</f>
        <v>245.20099999999999</v>
      </c>
      <c r="U30" s="1746">
        <f>'IncomeandExpenditure Data2'!V33/1000</f>
        <v>245.20099999999999</v>
      </c>
      <c r="V30" s="448">
        <f t="shared" si="42"/>
        <v>2891.4920000000002</v>
      </c>
      <c r="W30" s="448"/>
      <c r="X30" s="343">
        <f>'IncomeandExpenditure Data2'!Y33/1000</f>
        <v>245.20099999999999</v>
      </c>
      <c r="Y30" s="343">
        <f>'IncomeandExpenditure Data2'!Z33/1000</f>
        <v>245.20099999999999</v>
      </c>
      <c r="Z30" s="343">
        <f>'IncomeandExpenditure Data2'!AA33/1000</f>
        <v>245.20099999999999</v>
      </c>
      <c r="AA30" s="343">
        <f>'IncomeandExpenditure Data2'!AB33/1000</f>
        <v>245.20099999999999</v>
      </c>
      <c r="AB30" s="343">
        <f>'IncomeandExpenditure Data2'!AC33/1000</f>
        <v>245.20099999999999</v>
      </c>
      <c r="AC30" s="343">
        <f>'IncomeandExpenditure Data2'!AD33/1000</f>
        <v>245.20099999999999</v>
      </c>
      <c r="AD30" s="343">
        <f>'IncomeandExpenditure Data2'!AE33/1000</f>
        <v>245.20099999999999</v>
      </c>
      <c r="AE30" s="343">
        <f>'IncomeandExpenditure Data2'!AF33/1000</f>
        <v>245.20099999999999</v>
      </c>
      <c r="AF30" s="343">
        <f>'IncomeandExpenditure Data2'!AG33/1000</f>
        <v>245.20099999999999</v>
      </c>
      <c r="AG30" s="343">
        <f>'IncomeandExpenditure Data2'!AH33/1000</f>
        <v>245.20099999999999</v>
      </c>
      <c r="AH30" s="343">
        <f>'IncomeandExpenditure Data2'!AI33/1000</f>
        <v>245.20099999999999</v>
      </c>
      <c r="AI30" s="343">
        <f>'IncomeandExpenditure Data2'!AJ33/1000</f>
        <v>245.20099999999999</v>
      </c>
      <c r="AJ30" s="448">
        <f t="shared" si="43"/>
        <v>2942.4119999999998</v>
      </c>
      <c r="AN30" s="448">
        <v>238.81154999999998</v>
      </c>
      <c r="AO30" s="1559">
        <v>217.25200000000001</v>
      </c>
      <c r="AP30" s="1559">
        <v>201.56399999999999</v>
      </c>
      <c r="AQ30" s="1559">
        <v>221.196</v>
      </c>
      <c r="AR30" s="1559">
        <v>225.75</v>
      </c>
      <c r="AS30" s="1559">
        <v>234.928</v>
      </c>
      <c r="AU30" s="448">
        <v>243.798</v>
      </c>
      <c r="AV30" s="1559">
        <v>243.798</v>
      </c>
      <c r="AW30" s="1559">
        <v>238.97300000000001</v>
      </c>
      <c r="AX30" s="1559">
        <v>238.97300000000001</v>
      </c>
      <c r="AY30" s="1559">
        <v>238.97300000000001</v>
      </c>
      <c r="AZ30" s="1559">
        <v>238.97300000000001</v>
      </c>
      <c r="BB30" s="448"/>
      <c r="BC30" s="1559">
        <v>0</v>
      </c>
      <c r="BD30" s="1559">
        <v>0</v>
      </c>
      <c r="BE30" s="1559">
        <v>0</v>
      </c>
      <c r="BF30" s="1559">
        <v>0</v>
      </c>
      <c r="BG30" s="1559">
        <v>0</v>
      </c>
      <c r="BH30" s="448"/>
      <c r="BI30" s="448"/>
      <c r="BJ30" s="448"/>
      <c r="BK30" s="448"/>
      <c r="BL30" s="448"/>
      <c r="BM30" s="448"/>
      <c r="BN30" s="448"/>
      <c r="BO30" s="448"/>
    </row>
    <row r="31" spans="1:67">
      <c r="A31" s="1921" t="s">
        <v>762</v>
      </c>
      <c r="B31" s="700">
        <f t="shared" si="36"/>
        <v>-24.137999999999998</v>
      </c>
      <c r="C31" s="700">
        <f t="shared" si="37"/>
        <v>10.238</v>
      </c>
      <c r="D31" s="343">
        <f t="shared" si="38"/>
        <v>34.375999999999998</v>
      </c>
      <c r="E31" s="343"/>
      <c r="F31" s="343">
        <f t="shared" si="39"/>
        <v>-4644.05</v>
      </c>
      <c r="G31" s="343">
        <f t="shared" si="40"/>
        <v>-4555.3950000000004</v>
      </c>
      <c r="H31" s="343">
        <f t="shared" si="41"/>
        <v>88.654999999999745</v>
      </c>
      <c r="I31" s="343"/>
      <c r="J31" s="1746">
        <f>'IncomeandExpenditure Data2'!K34/1000</f>
        <v>6.4850000000000003</v>
      </c>
      <c r="K31" s="1746">
        <f>'IncomeandExpenditure Data2'!L34/1000</f>
        <v>3.7530000000000001</v>
      </c>
      <c r="L31" s="1746">
        <f>'IncomeandExpenditure Data2'!M34/1000</f>
        <v>-5.883</v>
      </c>
      <c r="M31" s="1746">
        <f>'IncomeandExpenditure Data2'!N34/1000</f>
        <v>-2.883</v>
      </c>
      <c r="N31" s="1746">
        <f>'IncomeandExpenditure Data2'!O34/1000</f>
        <v>-2.883</v>
      </c>
      <c r="O31" s="1746">
        <f>'IncomeandExpenditure Data2'!P34/1000</f>
        <v>-2.883</v>
      </c>
      <c r="P31" s="1746">
        <f>'IncomeandExpenditure Data2'!Q34/1000</f>
        <v>-657.90899999999999</v>
      </c>
      <c r="Q31" s="1746">
        <f>'IncomeandExpenditure Data2'!R34/1000</f>
        <v>-657.90899999999999</v>
      </c>
      <c r="R31" s="1746">
        <f>'IncomeandExpenditure Data2'!S34/1000</f>
        <v>-807.90899999999999</v>
      </c>
      <c r="S31" s="1746">
        <f>'IncomeandExpenditure Data2'!T34/1000</f>
        <v>-807.95799999999997</v>
      </c>
      <c r="T31" s="1746">
        <f>'IncomeandExpenditure Data2'!U34/1000</f>
        <v>-807.95799999999997</v>
      </c>
      <c r="U31" s="1746">
        <f>'IncomeandExpenditure Data2'!V34/1000</f>
        <v>-811.45799999999997</v>
      </c>
      <c r="V31" s="448">
        <f t="shared" si="42"/>
        <v>-4555.3950000000004</v>
      </c>
      <c r="W31" s="448"/>
      <c r="X31" s="343">
        <f>'IncomeandExpenditure Data2'!Y34/1000</f>
        <v>-13.077</v>
      </c>
      <c r="Y31" s="343">
        <f>'IncomeandExpenditure Data2'!Z34/1000</f>
        <v>-11.061</v>
      </c>
      <c r="Z31" s="343">
        <f>'IncomeandExpenditure Data2'!AA34/1000</f>
        <v>-14.295</v>
      </c>
      <c r="AA31" s="343">
        <f>'IncomeandExpenditure Data2'!AB34/1000</f>
        <v>-15.146000000000001</v>
      </c>
      <c r="AB31" s="343">
        <f>'IncomeandExpenditure Data2'!AC34/1000</f>
        <v>-15.146000000000001</v>
      </c>
      <c r="AC31" s="343">
        <f>'IncomeandExpenditure Data2'!AD34/1000</f>
        <v>-5.1459999999999999</v>
      </c>
      <c r="AD31" s="343">
        <f>'IncomeandExpenditure Data2'!AE34/1000</f>
        <v>-660.17200000000003</v>
      </c>
      <c r="AE31" s="343">
        <f>'IncomeandExpenditure Data2'!AF34/1000</f>
        <v>-660.17200000000003</v>
      </c>
      <c r="AF31" s="343">
        <f>'IncomeandExpenditure Data2'!AG34/1000</f>
        <v>-810.17200000000003</v>
      </c>
      <c r="AG31" s="343">
        <f>'IncomeandExpenditure Data2'!AH34/1000</f>
        <v>-813.221</v>
      </c>
      <c r="AH31" s="343">
        <f>'IncomeandExpenditure Data2'!AI34/1000</f>
        <v>-813.221</v>
      </c>
      <c r="AI31" s="343">
        <f>'IncomeandExpenditure Data2'!AJ34/1000</f>
        <v>-813.221</v>
      </c>
      <c r="AJ31" s="448">
        <f t="shared" si="43"/>
        <v>-4644.05</v>
      </c>
      <c r="AN31" s="448">
        <v>501.09613999999999</v>
      </c>
      <c r="AO31" s="1559">
        <v>198.38300000000001</v>
      </c>
      <c r="AP31" s="1559">
        <v>252.37700000000001</v>
      </c>
      <c r="AQ31" s="1559">
        <v>286.358</v>
      </c>
      <c r="AR31" s="1559">
        <v>268.09699999999998</v>
      </c>
      <c r="AS31" s="1559">
        <v>231.33799999999999</v>
      </c>
      <c r="AU31" s="448">
        <v>265.25799999999998</v>
      </c>
      <c r="AV31" s="1559">
        <v>266.75200000000001</v>
      </c>
      <c r="AW31" s="1559">
        <v>275.70400000000001</v>
      </c>
      <c r="AX31" s="1559">
        <v>267.61700000000002</v>
      </c>
      <c r="AY31" s="1559">
        <v>269.61700000000002</v>
      </c>
      <c r="AZ31" s="1559">
        <v>577.26599999999996</v>
      </c>
      <c r="BB31" s="448">
        <v>194.53899999999999</v>
      </c>
      <c r="BC31" s="1559">
        <v>178.95500000000001</v>
      </c>
      <c r="BD31" s="1559">
        <v>178.00399999999999</v>
      </c>
      <c r="BE31" s="1559">
        <v>178.00399999999999</v>
      </c>
      <c r="BF31" s="1559">
        <v>178.00399999999999</v>
      </c>
      <c r="BG31" s="1559">
        <v>178.012</v>
      </c>
      <c r="BH31" s="448"/>
      <c r="BI31" s="448">
        <v>176.90899999999999</v>
      </c>
      <c r="BJ31" s="448">
        <v>176.90899999999999</v>
      </c>
      <c r="BK31" s="448">
        <v>176.90899999999999</v>
      </c>
      <c r="BL31" s="448">
        <v>176.90899999999999</v>
      </c>
      <c r="BM31" s="448">
        <v>176.90899999999999</v>
      </c>
      <c r="BN31" s="448">
        <v>176.917</v>
      </c>
      <c r="BO31" s="448"/>
    </row>
    <row r="32" spans="1:67" ht="13.8" thickBot="1">
      <c r="A32" s="1921" t="s">
        <v>1299</v>
      </c>
      <c r="B32" s="700">
        <f t="shared" si="36"/>
        <v>10.561999999999999</v>
      </c>
      <c r="C32" s="700">
        <f t="shared" si="37"/>
        <v>10.176</v>
      </c>
      <c r="D32" s="343">
        <f t="shared" si="38"/>
        <v>-0.38599999999999923</v>
      </c>
      <c r="E32" s="343"/>
      <c r="F32" s="343">
        <f t="shared" ref="F32" si="44">SUM(X32:AI32)</f>
        <v>63.371999999999993</v>
      </c>
      <c r="G32" s="343">
        <f t="shared" ref="G32" si="45">SUM(J32:U32)</f>
        <v>66.783000000000015</v>
      </c>
      <c r="H32" s="343">
        <f t="shared" ref="H32" si="46">G32-F32</f>
        <v>3.4110000000000227</v>
      </c>
      <c r="I32" s="343"/>
      <c r="J32" s="1746">
        <f>'IncomeandExpenditure Data2'!K35/1000</f>
        <v>5.1989999999999998</v>
      </c>
      <c r="K32" s="1746">
        <f>'IncomeandExpenditure Data2'!L35/1000</f>
        <v>4.9770000000000003</v>
      </c>
      <c r="L32" s="1746">
        <f>'IncomeandExpenditure Data2'!M35/1000</f>
        <v>5.1989999999999998</v>
      </c>
      <c r="M32" s="1746">
        <f>'IncomeandExpenditure Data2'!N35/1000</f>
        <v>5.7119999999999997</v>
      </c>
      <c r="N32" s="1746">
        <f>'IncomeandExpenditure Data2'!O35/1000</f>
        <v>5.7119999999999997</v>
      </c>
      <c r="O32" s="1746">
        <f>'IncomeandExpenditure Data2'!P35/1000</f>
        <v>5.7119999999999997</v>
      </c>
      <c r="P32" s="1746">
        <f>'IncomeandExpenditure Data2'!Q35/1000</f>
        <v>5.7119999999999997</v>
      </c>
      <c r="Q32" s="1746">
        <f>'IncomeandExpenditure Data2'!R35/1000</f>
        <v>5.7119999999999997</v>
      </c>
      <c r="R32" s="1746">
        <f>'IncomeandExpenditure Data2'!S35/1000</f>
        <v>5.7119999999999997</v>
      </c>
      <c r="S32" s="1746">
        <f>'IncomeandExpenditure Data2'!T35/1000</f>
        <v>5.7119999999999997</v>
      </c>
      <c r="T32" s="1746">
        <f>'IncomeandExpenditure Data2'!U35/1000</f>
        <v>5.7119999999999997</v>
      </c>
      <c r="U32" s="1746">
        <f>'IncomeandExpenditure Data2'!V35/1000</f>
        <v>5.7119999999999997</v>
      </c>
      <c r="V32" s="448">
        <f t="shared" si="42"/>
        <v>66.783000000000015</v>
      </c>
      <c r="W32" s="448"/>
      <c r="X32" s="343">
        <f>'IncomeandExpenditure Data2'!Y35/1000</f>
        <v>5.2809999999999997</v>
      </c>
      <c r="Y32" s="343">
        <f>'IncomeandExpenditure Data2'!Z35/1000</f>
        <v>5.2809999999999997</v>
      </c>
      <c r="Z32" s="343">
        <f>'IncomeandExpenditure Data2'!AA35/1000</f>
        <v>5.2809999999999997</v>
      </c>
      <c r="AA32" s="343">
        <f>'IncomeandExpenditure Data2'!AB35/1000</f>
        <v>5.2809999999999997</v>
      </c>
      <c r="AB32" s="343">
        <f>'IncomeandExpenditure Data2'!AC35/1000</f>
        <v>5.2809999999999997</v>
      </c>
      <c r="AC32" s="343">
        <f>'IncomeandExpenditure Data2'!AD35/1000</f>
        <v>5.2809999999999997</v>
      </c>
      <c r="AD32" s="343">
        <f>'IncomeandExpenditure Data2'!AE35/1000</f>
        <v>5.2809999999999997</v>
      </c>
      <c r="AE32" s="343">
        <f>'IncomeandExpenditure Data2'!AF35/1000</f>
        <v>5.2809999999999997</v>
      </c>
      <c r="AF32" s="343">
        <f>'IncomeandExpenditure Data2'!AG35/1000</f>
        <v>5.2809999999999997</v>
      </c>
      <c r="AG32" s="343">
        <f>'IncomeandExpenditure Data2'!AH35/1000</f>
        <v>5.2809999999999997</v>
      </c>
      <c r="AH32" s="343">
        <f>'IncomeandExpenditure Data2'!AI35/1000</f>
        <v>5.2809999999999997</v>
      </c>
      <c r="AI32" s="343">
        <f>'IncomeandExpenditure Data2'!AJ35/1000</f>
        <v>5.2809999999999997</v>
      </c>
      <c r="AJ32" s="448">
        <f t="shared" si="43"/>
        <v>63.371999999999993</v>
      </c>
      <c r="AN32" s="448"/>
      <c r="AO32" s="1559"/>
      <c r="AP32" s="1559"/>
      <c r="AQ32" s="1559"/>
      <c r="AR32" s="1559"/>
      <c r="AS32" s="1559"/>
      <c r="AU32" s="448"/>
      <c r="AV32" s="1559"/>
      <c r="AW32" s="1559"/>
      <c r="AX32" s="1559"/>
      <c r="AY32" s="1559"/>
      <c r="AZ32" s="1559"/>
      <c r="BB32" s="448"/>
      <c r="BC32" s="1559"/>
      <c r="BD32" s="1559"/>
      <c r="BE32" s="1559"/>
      <c r="BF32" s="1559"/>
      <c r="BG32" s="1559"/>
      <c r="BH32" s="448"/>
      <c r="BI32" s="448"/>
      <c r="BJ32" s="448"/>
      <c r="BK32" s="448"/>
      <c r="BL32" s="448"/>
      <c r="BM32" s="448"/>
      <c r="BN32" s="448"/>
      <c r="BO32" s="448"/>
    </row>
    <row r="33" spans="1:75" ht="13.8" thickBot="1">
      <c r="A33" s="344" t="s">
        <v>382</v>
      </c>
      <c r="B33" s="345">
        <f>SUM(B24:B32)</f>
        <v>57618.003000000004</v>
      </c>
      <c r="C33" s="345">
        <f>SUM(C24:C32)</f>
        <v>57592.546000000009</v>
      </c>
      <c r="D33" s="345">
        <f>SUM(D24:D32)</f>
        <v>-25.456999999995968</v>
      </c>
      <c r="E33" s="343"/>
      <c r="F33" s="345">
        <f t="shared" ref="F33:H33" si="47">SUM(F24:F32)</f>
        <v>334279.13400000002</v>
      </c>
      <c r="G33" s="345">
        <f t="shared" si="47"/>
        <v>334341.28700000001</v>
      </c>
      <c r="H33" s="345">
        <f t="shared" si="47"/>
        <v>62.153000000021585</v>
      </c>
      <c r="I33" s="343"/>
      <c r="J33" s="449">
        <f>SUM(J24:J32)</f>
        <v>28967.795999999998</v>
      </c>
      <c r="K33" s="449">
        <f t="shared" ref="K33:U33" si="48">SUM(K24:K32)</f>
        <v>28624.75</v>
      </c>
      <c r="L33" s="449">
        <f t="shared" si="48"/>
        <v>28829.019999999997</v>
      </c>
      <c r="M33" s="449">
        <f t="shared" si="48"/>
        <v>28054.020999999997</v>
      </c>
      <c r="N33" s="449">
        <f t="shared" si="48"/>
        <v>28037.699999999997</v>
      </c>
      <c r="O33" s="449">
        <f t="shared" si="48"/>
        <v>28074.220999999998</v>
      </c>
      <c r="P33" s="449">
        <f t="shared" si="48"/>
        <v>27373.332000000002</v>
      </c>
      <c r="Q33" s="449">
        <f t="shared" si="48"/>
        <v>27373.799000000003</v>
      </c>
      <c r="R33" s="449">
        <f t="shared" si="48"/>
        <v>27245.419000000002</v>
      </c>
      <c r="S33" s="449">
        <f t="shared" si="48"/>
        <v>27243.010999999999</v>
      </c>
      <c r="T33" s="449">
        <f t="shared" si="48"/>
        <v>27242.999</v>
      </c>
      <c r="U33" s="449">
        <f t="shared" si="48"/>
        <v>27275.219000000001</v>
      </c>
      <c r="V33" s="449">
        <f>SUM(V24:V32)</f>
        <v>334341.28700000001</v>
      </c>
      <c r="W33" s="449"/>
      <c r="X33" s="449">
        <f t="shared" ref="X33" si="49">SUM(X24:X32)</f>
        <v>28808.021000000001</v>
      </c>
      <c r="Y33" s="449">
        <f t="shared" ref="Y33" si="50">SUM(Y24:Y32)</f>
        <v>28809.982</v>
      </c>
      <c r="Z33" s="449">
        <f t="shared" ref="Z33" si="51">SUM(Z24:Z32)</f>
        <v>28868.976000000002</v>
      </c>
      <c r="AA33" s="449">
        <f t="shared" ref="AA33" si="52">SUM(AA24:AA32)</f>
        <v>27924.214999999997</v>
      </c>
      <c r="AB33" s="449">
        <f t="shared" ref="AB33" si="53">SUM(AB24:AB32)</f>
        <v>28112.024999999998</v>
      </c>
      <c r="AC33" s="449">
        <f t="shared" ref="AC33" si="54">SUM(AC24:AC32)</f>
        <v>28101.262999999999</v>
      </c>
      <c r="AD33" s="449">
        <f t="shared" ref="AD33" si="55">SUM(AD24:AD32)</f>
        <v>27382.703999999998</v>
      </c>
      <c r="AE33" s="449">
        <f t="shared" ref="AE33" si="56">SUM(AE24:AE32)</f>
        <v>27365.017999999996</v>
      </c>
      <c r="AF33" s="449">
        <f t="shared" ref="AF33" si="57">SUM(AF24:AF32)</f>
        <v>27232.19</v>
      </c>
      <c r="AG33" s="449">
        <f t="shared" ref="AG33" si="58">SUM(AG24:AG32)</f>
        <v>27224.693999999996</v>
      </c>
      <c r="AH33" s="449">
        <f t="shared" ref="AH33" si="59">SUM(AH24:AH32)</f>
        <v>27224.690999999995</v>
      </c>
      <c r="AI33" s="449">
        <f t="shared" ref="AI33" si="60">SUM(AI24:AI32)</f>
        <v>27225.354999999996</v>
      </c>
      <c r="AJ33" s="449">
        <f>SUM(AJ24:AJ32)</f>
        <v>334279.13400000002</v>
      </c>
      <c r="AN33" s="449">
        <f t="shared" ref="AN33:AS33" si="61">SUM(AN24:AN31)</f>
        <v>25205.19311</v>
      </c>
      <c r="AO33" s="449">
        <f t="shared" si="61"/>
        <v>25079.031000000003</v>
      </c>
      <c r="AP33" s="449">
        <f t="shared" si="61"/>
        <v>24700.734</v>
      </c>
      <c r="AQ33" s="449">
        <f t="shared" si="61"/>
        <v>24842.11</v>
      </c>
      <c r="AR33" s="449">
        <f t="shared" si="61"/>
        <v>25257.921000000002</v>
      </c>
      <c r="AS33" s="449">
        <f t="shared" si="61"/>
        <v>25230.051000000003</v>
      </c>
      <c r="AU33" s="449">
        <f t="shared" ref="AU33:AZ33" si="62">SUM(AU24:AU31)</f>
        <v>24602.916999999998</v>
      </c>
      <c r="AV33" s="449">
        <f t="shared" si="62"/>
        <v>24595.169000000002</v>
      </c>
      <c r="AW33" s="449">
        <f t="shared" si="62"/>
        <v>24391.744000000002</v>
      </c>
      <c r="AX33" s="449">
        <f t="shared" si="62"/>
        <v>24334.672999999999</v>
      </c>
      <c r="AY33" s="449">
        <f t="shared" si="62"/>
        <v>24290.345000000001</v>
      </c>
      <c r="AZ33" s="449">
        <f t="shared" si="62"/>
        <v>24567.803999999996</v>
      </c>
      <c r="BB33" s="449">
        <f>SUM(BB24:BB31)</f>
        <v>932.28899999999999</v>
      </c>
      <c r="BC33" s="449">
        <f t="shared" ref="BC33:BI33" si="63">SUM(BC24:BC31)</f>
        <v>919.029</v>
      </c>
      <c r="BD33" s="449">
        <f t="shared" si="63"/>
        <v>921.43099999999993</v>
      </c>
      <c r="BE33" s="449">
        <f t="shared" si="63"/>
        <v>919.524</v>
      </c>
      <c r="BF33" s="449">
        <f t="shared" si="63"/>
        <v>923.54200000000003</v>
      </c>
      <c r="BG33" s="449">
        <f t="shared" si="63"/>
        <v>930.69399999999996</v>
      </c>
      <c r="BH33" s="449"/>
      <c r="BI33" s="449">
        <f t="shared" si="63"/>
        <v>918.16699999999992</v>
      </c>
      <c r="BJ33" s="449">
        <f>SUM(BJ24:BJ31)</f>
        <v>918.86399999999992</v>
      </c>
      <c r="BK33" s="449">
        <f>SUM(BK24:BK31)</f>
        <v>909.24899999999991</v>
      </c>
      <c r="BL33" s="449">
        <f>SUM(BL24:BL31)</f>
        <v>910.40599999999995</v>
      </c>
      <c r="BM33" s="449">
        <f>SUM(BM24:BM31)</f>
        <v>917.58100000000002</v>
      </c>
      <c r="BN33" s="449">
        <f>SUM(BN24:BN31)</f>
        <v>918.375</v>
      </c>
      <c r="BO33" s="449"/>
      <c r="BR33" s="447">
        <f t="shared" ref="BR33:BW33" si="64">AD33-P33</f>
        <v>9.3719999999957508</v>
      </c>
      <c r="BS33" s="447">
        <f t="shared" si="64"/>
        <v>-8.7810000000063155</v>
      </c>
      <c r="BT33" s="447">
        <f t="shared" si="64"/>
        <v>-13.229000000002998</v>
      </c>
      <c r="BU33" s="447">
        <f t="shared" si="64"/>
        <v>-18.317000000002736</v>
      </c>
      <c r="BV33" s="447">
        <f t="shared" si="64"/>
        <v>-18.30800000000454</v>
      </c>
      <c r="BW33" s="447">
        <f t="shared" si="64"/>
        <v>-49.864000000005035</v>
      </c>
    </row>
    <row r="34" spans="1:75">
      <c r="A34" s="1921" t="s">
        <v>1254</v>
      </c>
      <c r="B34" s="700">
        <f t="shared" si="36"/>
        <v>11597.534</v>
      </c>
      <c r="C34" s="700">
        <f t="shared" si="37"/>
        <v>12667.755000000001</v>
      </c>
      <c r="D34" s="343">
        <f t="shared" ref="D34:D45" si="65">C34-B34</f>
        <v>1070.2210000000014</v>
      </c>
      <c r="E34" s="343"/>
      <c r="F34" s="343">
        <f t="shared" ref="F34:F45" si="66">SUM(X34:AI34)</f>
        <v>69061.532000000021</v>
      </c>
      <c r="G34" s="343">
        <f t="shared" ref="G34:G45" si="67">SUM(J34:U34)</f>
        <v>70909.446000000011</v>
      </c>
      <c r="H34" s="343">
        <f t="shared" ref="H34:H45" si="68">G34-F34</f>
        <v>1847.9139999999898</v>
      </c>
      <c r="I34" s="343"/>
      <c r="J34" s="1746">
        <f>'IncomeandExpenditure Data2'!K37/1000</f>
        <v>6132.6120000000001</v>
      </c>
      <c r="K34" s="1746">
        <f>'IncomeandExpenditure Data2'!L37/1000</f>
        <v>6535.143</v>
      </c>
      <c r="L34" s="1746">
        <f>'IncomeandExpenditure Data2'!M37/1000</f>
        <v>5876.6689999999999</v>
      </c>
      <c r="M34" s="1746">
        <f>'IncomeandExpenditure Data2'!N37/1000</f>
        <v>5818.3360000000002</v>
      </c>
      <c r="N34" s="1746">
        <f>'IncomeandExpenditure Data2'!O37/1000</f>
        <v>5818.3360000000002</v>
      </c>
      <c r="O34" s="1746">
        <f>'IncomeandExpenditure Data2'!P37/1000</f>
        <v>5818.335</v>
      </c>
      <c r="P34" s="1746">
        <f>'IncomeandExpenditure Data2'!Q37/1000</f>
        <v>5818.3360000000002</v>
      </c>
      <c r="Q34" s="1746">
        <f>'IncomeandExpenditure Data2'!R37/1000</f>
        <v>5818.3360000000002</v>
      </c>
      <c r="R34" s="1746">
        <f>'IncomeandExpenditure Data2'!S37/1000</f>
        <v>5818.3360000000002</v>
      </c>
      <c r="S34" s="1746">
        <f>'IncomeandExpenditure Data2'!T37/1000</f>
        <v>5818.3360000000002</v>
      </c>
      <c r="T34" s="1746">
        <f>'IncomeandExpenditure Data2'!U37/1000</f>
        <v>5818.3360000000002</v>
      </c>
      <c r="U34" s="1746">
        <f>'IncomeandExpenditure Data2'!V37/1000</f>
        <v>5818.335</v>
      </c>
      <c r="V34" s="448">
        <f>SUM(J34:U34)</f>
        <v>70909.446000000011</v>
      </c>
      <c r="W34" s="448"/>
      <c r="X34" s="1746">
        <f>'IncomeandExpenditure Data2'!Y37/1000</f>
        <v>5799.01</v>
      </c>
      <c r="Y34" s="2012">
        <f>'IncomeandExpenditure Data2'!Z37/1000</f>
        <v>5798.5240000000003</v>
      </c>
      <c r="Z34" s="2012">
        <f>'IncomeandExpenditure Data2'!AA37/1000</f>
        <v>5799.7650000000003</v>
      </c>
      <c r="AA34" s="1746">
        <f>'IncomeandExpenditure Data2'!AB37/1000</f>
        <v>5740.4229999999998</v>
      </c>
      <c r="AB34" s="1746">
        <f>'IncomeandExpenditure Data2'!AC37/1000</f>
        <v>5741.0550000000003</v>
      </c>
      <c r="AC34" s="1746">
        <f>'IncomeandExpenditure Data2'!AD37/1000</f>
        <v>5740.25</v>
      </c>
      <c r="AD34" s="1746">
        <f>'IncomeandExpenditure Data2'!AE37/1000</f>
        <v>5740.2510000000002</v>
      </c>
      <c r="AE34" s="1746">
        <f>'IncomeandExpenditure Data2'!AF37/1000</f>
        <v>5740.2510000000002</v>
      </c>
      <c r="AF34" s="1746">
        <f>'IncomeandExpenditure Data2'!AG37/1000</f>
        <v>5741.2510000000002</v>
      </c>
      <c r="AG34" s="1746">
        <f>'IncomeandExpenditure Data2'!AH37/1000</f>
        <v>5740.2510000000002</v>
      </c>
      <c r="AH34" s="1746">
        <f>'IncomeandExpenditure Data2'!AI37/1000</f>
        <v>5740.2510000000002</v>
      </c>
      <c r="AI34" s="1746">
        <f>'IncomeandExpenditure Data2'!AJ37/1000</f>
        <v>5740.25</v>
      </c>
      <c r="AJ34" s="448">
        <f>SUM(X34:AI34)</f>
        <v>69061.532000000021</v>
      </c>
      <c r="AN34" s="448">
        <v>8637.387130000001</v>
      </c>
      <c r="AO34" s="1559">
        <v>9152.5020000000004</v>
      </c>
      <c r="AP34" s="1559">
        <v>8677.2389999999996</v>
      </c>
      <c r="AQ34" s="1559">
        <v>8657.1299999999992</v>
      </c>
      <c r="AR34" s="1559">
        <v>8584.1710000000003</v>
      </c>
      <c r="AS34" s="1559">
        <v>8646.482</v>
      </c>
      <c r="AU34" s="448">
        <v>8585.1119999999992</v>
      </c>
      <c r="AV34" s="1559">
        <v>8602.8080000000009</v>
      </c>
      <c r="AW34" s="1559">
        <v>8544.4680000000008</v>
      </c>
      <c r="AX34" s="1559">
        <v>8544.723</v>
      </c>
      <c r="AY34" s="1559">
        <v>8555.4549999999999</v>
      </c>
      <c r="AZ34" s="1559">
        <v>8722.5470000000005</v>
      </c>
      <c r="BB34" s="448">
        <v>7995.32</v>
      </c>
      <c r="BC34" s="1559">
        <v>8514.741</v>
      </c>
      <c r="BD34" s="1559">
        <v>8049.2640000000001</v>
      </c>
      <c r="BE34" s="1559">
        <v>8029.1549999999997</v>
      </c>
      <c r="BF34" s="1559">
        <v>7956.1970000000001</v>
      </c>
      <c r="BG34" s="1559">
        <v>8015.9070000000002</v>
      </c>
      <c r="BH34" s="448"/>
      <c r="BI34" s="448">
        <v>8017.6319999999996</v>
      </c>
      <c r="BJ34" s="448">
        <v>8024.8320000000003</v>
      </c>
      <c r="BK34" s="448">
        <v>7966.4920000000002</v>
      </c>
      <c r="BL34" s="448">
        <v>7966.7479999999996</v>
      </c>
      <c r="BM34" s="448">
        <v>7977.48</v>
      </c>
      <c r="BN34" s="448">
        <v>8144.5720000000001</v>
      </c>
      <c r="BO34" s="448"/>
    </row>
    <row r="35" spans="1:75">
      <c r="A35" s="1921" t="s">
        <v>1255</v>
      </c>
      <c r="B35" s="700">
        <f t="shared" si="36"/>
        <v>9756.59</v>
      </c>
      <c r="C35" s="700">
        <f t="shared" si="37"/>
        <v>9669.2919999999995</v>
      </c>
      <c r="D35" s="343">
        <f t="shared" si="65"/>
        <v>-87.298000000000684</v>
      </c>
      <c r="E35" s="343"/>
      <c r="F35" s="343">
        <f t="shared" si="66"/>
        <v>52394.699000000001</v>
      </c>
      <c r="G35" s="343">
        <f t="shared" si="67"/>
        <v>52094.334000000003</v>
      </c>
      <c r="H35" s="343">
        <f t="shared" si="68"/>
        <v>-300.36499999999796</v>
      </c>
      <c r="I35" s="343"/>
      <c r="J35" s="1746">
        <f>'IncomeandExpenditure Data2'!K38/1000</f>
        <v>4586.2169999999996</v>
      </c>
      <c r="K35" s="1746">
        <f>'IncomeandExpenditure Data2'!L38/1000</f>
        <v>5083.0749999999998</v>
      </c>
      <c r="L35" s="1746">
        <f>'IncomeandExpenditure Data2'!M38/1000</f>
        <v>4716.6980000000003</v>
      </c>
      <c r="M35" s="1746">
        <f>'IncomeandExpenditure Data2'!N38/1000</f>
        <v>4568.7849999999999</v>
      </c>
      <c r="N35" s="1746">
        <f>'IncomeandExpenditure Data2'!O38/1000</f>
        <v>4566.75</v>
      </c>
      <c r="O35" s="1746">
        <f>'IncomeandExpenditure Data2'!P38/1000</f>
        <v>4595.3310000000001</v>
      </c>
      <c r="P35" s="1746">
        <f>'IncomeandExpenditure Data2'!Q38/1000</f>
        <v>4113.18</v>
      </c>
      <c r="Q35" s="1746">
        <f>'IncomeandExpenditure Data2'!R38/1000</f>
        <v>4085.114</v>
      </c>
      <c r="R35" s="1746">
        <f>'IncomeandExpenditure Data2'!S38/1000</f>
        <v>3987.2669999999998</v>
      </c>
      <c r="S35" s="1746">
        <f>'IncomeandExpenditure Data2'!T38/1000</f>
        <v>3928.6950000000002</v>
      </c>
      <c r="T35" s="1746">
        <f>'IncomeandExpenditure Data2'!U38/1000</f>
        <v>3930.6370000000002</v>
      </c>
      <c r="U35" s="1746">
        <f>'IncomeandExpenditure Data2'!V38/1000</f>
        <v>3932.585</v>
      </c>
      <c r="V35" s="448">
        <f t="shared" ref="V35:V44" si="69">SUM(J35:U35)</f>
        <v>52094.334000000003</v>
      </c>
      <c r="W35" s="448"/>
      <c r="X35" s="1746">
        <f>'IncomeandExpenditure Data2'!Y38/1000</f>
        <v>4722.8620000000001</v>
      </c>
      <c r="Y35" s="2012">
        <f>'IncomeandExpenditure Data2'!Z38/1000</f>
        <v>5033.7280000000001</v>
      </c>
      <c r="Z35" s="2012">
        <f>'IncomeandExpenditure Data2'!AA38/1000</f>
        <v>4780.5410000000002</v>
      </c>
      <c r="AA35" s="1746">
        <f>'IncomeandExpenditure Data2'!AB38/1000</f>
        <v>4617.451</v>
      </c>
      <c r="AB35" s="1746">
        <f>'IncomeandExpenditure Data2'!AC38/1000</f>
        <v>4601.4799999999996</v>
      </c>
      <c r="AC35" s="1746">
        <f>'IncomeandExpenditure Data2'!AD38/1000</f>
        <v>4529.7150000000001</v>
      </c>
      <c r="AD35" s="1746">
        <f>'IncomeandExpenditure Data2'!AE38/1000</f>
        <v>4181.2110000000002</v>
      </c>
      <c r="AE35" s="1746">
        <f>'IncomeandExpenditure Data2'!AF38/1000</f>
        <v>4092.7660000000001</v>
      </c>
      <c r="AF35" s="1746">
        <f>'IncomeandExpenditure Data2'!AG38/1000</f>
        <v>3977.2750000000001</v>
      </c>
      <c r="AG35" s="1746">
        <f>'IncomeandExpenditure Data2'!AH38/1000</f>
        <v>3952.06</v>
      </c>
      <c r="AH35" s="1746">
        <f>'IncomeandExpenditure Data2'!AI38/1000</f>
        <v>3956.9079999999999</v>
      </c>
      <c r="AI35" s="1746">
        <f>'IncomeandExpenditure Data2'!AJ38/1000</f>
        <v>3948.7020000000002</v>
      </c>
      <c r="AJ35" s="448">
        <f t="shared" ref="AJ35:AJ46" si="70">SUM(X35:AI35)</f>
        <v>52394.699000000001</v>
      </c>
      <c r="AN35" s="448">
        <v>507.83571000000001</v>
      </c>
      <c r="AO35" s="1559">
        <v>477.84800000000001</v>
      </c>
      <c r="AP35" s="1559">
        <v>436.76299999999998</v>
      </c>
      <c r="AQ35" s="1559">
        <v>404.803</v>
      </c>
      <c r="AR35" s="1559">
        <v>403.20299999999997</v>
      </c>
      <c r="AS35" s="1559">
        <v>404.803</v>
      </c>
      <c r="AU35" s="448">
        <v>373.72699999999998</v>
      </c>
      <c r="AV35" s="1559">
        <v>362.06099999999998</v>
      </c>
      <c r="AW35" s="1559">
        <v>362.06099999999998</v>
      </c>
      <c r="AX35" s="1559">
        <v>362.06099999999998</v>
      </c>
      <c r="AY35" s="1559">
        <v>362.06099999999998</v>
      </c>
      <c r="AZ35" s="1559">
        <v>362.06099999999998</v>
      </c>
      <c r="BB35" s="448"/>
      <c r="BC35" s="1559">
        <v>0</v>
      </c>
      <c r="BD35" s="1559">
        <v>0</v>
      </c>
      <c r="BE35" s="1559">
        <v>0</v>
      </c>
      <c r="BF35" s="1559">
        <v>0</v>
      </c>
      <c r="BG35" s="1559">
        <v>0</v>
      </c>
      <c r="BH35" s="448"/>
      <c r="BI35" s="448"/>
      <c r="BJ35" s="448"/>
      <c r="BK35" s="448"/>
      <c r="BL35" s="448"/>
      <c r="BM35" s="448"/>
      <c r="BN35" s="448"/>
      <c r="BO35" s="448"/>
    </row>
    <row r="36" spans="1:75">
      <c r="A36" s="1921" t="s">
        <v>765</v>
      </c>
      <c r="B36" s="700">
        <f t="shared" si="36"/>
        <v>1117.6859999999999</v>
      </c>
      <c r="C36" s="700">
        <f t="shared" si="37"/>
        <v>1477.261</v>
      </c>
      <c r="D36" s="343">
        <f t="shared" si="65"/>
        <v>359.57500000000005</v>
      </c>
      <c r="E36" s="343"/>
      <c r="F36" s="343">
        <f t="shared" si="66"/>
        <v>6690.1149999999998</v>
      </c>
      <c r="G36" s="343">
        <f t="shared" si="67"/>
        <v>6881.351999999999</v>
      </c>
      <c r="H36" s="343">
        <f t="shared" si="68"/>
        <v>191.23699999999917</v>
      </c>
      <c r="I36" s="343"/>
      <c r="J36" s="1746">
        <f>'IncomeandExpenditure Data2'!K39/1000</f>
        <v>741.41200000000003</v>
      </c>
      <c r="K36" s="1746">
        <f>'IncomeandExpenditure Data2'!L39/1000</f>
        <v>735.84900000000005</v>
      </c>
      <c r="L36" s="1746">
        <f>'IncomeandExpenditure Data2'!M39/1000</f>
        <v>622.19399999999996</v>
      </c>
      <c r="M36" s="1746">
        <f>'IncomeandExpenditure Data2'!N39/1000</f>
        <v>531.91399999999999</v>
      </c>
      <c r="N36" s="1746">
        <f>'IncomeandExpenditure Data2'!O39/1000</f>
        <v>528.91399999999999</v>
      </c>
      <c r="O36" s="1746">
        <f>'IncomeandExpenditure Data2'!P39/1000</f>
        <v>532.29300000000001</v>
      </c>
      <c r="P36" s="1746">
        <f>'IncomeandExpenditure Data2'!Q39/1000</f>
        <v>532.29499999999996</v>
      </c>
      <c r="Q36" s="1746">
        <f>'IncomeandExpenditure Data2'!R39/1000</f>
        <v>531.29499999999996</v>
      </c>
      <c r="R36" s="1746">
        <f>'IncomeandExpenditure Data2'!S39/1000</f>
        <v>531.29300000000001</v>
      </c>
      <c r="S36" s="1746">
        <f>'IncomeandExpenditure Data2'!T39/1000</f>
        <v>531.29499999999996</v>
      </c>
      <c r="T36" s="1746">
        <f>'IncomeandExpenditure Data2'!U39/1000</f>
        <v>531.29499999999996</v>
      </c>
      <c r="U36" s="1746">
        <f>'IncomeandExpenditure Data2'!V39/1000</f>
        <v>531.303</v>
      </c>
      <c r="V36" s="448">
        <f t="shared" si="69"/>
        <v>6881.351999999999</v>
      </c>
      <c r="W36" s="448"/>
      <c r="X36" s="1746">
        <f>'IncomeandExpenditure Data2'!Y39/1000</f>
        <v>558.84299999999996</v>
      </c>
      <c r="Y36" s="1746">
        <f>'IncomeandExpenditure Data2'!Z39/1000</f>
        <v>558.84299999999996</v>
      </c>
      <c r="Z36" s="1746">
        <f>'IncomeandExpenditure Data2'!AA39/1000</f>
        <v>557.84100000000001</v>
      </c>
      <c r="AA36" s="2012">
        <f>'IncomeandExpenditure Data2'!AB39/1000</f>
        <v>558.84299999999996</v>
      </c>
      <c r="AB36" s="1746">
        <f>'IncomeandExpenditure Data2'!AC39/1000</f>
        <v>557.84299999999996</v>
      </c>
      <c r="AC36" s="1746">
        <f>'IncomeandExpenditure Data2'!AD39/1000</f>
        <v>556.84100000000001</v>
      </c>
      <c r="AD36" s="1746">
        <f>'IncomeandExpenditure Data2'!AE39/1000</f>
        <v>557.84299999999996</v>
      </c>
      <c r="AE36" s="1746">
        <f>'IncomeandExpenditure Data2'!AF39/1000</f>
        <v>556.84299999999996</v>
      </c>
      <c r="AF36" s="1746">
        <f>'IncomeandExpenditure Data2'!AG39/1000</f>
        <v>555.84100000000001</v>
      </c>
      <c r="AG36" s="1746">
        <f>'IncomeandExpenditure Data2'!AH39/1000</f>
        <v>556.84299999999996</v>
      </c>
      <c r="AH36" s="1746">
        <f>'IncomeandExpenditure Data2'!AI39/1000</f>
        <v>556.84299999999996</v>
      </c>
      <c r="AI36" s="1746">
        <f>'IncomeandExpenditure Data2'!AJ39/1000</f>
        <v>556.84799999999996</v>
      </c>
      <c r="AJ36" s="448">
        <f t="shared" si="70"/>
        <v>6690.1149999999998</v>
      </c>
      <c r="AN36" s="448">
        <v>4225.7896000000001</v>
      </c>
      <c r="AO36" s="1559">
        <v>4098.7449999999999</v>
      </c>
      <c r="AP36" s="1559">
        <v>4223.74</v>
      </c>
      <c r="AQ36" s="1559">
        <v>4210.442</v>
      </c>
      <c r="AR36" s="1559">
        <v>4177.1499999999996</v>
      </c>
      <c r="AS36" s="1559">
        <v>4218.5860000000002</v>
      </c>
      <c r="AU36" s="448">
        <v>3232.5619999999999</v>
      </c>
      <c r="AV36" s="1559">
        <v>3333.011</v>
      </c>
      <c r="AW36" s="1559">
        <v>3331.9490000000001</v>
      </c>
      <c r="AX36" s="1559">
        <v>3329.9920000000002</v>
      </c>
      <c r="AY36" s="1559">
        <v>3331.8609999999999</v>
      </c>
      <c r="AZ36" s="1559">
        <v>3353.9549999999999</v>
      </c>
      <c r="BB36" s="448"/>
      <c r="BC36" s="1559">
        <v>0</v>
      </c>
      <c r="BD36" s="1559">
        <v>0</v>
      </c>
      <c r="BE36" s="1559">
        <v>0</v>
      </c>
      <c r="BF36" s="1559">
        <v>0</v>
      </c>
      <c r="BG36" s="1559">
        <v>0</v>
      </c>
      <c r="BH36" s="448"/>
      <c r="BI36" s="448"/>
      <c r="BJ36" s="448"/>
      <c r="BK36" s="448"/>
      <c r="BL36" s="448"/>
      <c r="BM36" s="448"/>
      <c r="BN36" s="448"/>
      <c r="BO36" s="448"/>
    </row>
    <row r="37" spans="1:75">
      <c r="A37" s="1921" t="s">
        <v>766</v>
      </c>
      <c r="B37" s="700">
        <f t="shared" si="36"/>
        <v>1048.6790000000001</v>
      </c>
      <c r="C37" s="700">
        <f t="shared" si="37"/>
        <v>964.78899999999999</v>
      </c>
      <c r="D37" s="343">
        <f t="shared" si="65"/>
        <v>-83.8900000000001</v>
      </c>
      <c r="E37" s="343"/>
      <c r="F37" s="343">
        <f t="shared" si="66"/>
        <v>6297.295000000001</v>
      </c>
      <c r="G37" s="343">
        <f t="shared" si="67"/>
        <v>5981.3919999999998</v>
      </c>
      <c r="H37" s="343">
        <f t="shared" si="68"/>
        <v>-315.90300000000116</v>
      </c>
      <c r="I37" s="343"/>
      <c r="J37" s="1746">
        <f>'IncomeandExpenditure Data2'!K40/1000</f>
        <v>493.58199999999999</v>
      </c>
      <c r="K37" s="1746">
        <f>'IncomeandExpenditure Data2'!L40/1000</f>
        <v>471.20699999999999</v>
      </c>
      <c r="L37" s="1746">
        <f>'IncomeandExpenditure Data2'!M40/1000</f>
        <v>516.30899999999997</v>
      </c>
      <c r="M37" s="1746">
        <f>'IncomeandExpenditure Data2'!N40/1000</f>
        <v>570.94500000000005</v>
      </c>
      <c r="N37" s="1746">
        <f>'IncomeandExpenditure Data2'!O40/1000</f>
        <v>563.74099999999999</v>
      </c>
      <c r="O37" s="1746">
        <f>'IncomeandExpenditure Data2'!P40/1000</f>
        <v>488.02600000000001</v>
      </c>
      <c r="P37" s="1746">
        <f>'IncomeandExpenditure Data2'!Q40/1000</f>
        <v>476.15100000000001</v>
      </c>
      <c r="Q37" s="1746">
        <f>'IncomeandExpenditure Data2'!R40/1000</f>
        <v>484.45600000000002</v>
      </c>
      <c r="R37" s="1746">
        <f>'IncomeandExpenditure Data2'!S40/1000</f>
        <v>487.46699999999998</v>
      </c>
      <c r="S37" s="1746">
        <f>'IncomeandExpenditure Data2'!T40/1000</f>
        <v>472.05200000000002</v>
      </c>
      <c r="T37" s="1746">
        <f>'IncomeandExpenditure Data2'!U40/1000</f>
        <v>469.2</v>
      </c>
      <c r="U37" s="1746">
        <f>'IncomeandExpenditure Data2'!V40/1000</f>
        <v>488.25599999999997</v>
      </c>
      <c r="V37" s="448">
        <f t="shared" si="69"/>
        <v>5981.3919999999998</v>
      </c>
      <c r="W37" s="448"/>
      <c r="X37" s="1746">
        <f>'IncomeandExpenditure Data2'!Y40/1000</f>
        <v>508.37099999999998</v>
      </c>
      <c r="Y37" s="2012">
        <f>'IncomeandExpenditure Data2'!Z40/1000</f>
        <v>540.30799999999999</v>
      </c>
      <c r="Z37" s="2012">
        <f>'IncomeandExpenditure Data2'!AA40/1000</f>
        <v>593.44200000000001</v>
      </c>
      <c r="AA37" s="1746">
        <f>'IncomeandExpenditure Data2'!AB40/1000</f>
        <v>562.75400000000002</v>
      </c>
      <c r="AB37" s="1746">
        <f>'IncomeandExpenditure Data2'!AC40/1000</f>
        <v>533.47</v>
      </c>
      <c r="AC37" s="1746">
        <f>'IncomeandExpenditure Data2'!AD40/1000</f>
        <v>511.13</v>
      </c>
      <c r="AD37" s="1746">
        <f>'IncomeandExpenditure Data2'!AE40/1000</f>
        <v>533.05399999999997</v>
      </c>
      <c r="AE37" s="1746">
        <f>'IncomeandExpenditure Data2'!AF40/1000</f>
        <v>532.197</v>
      </c>
      <c r="AF37" s="1746">
        <f>'IncomeandExpenditure Data2'!AG40/1000</f>
        <v>494.89</v>
      </c>
      <c r="AG37" s="1746">
        <f>'IncomeandExpenditure Data2'!AH40/1000</f>
        <v>496.89</v>
      </c>
      <c r="AH37" s="1746">
        <f>'IncomeandExpenditure Data2'!AI40/1000</f>
        <v>496.892</v>
      </c>
      <c r="AI37" s="1746">
        <f>'IncomeandExpenditure Data2'!AJ40/1000</f>
        <v>493.89699999999999</v>
      </c>
      <c r="AJ37" s="448">
        <f t="shared" si="70"/>
        <v>6297.295000000001</v>
      </c>
      <c r="AN37" s="448">
        <v>4600.3158300000005</v>
      </c>
      <c r="AO37" s="1559">
        <v>3852.7910000000002</v>
      </c>
      <c r="AP37" s="1559">
        <v>4437.3789999999999</v>
      </c>
      <c r="AQ37" s="1559">
        <v>4462.8239999999996</v>
      </c>
      <c r="AR37" s="1559">
        <v>4444.88</v>
      </c>
      <c r="AS37" s="1559">
        <v>4454.3459999999995</v>
      </c>
      <c r="AU37" s="448">
        <v>4240.9759999999997</v>
      </c>
      <c r="AV37" s="1559">
        <v>4307.4960000000001</v>
      </c>
      <c r="AW37" s="1559">
        <v>4363.652</v>
      </c>
      <c r="AX37" s="1559">
        <v>4368.424</v>
      </c>
      <c r="AY37" s="1559">
        <v>4380.5010000000002</v>
      </c>
      <c r="AZ37" s="1559">
        <v>4382.9579999999996</v>
      </c>
      <c r="BB37" s="448">
        <v>-0.6</v>
      </c>
      <c r="BC37" s="1559">
        <v>0</v>
      </c>
      <c r="BD37" s="1559">
        <v>0</v>
      </c>
      <c r="BE37" s="1559">
        <v>0</v>
      </c>
      <c r="BF37" s="1559">
        <v>0</v>
      </c>
      <c r="BG37" s="1559">
        <v>0</v>
      </c>
      <c r="BH37" s="448"/>
      <c r="BI37" s="448"/>
      <c r="BJ37" s="448"/>
      <c r="BK37" s="448"/>
      <c r="BL37" s="448"/>
      <c r="BM37" s="448"/>
      <c r="BN37" s="448"/>
      <c r="BO37" s="448"/>
    </row>
    <row r="38" spans="1:75">
      <c r="A38" s="1921" t="s">
        <v>767</v>
      </c>
      <c r="B38" s="700">
        <f t="shared" si="36"/>
        <v>201.70699999999999</v>
      </c>
      <c r="C38" s="700">
        <f t="shared" si="37"/>
        <v>220.45699999999999</v>
      </c>
      <c r="D38" s="343">
        <f t="shared" si="65"/>
        <v>18.75</v>
      </c>
      <c r="E38" s="343"/>
      <c r="F38" s="343">
        <f t="shared" si="66"/>
        <v>1210.2389999999998</v>
      </c>
      <c r="G38" s="343">
        <f t="shared" si="67"/>
        <v>1209.2840000000001</v>
      </c>
      <c r="H38" s="343">
        <f t="shared" si="68"/>
        <v>-0.95499999999969987</v>
      </c>
      <c r="I38" s="343"/>
      <c r="J38" s="1746">
        <f>'IncomeandExpenditure Data2'!K41/1000</f>
        <v>91.254000000000005</v>
      </c>
      <c r="K38" s="1746">
        <f>'IncomeandExpenditure Data2'!L41/1000</f>
        <v>129.203</v>
      </c>
      <c r="L38" s="1746">
        <f>'IncomeandExpenditure Data2'!M41/1000</f>
        <v>101.133</v>
      </c>
      <c r="M38" s="1746">
        <f>'IncomeandExpenditure Data2'!N41/1000</f>
        <v>98.632999999999996</v>
      </c>
      <c r="N38" s="1746">
        <f>'IncomeandExpenditure Data2'!O41/1000</f>
        <v>98.632999999999996</v>
      </c>
      <c r="O38" s="1746">
        <f>'IncomeandExpenditure Data2'!P41/1000</f>
        <v>98.632999999999996</v>
      </c>
      <c r="P38" s="1746">
        <f>'IncomeandExpenditure Data2'!Q41/1000</f>
        <v>98.632999999999996</v>
      </c>
      <c r="Q38" s="1746">
        <f>'IncomeandExpenditure Data2'!R41/1000</f>
        <v>98.632999999999996</v>
      </c>
      <c r="R38" s="1746">
        <f>'IncomeandExpenditure Data2'!S41/1000</f>
        <v>98.632999999999996</v>
      </c>
      <c r="S38" s="1746">
        <f>'IncomeandExpenditure Data2'!T41/1000</f>
        <v>98.632999999999996</v>
      </c>
      <c r="T38" s="1746">
        <f>'IncomeandExpenditure Data2'!U41/1000</f>
        <v>98.632999999999996</v>
      </c>
      <c r="U38" s="1746">
        <f>'IncomeandExpenditure Data2'!V41/1000</f>
        <v>98.63</v>
      </c>
      <c r="V38" s="448">
        <f t="shared" si="69"/>
        <v>1209.2840000000001</v>
      </c>
      <c r="W38" s="448"/>
      <c r="X38" s="1746">
        <f>'IncomeandExpenditure Data2'!Y41/1000</f>
        <v>100.85299999999999</v>
      </c>
      <c r="Y38" s="1746">
        <f>'IncomeandExpenditure Data2'!Z41/1000</f>
        <v>100.854</v>
      </c>
      <c r="Z38" s="1746">
        <f>'IncomeandExpenditure Data2'!AA41/1000</f>
        <v>100.85299999999999</v>
      </c>
      <c r="AA38" s="1746">
        <f>'IncomeandExpenditure Data2'!AB41/1000</f>
        <v>100.85299999999999</v>
      </c>
      <c r="AB38" s="1746">
        <f>'IncomeandExpenditure Data2'!AC41/1000</f>
        <v>100.85299999999999</v>
      </c>
      <c r="AC38" s="1746">
        <f>'IncomeandExpenditure Data2'!AD41/1000</f>
        <v>100.85299999999999</v>
      </c>
      <c r="AD38" s="1746">
        <f>'IncomeandExpenditure Data2'!AE41/1000</f>
        <v>100.85299999999999</v>
      </c>
      <c r="AE38" s="1746">
        <f>'IncomeandExpenditure Data2'!AF41/1000</f>
        <v>100.85299999999999</v>
      </c>
      <c r="AF38" s="1746">
        <f>'IncomeandExpenditure Data2'!AG41/1000</f>
        <v>100.85299999999999</v>
      </c>
      <c r="AG38" s="1746">
        <f>'IncomeandExpenditure Data2'!AH41/1000</f>
        <v>100.85299999999999</v>
      </c>
      <c r="AH38" s="1746">
        <f>'IncomeandExpenditure Data2'!AI41/1000</f>
        <v>100.85299999999999</v>
      </c>
      <c r="AI38" s="1746">
        <f>'IncomeandExpenditure Data2'!AJ41/1000</f>
        <v>100.855</v>
      </c>
      <c r="AJ38" s="448">
        <f t="shared" si="70"/>
        <v>1210.2389999999998</v>
      </c>
      <c r="AN38" s="448">
        <v>1498.6023600000001</v>
      </c>
      <c r="AO38" s="1559">
        <v>1547.2260000000001</v>
      </c>
      <c r="AP38" s="1559">
        <v>1429.2170000000001</v>
      </c>
      <c r="AQ38" s="1559">
        <v>1518.222</v>
      </c>
      <c r="AR38" s="1559">
        <v>1518.9369999999999</v>
      </c>
      <c r="AS38" s="1559">
        <v>1105.79</v>
      </c>
      <c r="AU38" s="448">
        <v>1470.0809999999999</v>
      </c>
      <c r="AV38" s="1559">
        <v>1471.9459999999999</v>
      </c>
      <c r="AW38" s="1559">
        <v>1453.374</v>
      </c>
      <c r="AX38" s="1559">
        <v>1454.3320000000001</v>
      </c>
      <c r="AY38" s="1559">
        <v>1454.932</v>
      </c>
      <c r="AZ38" s="1559">
        <v>1454.981</v>
      </c>
      <c r="BB38" s="448">
        <v>2.1259999999999999</v>
      </c>
      <c r="BC38" s="1559">
        <v>3.2530000000000001</v>
      </c>
      <c r="BD38" s="1559">
        <v>2.86</v>
      </c>
      <c r="BE38" s="1559">
        <v>2.86</v>
      </c>
      <c r="BF38" s="1559">
        <v>2.86</v>
      </c>
      <c r="BG38" s="1559">
        <v>3.617</v>
      </c>
      <c r="BH38" s="448"/>
      <c r="BI38" s="448">
        <v>2.86</v>
      </c>
      <c r="BJ38" s="448">
        <v>2.86</v>
      </c>
      <c r="BK38" s="448">
        <v>2.86</v>
      </c>
      <c r="BL38" s="448">
        <v>2.86</v>
      </c>
      <c r="BM38" s="448">
        <v>2.86</v>
      </c>
      <c r="BN38" s="448">
        <v>2.86</v>
      </c>
      <c r="BO38" s="448"/>
    </row>
    <row r="39" spans="1:75">
      <c r="A39" s="1921" t="s">
        <v>548</v>
      </c>
      <c r="B39" s="700">
        <f t="shared" si="36"/>
        <v>3499</v>
      </c>
      <c r="C39" s="700">
        <f t="shared" si="37"/>
        <v>3374.9740000000002</v>
      </c>
      <c r="D39" s="343">
        <f t="shared" si="65"/>
        <v>-124.02599999999984</v>
      </c>
      <c r="E39" s="343"/>
      <c r="F39" s="343">
        <f t="shared" si="66"/>
        <v>20853.006000000005</v>
      </c>
      <c r="G39" s="343">
        <f t="shared" si="67"/>
        <v>20296.552</v>
      </c>
      <c r="H39" s="343">
        <f t="shared" si="68"/>
        <v>-556.45400000000518</v>
      </c>
      <c r="I39" s="343"/>
      <c r="J39" s="1746">
        <f>'IncomeandExpenditure Data2'!K42/1000</f>
        <v>1688.0650000000001</v>
      </c>
      <c r="K39" s="1746">
        <f>'IncomeandExpenditure Data2'!L42/1000</f>
        <v>1686.9090000000001</v>
      </c>
      <c r="L39" s="1746">
        <f>'IncomeandExpenditure Data2'!M42/1000</f>
        <v>1762.472</v>
      </c>
      <c r="M39" s="1746">
        <f>'IncomeandExpenditure Data2'!N42/1000</f>
        <v>1647.46</v>
      </c>
      <c r="N39" s="1746">
        <f>'IncomeandExpenditure Data2'!O42/1000</f>
        <v>1609.7449999999999</v>
      </c>
      <c r="O39" s="1746">
        <f>'IncomeandExpenditure Data2'!P42/1000</f>
        <v>1572.627</v>
      </c>
      <c r="P39" s="1746">
        <f>'IncomeandExpenditure Data2'!Q42/1000</f>
        <v>1717.951</v>
      </c>
      <c r="Q39" s="1746">
        <f>'IncomeandExpenditure Data2'!R42/1000</f>
        <v>1731.3440000000001</v>
      </c>
      <c r="R39" s="1746">
        <f>'IncomeandExpenditure Data2'!S42/1000</f>
        <v>1715.943</v>
      </c>
      <c r="S39" s="1746">
        <f>'IncomeandExpenditure Data2'!T42/1000</f>
        <v>1713.7739999999999</v>
      </c>
      <c r="T39" s="1746">
        <f>'IncomeandExpenditure Data2'!U42/1000</f>
        <v>1705.4449999999999</v>
      </c>
      <c r="U39" s="1746">
        <f>'IncomeandExpenditure Data2'!V42/1000</f>
        <v>1744.817</v>
      </c>
      <c r="V39" s="448">
        <f t="shared" si="69"/>
        <v>20296.552</v>
      </c>
      <c r="W39" s="448"/>
      <c r="X39" s="1746">
        <f>'IncomeandExpenditure Data2'!Y42/1000</f>
        <v>1747</v>
      </c>
      <c r="Y39" s="1746">
        <f>'IncomeandExpenditure Data2'!Z42/1000</f>
        <v>1752</v>
      </c>
      <c r="Z39" s="2012">
        <f>'IncomeandExpenditure Data2'!AA42/1000</f>
        <v>1771</v>
      </c>
      <c r="AA39" s="1746">
        <f>'IncomeandExpenditure Data2'!AB42/1000</f>
        <v>1691.1110000000001</v>
      </c>
      <c r="AB39" s="1746">
        <f>'IncomeandExpenditure Data2'!AC42/1000</f>
        <v>1658.1110000000001</v>
      </c>
      <c r="AC39" s="1746">
        <f>'IncomeandExpenditure Data2'!AD42/1000</f>
        <v>1622.1120000000001</v>
      </c>
      <c r="AD39" s="1746">
        <f>'IncomeandExpenditure Data2'!AE42/1000</f>
        <v>1757.1120000000001</v>
      </c>
      <c r="AE39" s="1746">
        <f>'IncomeandExpenditure Data2'!AF42/1000</f>
        <v>1760.1110000000001</v>
      </c>
      <c r="AF39" s="1746">
        <f>'IncomeandExpenditure Data2'!AG42/1000</f>
        <v>1762.1120000000001</v>
      </c>
      <c r="AG39" s="1746">
        <f>'IncomeandExpenditure Data2'!AH42/1000</f>
        <v>1770.1120000000001</v>
      </c>
      <c r="AH39" s="1746">
        <f>'IncomeandExpenditure Data2'!AI42/1000</f>
        <v>1762.1110000000001</v>
      </c>
      <c r="AI39" s="1746">
        <f>'IncomeandExpenditure Data2'!AJ42/1000</f>
        <v>1800.114</v>
      </c>
      <c r="AJ39" s="448">
        <f t="shared" si="70"/>
        <v>20853.006000000005</v>
      </c>
      <c r="AN39" s="448">
        <v>645.76277000000005</v>
      </c>
      <c r="AO39" s="1559">
        <v>571.09</v>
      </c>
      <c r="AP39" s="1559">
        <v>637.16200000000003</v>
      </c>
      <c r="AQ39" s="1559">
        <v>626.64</v>
      </c>
      <c r="AR39" s="1559">
        <v>740.05499999999995</v>
      </c>
      <c r="AS39" s="1559">
        <v>737.90099999999995</v>
      </c>
      <c r="AU39" s="448">
        <v>655.875</v>
      </c>
      <c r="AV39" s="1559">
        <v>619.49099999999999</v>
      </c>
      <c r="AW39" s="1559">
        <v>637.49900000000002</v>
      </c>
      <c r="AX39" s="1559">
        <v>669.03800000000001</v>
      </c>
      <c r="AY39" s="1559">
        <v>857.84900000000005</v>
      </c>
      <c r="AZ39" s="1559">
        <v>823.90700000000004</v>
      </c>
      <c r="BB39" s="448">
        <v>149.24</v>
      </c>
      <c r="BC39" s="1559">
        <v>100.89100000000001</v>
      </c>
      <c r="BD39" s="1559">
        <v>137.93299999999999</v>
      </c>
      <c r="BE39" s="1559">
        <v>134.208</v>
      </c>
      <c r="BF39" s="1559">
        <v>263.892</v>
      </c>
      <c r="BG39" s="1559">
        <v>205.15799999999999</v>
      </c>
      <c r="BH39" s="448"/>
      <c r="BI39" s="448">
        <v>142.02799999999999</v>
      </c>
      <c r="BJ39" s="448">
        <v>98.248999999999995</v>
      </c>
      <c r="BK39" s="448">
        <v>135.47999999999999</v>
      </c>
      <c r="BL39" s="448">
        <v>129.637</v>
      </c>
      <c r="BM39" s="448">
        <v>291.56299999999999</v>
      </c>
      <c r="BN39" s="448">
        <v>188.31299999999999</v>
      </c>
      <c r="BO39" s="448"/>
    </row>
    <row r="40" spans="1:75">
      <c r="A40" s="1921" t="s">
        <v>1256</v>
      </c>
      <c r="B40" s="700">
        <f t="shared" si="36"/>
        <v>1049.076</v>
      </c>
      <c r="C40" s="700">
        <f t="shared" si="37"/>
        <v>1294.1390000000001</v>
      </c>
      <c r="D40" s="343">
        <f t="shared" si="65"/>
        <v>245.0630000000001</v>
      </c>
      <c r="E40" s="343"/>
      <c r="F40" s="343">
        <f t="shared" si="66"/>
        <v>6071.621000000001</v>
      </c>
      <c r="G40" s="343">
        <f t="shared" si="67"/>
        <v>5986.8640000000014</v>
      </c>
      <c r="H40" s="343">
        <f t="shared" si="68"/>
        <v>-84.756999999999607</v>
      </c>
      <c r="I40" s="343"/>
      <c r="J40" s="1746">
        <f>'IncomeandExpenditure Data2'!K43/1000</f>
        <v>656.04</v>
      </c>
      <c r="K40" s="1746">
        <f>'IncomeandExpenditure Data2'!L43/1000</f>
        <v>638.09900000000005</v>
      </c>
      <c r="L40" s="1746">
        <f>'IncomeandExpenditure Data2'!M43/1000</f>
        <v>527.82500000000005</v>
      </c>
      <c r="M40" s="1746">
        <f>'IncomeandExpenditure Data2'!N43/1000</f>
        <v>512.30200000000002</v>
      </c>
      <c r="N40" s="1746">
        <f>'IncomeandExpenditure Data2'!O43/1000</f>
        <v>475.02199999999999</v>
      </c>
      <c r="O40" s="1746">
        <f>'IncomeandExpenditure Data2'!P43/1000</f>
        <v>452.52199999999999</v>
      </c>
      <c r="P40" s="1746">
        <f>'IncomeandExpenditure Data2'!Q43/1000</f>
        <v>452.52199999999999</v>
      </c>
      <c r="Q40" s="1746">
        <f>'IncomeandExpenditure Data2'!R43/1000</f>
        <v>452.52199999999999</v>
      </c>
      <c r="R40" s="1746">
        <f>'IncomeandExpenditure Data2'!S43/1000</f>
        <v>455.00200000000001</v>
      </c>
      <c r="S40" s="1746">
        <f>'IncomeandExpenditure Data2'!T43/1000</f>
        <v>455.00200000000001</v>
      </c>
      <c r="T40" s="1746">
        <f>'IncomeandExpenditure Data2'!U43/1000</f>
        <v>455.00200000000001</v>
      </c>
      <c r="U40" s="1746">
        <f>'IncomeandExpenditure Data2'!V43/1000</f>
        <v>455.00400000000002</v>
      </c>
      <c r="V40" s="448">
        <f t="shared" si="69"/>
        <v>5986.8640000000014</v>
      </c>
      <c r="W40" s="448"/>
      <c r="X40" s="1746">
        <f>'IncomeandExpenditure Data2'!Y43/1000</f>
        <v>524.53800000000001</v>
      </c>
      <c r="Y40" s="1746">
        <f>'IncomeandExpenditure Data2'!Z43/1000</f>
        <v>524.53800000000001</v>
      </c>
      <c r="Z40" s="2012">
        <f>'IncomeandExpenditure Data2'!AA43/1000</f>
        <v>524.78300000000002</v>
      </c>
      <c r="AA40" s="1746">
        <f>'IncomeandExpenditure Data2'!AB43/1000</f>
        <v>499.75200000000001</v>
      </c>
      <c r="AB40" s="1746">
        <f>'IncomeandExpenditure Data2'!AC43/1000</f>
        <v>499.75099999999998</v>
      </c>
      <c r="AC40" s="1746">
        <f>'IncomeandExpenditure Data2'!AD43/1000</f>
        <v>499.75099999999998</v>
      </c>
      <c r="AD40" s="1746">
        <f>'IncomeandExpenditure Data2'!AE43/1000</f>
        <v>499.75099999999998</v>
      </c>
      <c r="AE40" s="1746">
        <f>'IncomeandExpenditure Data2'!AF43/1000</f>
        <v>499.75099999999998</v>
      </c>
      <c r="AF40" s="1746">
        <f>'IncomeandExpenditure Data2'!AG43/1000</f>
        <v>499.75099999999998</v>
      </c>
      <c r="AG40" s="1746">
        <f>'IncomeandExpenditure Data2'!AH43/1000</f>
        <v>499.75099999999998</v>
      </c>
      <c r="AH40" s="1746">
        <f>'IncomeandExpenditure Data2'!AI43/1000</f>
        <v>499.75099999999998</v>
      </c>
      <c r="AI40" s="1746">
        <f>'IncomeandExpenditure Data2'!AJ43/1000</f>
        <v>499.75299999999999</v>
      </c>
      <c r="AJ40" s="448">
        <f t="shared" si="70"/>
        <v>6071.621000000001</v>
      </c>
      <c r="AN40" s="448">
        <v>91.044780000000003</v>
      </c>
      <c r="AO40" s="1559">
        <v>92.478999999999999</v>
      </c>
      <c r="AP40" s="1559">
        <v>96.364999999999995</v>
      </c>
      <c r="AQ40" s="1559">
        <v>96.076999999999998</v>
      </c>
      <c r="AR40" s="1559">
        <v>96.028999999999996</v>
      </c>
      <c r="AS40" s="1559">
        <v>96.707999999999998</v>
      </c>
      <c r="AU40" s="448">
        <v>100.7</v>
      </c>
      <c r="AV40" s="1559">
        <v>100.529</v>
      </c>
      <c r="AW40" s="1559">
        <v>100.529</v>
      </c>
      <c r="AX40" s="1559">
        <v>100.542</v>
      </c>
      <c r="AY40" s="1559">
        <v>100.529</v>
      </c>
      <c r="AZ40" s="1559">
        <v>100.857</v>
      </c>
      <c r="BB40" s="448">
        <v>0.66900000000000004</v>
      </c>
      <c r="BC40" s="1559">
        <v>0.71299999999999997</v>
      </c>
      <c r="BD40" s="1559">
        <v>0.245</v>
      </c>
      <c r="BE40" s="1559">
        <v>0.245</v>
      </c>
      <c r="BF40" s="1559">
        <v>0.245</v>
      </c>
      <c r="BG40" s="1559">
        <v>0.245</v>
      </c>
      <c r="BH40" s="448"/>
      <c r="BI40" s="448">
        <v>0.245</v>
      </c>
      <c r="BJ40" s="448">
        <v>0.245</v>
      </c>
      <c r="BK40" s="448">
        <v>0.245</v>
      </c>
      <c r="BL40" s="448">
        <v>0.245</v>
      </c>
      <c r="BM40" s="448">
        <v>0.245</v>
      </c>
      <c r="BN40" s="448">
        <v>0.245</v>
      </c>
      <c r="BO40" s="448"/>
    </row>
    <row r="41" spans="1:75">
      <c r="A41" s="1921" t="s">
        <v>1300</v>
      </c>
      <c r="B41" s="700">
        <f t="shared" si="36"/>
        <v>438.01099999999997</v>
      </c>
      <c r="C41" s="700">
        <f t="shared" si="37"/>
        <v>733.36799999999994</v>
      </c>
      <c r="D41" s="343">
        <f t="shared" ref="D41" si="71">C41-B41</f>
        <v>295.35699999999997</v>
      </c>
      <c r="E41" s="343"/>
      <c r="F41" s="343">
        <f t="shared" ref="F41" si="72">SUM(X41:AI41)</f>
        <v>2533.0730000000003</v>
      </c>
      <c r="G41" s="343">
        <f t="shared" ref="G41" si="73">SUM(J41:U41)</f>
        <v>3380.6419999999998</v>
      </c>
      <c r="H41" s="343">
        <f t="shared" ref="H41" si="74">G41-F41</f>
        <v>847.56899999999951</v>
      </c>
      <c r="I41" s="343"/>
      <c r="J41" s="1746">
        <f>'IncomeandExpenditure Data2'!K44/1000</f>
        <v>66.236999999999995</v>
      </c>
      <c r="K41" s="1746">
        <f>'IncomeandExpenditure Data2'!L44/1000</f>
        <v>667.13099999999997</v>
      </c>
      <c r="L41" s="1746">
        <f>'IncomeandExpenditure Data2'!M44/1000</f>
        <v>1125.579</v>
      </c>
      <c r="M41" s="1746">
        <f>'IncomeandExpenditure Data2'!N44/1000</f>
        <v>1116.6379999999999</v>
      </c>
      <c r="N41" s="1746">
        <f>'IncomeandExpenditure Data2'!O44/1000</f>
        <v>68.207999999999998</v>
      </c>
      <c r="O41" s="1746">
        <f>'IncomeandExpenditure Data2'!P44/1000</f>
        <v>68.209000000000003</v>
      </c>
      <c r="P41" s="1746">
        <f>'IncomeandExpenditure Data2'!Q44/1000</f>
        <v>66.207999999999998</v>
      </c>
      <c r="Q41" s="1746">
        <f>'IncomeandExpenditure Data2'!R44/1000</f>
        <v>66.597999999999999</v>
      </c>
      <c r="R41" s="1746">
        <f>'IncomeandExpenditure Data2'!S44/1000</f>
        <v>51.808999999999997</v>
      </c>
      <c r="S41" s="1746">
        <f>'IncomeandExpenditure Data2'!T44/1000</f>
        <v>28.007999999999999</v>
      </c>
      <c r="T41" s="1746">
        <f>'IncomeandExpenditure Data2'!U44/1000</f>
        <v>28.007999999999999</v>
      </c>
      <c r="U41" s="1746">
        <f>'IncomeandExpenditure Data2'!V44/1000</f>
        <v>28.009</v>
      </c>
      <c r="V41" s="448">
        <f t="shared" si="69"/>
        <v>3380.6419999999998</v>
      </c>
      <c r="W41" s="448"/>
      <c r="X41" s="1746">
        <f>'IncomeandExpenditure Data2'!Y44/1000</f>
        <v>228.505</v>
      </c>
      <c r="Y41" s="1746">
        <f>'IncomeandExpenditure Data2'!Z44/1000</f>
        <v>209.506</v>
      </c>
      <c r="Z41" s="1746">
        <f>'IncomeandExpenditure Data2'!AA44/1000</f>
        <v>209.506</v>
      </c>
      <c r="AA41" s="1746">
        <f>'IncomeandExpenditure Data2'!AB44/1000</f>
        <v>209.505</v>
      </c>
      <c r="AB41" s="1746">
        <f>'IncomeandExpenditure Data2'!AC44/1000</f>
        <v>209.506</v>
      </c>
      <c r="AC41" s="1746">
        <f>'IncomeandExpenditure Data2'!AD44/1000</f>
        <v>209.50700000000001</v>
      </c>
      <c r="AD41" s="1746">
        <f>'IncomeandExpenditure Data2'!AE44/1000</f>
        <v>209.506</v>
      </c>
      <c r="AE41" s="1746">
        <f>'IncomeandExpenditure Data2'!AF44/1000</f>
        <v>209.506</v>
      </c>
      <c r="AF41" s="1746">
        <f>'IncomeandExpenditure Data2'!AG44/1000</f>
        <v>209.50700000000001</v>
      </c>
      <c r="AG41" s="1746">
        <f>'IncomeandExpenditure Data2'!AH44/1000</f>
        <v>209.506</v>
      </c>
      <c r="AH41" s="1746">
        <f>'IncomeandExpenditure Data2'!AI44/1000</f>
        <v>209.506</v>
      </c>
      <c r="AI41" s="1746">
        <f>'IncomeandExpenditure Data2'!AJ44/1000</f>
        <v>209.50700000000001</v>
      </c>
      <c r="AJ41" s="448">
        <f t="shared" si="70"/>
        <v>2533.0730000000003</v>
      </c>
      <c r="AN41" s="448"/>
      <c r="AO41" s="1559"/>
      <c r="AP41" s="1559"/>
      <c r="AQ41" s="1559"/>
      <c r="AR41" s="1559"/>
      <c r="AS41" s="1559"/>
      <c r="AU41" s="448"/>
      <c r="AV41" s="1559"/>
      <c r="AW41" s="1559"/>
      <c r="AX41" s="1559"/>
      <c r="AY41" s="1559"/>
      <c r="AZ41" s="1559"/>
      <c r="BB41" s="448"/>
      <c r="BC41" s="1559"/>
      <c r="BD41" s="1559"/>
      <c r="BE41" s="1559"/>
      <c r="BF41" s="1559"/>
      <c r="BG41" s="1559"/>
      <c r="BH41" s="448"/>
      <c r="BI41" s="448"/>
      <c r="BJ41" s="448"/>
      <c r="BK41" s="448"/>
      <c r="BL41" s="448"/>
      <c r="BM41" s="448"/>
      <c r="BN41" s="448"/>
      <c r="BO41" s="448"/>
    </row>
    <row r="42" spans="1:75">
      <c r="A42" s="1921" t="s">
        <v>769</v>
      </c>
      <c r="B42" s="700">
        <f t="shared" si="36"/>
        <v>-0.39499999999999602</v>
      </c>
      <c r="C42" s="700">
        <f t="shared" si="37"/>
        <v>216.55500000000001</v>
      </c>
      <c r="D42" s="343">
        <f t="shared" si="65"/>
        <v>216.95</v>
      </c>
      <c r="E42" s="343"/>
      <c r="F42" s="343">
        <f t="shared" si="66"/>
        <v>-0.42399999999999616</v>
      </c>
      <c r="G42" s="343">
        <f t="shared" si="67"/>
        <v>578.86599999999999</v>
      </c>
      <c r="H42" s="343">
        <f t="shared" si="68"/>
        <v>579.29</v>
      </c>
      <c r="I42" s="343"/>
      <c r="J42" s="1746">
        <f>'IncomeandExpenditure Data2'!K45/1000</f>
        <v>116.687</v>
      </c>
      <c r="K42" s="1746">
        <f>'IncomeandExpenditure Data2'!L45/1000</f>
        <v>99.867999999999995</v>
      </c>
      <c r="L42" s="1746">
        <f>'IncomeandExpenditure Data2'!M45/1000</f>
        <v>18.314</v>
      </c>
      <c r="M42" s="1746">
        <f>'IncomeandExpenditure Data2'!N45/1000</f>
        <v>14.435</v>
      </c>
      <c r="N42" s="1746">
        <f>'IncomeandExpenditure Data2'!O45/1000</f>
        <v>48.085000000000001</v>
      </c>
      <c r="O42" s="1746">
        <f>'IncomeandExpenditure Data2'!P45/1000</f>
        <v>50.524999999999999</v>
      </c>
      <c r="P42" s="1746">
        <f>'IncomeandExpenditure Data2'!Q45/1000</f>
        <v>50.869</v>
      </c>
      <c r="Q42" s="1746">
        <f>'IncomeandExpenditure Data2'!R45/1000</f>
        <v>37.119999999999997</v>
      </c>
      <c r="R42" s="1746">
        <f>'IncomeandExpenditure Data2'!S45/1000</f>
        <v>24.238</v>
      </c>
      <c r="S42" s="1746">
        <f>'IncomeandExpenditure Data2'!T45/1000</f>
        <v>64.447999999999993</v>
      </c>
      <c r="T42" s="1935">
        <f>'IncomeandExpenditure Data2'!U45/1000</f>
        <v>37.625999999999998</v>
      </c>
      <c r="U42" s="1935">
        <f>'IncomeandExpenditure Data2'!V45/1000</f>
        <v>16.651</v>
      </c>
      <c r="V42" s="448">
        <f t="shared" si="69"/>
        <v>578.86599999999999</v>
      </c>
      <c r="W42" s="448"/>
      <c r="X42" s="1746">
        <f>'IncomeandExpenditure Data2'!Y45/1000</f>
        <v>-69.5</v>
      </c>
      <c r="Y42" s="2012">
        <f>'IncomeandExpenditure Data2'!Z45/1000</f>
        <v>69.105000000000004</v>
      </c>
      <c r="Z42" s="2012">
        <f>'IncomeandExpenditure Data2'!AA45/1000</f>
        <v>1.0429999999999999</v>
      </c>
      <c r="AA42" s="1746">
        <f>'IncomeandExpenditure Data2'!AB45/1000</f>
        <v>-0.47699999999999998</v>
      </c>
      <c r="AB42" s="1746">
        <f>'IncomeandExpenditure Data2'!AC45/1000</f>
        <v>5.6000000000000001E-2</v>
      </c>
      <c r="AC42" s="1746">
        <f>'IncomeandExpenditure Data2'!AD45/1000</f>
        <v>-0.26</v>
      </c>
      <c r="AD42" s="1746">
        <f>'IncomeandExpenditure Data2'!AE45/1000</f>
        <v>0.59499999999999997</v>
      </c>
      <c r="AE42" s="1746">
        <f>'IncomeandExpenditure Data2'!AF45/1000</f>
        <v>0.27200000000000002</v>
      </c>
      <c r="AF42" s="1746">
        <f>'IncomeandExpenditure Data2'!AG45/1000</f>
        <v>-0.43099999999999999</v>
      </c>
      <c r="AG42" s="1746">
        <f>'IncomeandExpenditure Data2'!AH45/1000</f>
        <v>-0.36799999999999999</v>
      </c>
      <c r="AH42" s="1746">
        <f>'IncomeandExpenditure Data2'!AI45/1000</f>
        <v>-0.44400000000000001</v>
      </c>
      <c r="AI42" s="1746">
        <f>'IncomeandExpenditure Data2'!AJ45/1000</f>
        <v>-1.4999999999999999E-2</v>
      </c>
      <c r="AJ42" s="448">
        <f t="shared" si="70"/>
        <v>-0.42399999999999616</v>
      </c>
      <c r="AN42" s="448">
        <v>1764.4960900000001</v>
      </c>
      <c r="AO42" s="1559">
        <v>1820.414</v>
      </c>
      <c r="AP42" s="1559">
        <v>1851.85</v>
      </c>
      <c r="AQ42" s="1559">
        <v>1811.989</v>
      </c>
      <c r="AR42" s="1559">
        <v>1790.5989999999999</v>
      </c>
      <c r="AS42" s="1559">
        <v>1829.55</v>
      </c>
      <c r="AU42" s="448">
        <v>1711.27</v>
      </c>
      <c r="AV42" s="1559">
        <v>1678.2149999999999</v>
      </c>
      <c r="AW42" s="1559">
        <v>1741.0340000000001</v>
      </c>
      <c r="AX42" s="1559">
        <v>1746.0550000000001</v>
      </c>
      <c r="AY42" s="1559">
        <v>1765.11</v>
      </c>
      <c r="AZ42" s="1559">
        <v>1467.365</v>
      </c>
      <c r="BB42" s="448">
        <v>95.034999999999997</v>
      </c>
      <c r="BC42" s="1559">
        <v>90.756</v>
      </c>
      <c r="BD42" s="1559">
        <v>92.507999999999996</v>
      </c>
      <c r="BE42" s="1559">
        <v>99.951999999999998</v>
      </c>
      <c r="BF42" s="1559">
        <v>80.206000000000003</v>
      </c>
      <c r="BG42" s="1559">
        <v>41.444000000000003</v>
      </c>
      <c r="BH42" s="448"/>
      <c r="BI42" s="448">
        <v>94.010999999999996</v>
      </c>
      <c r="BJ42" s="448">
        <v>85.944999999999993</v>
      </c>
      <c r="BK42" s="448">
        <v>93.492999999999995</v>
      </c>
      <c r="BL42" s="448">
        <v>120.57</v>
      </c>
      <c r="BM42" s="448">
        <v>112.482</v>
      </c>
      <c r="BN42" s="448">
        <v>86.774000000000001</v>
      </c>
      <c r="BO42" s="448"/>
    </row>
    <row r="43" spans="1:75">
      <c r="A43" s="1921" t="s">
        <v>1257</v>
      </c>
      <c r="B43" s="700">
        <f t="shared" si="36"/>
        <v>3212.85</v>
      </c>
      <c r="C43" s="700">
        <f t="shared" si="37"/>
        <v>3212.55</v>
      </c>
      <c r="D43" s="343">
        <f t="shared" si="65"/>
        <v>-0.29999999999972715</v>
      </c>
      <c r="E43" s="343"/>
      <c r="F43" s="343">
        <f t="shared" si="66"/>
        <v>19277.099999999995</v>
      </c>
      <c r="G43" s="343">
        <f t="shared" si="67"/>
        <v>19276.809999999998</v>
      </c>
      <c r="H43" s="343">
        <f t="shared" si="68"/>
        <v>-0.28999999999723514</v>
      </c>
      <c r="I43" s="343"/>
      <c r="J43" s="1746">
        <f>'IncomeandExpenditure Data2'!K46/1000</f>
        <v>1606.2750000000001</v>
      </c>
      <c r="K43" s="1746">
        <f>'IncomeandExpenditure Data2'!L46/1000</f>
        <v>1606.2750000000001</v>
      </c>
      <c r="L43" s="1746">
        <f>'IncomeandExpenditure Data2'!M46/1000</f>
        <v>1606.4259999999999</v>
      </c>
      <c r="M43" s="1746">
        <f>'IncomeandExpenditure Data2'!N46/1000</f>
        <v>1606.4259999999999</v>
      </c>
      <c r="N43" s="1746">
        <f>'IncomeandExpenditure Data2'!O46/1000</f>
        <v>1606.4259999999999</v>
      </c>
      <c r="O43" s="1746">
        <f>'IncomeandExpenditure Data2'!P46/1000</f>
        <v>1606.4259999999999</v>
      </c>
      <c r="P43" s="1746">
        <f>'IncomeandExpenditure Data2'!Q46/1000</f>
        <v>1606.4259999999999</v>
      </c>
      <c r="Q43" s="1746">
        <f>'IncomeandExpenditure Data2'!R46/1000</f>
        <v>1606.4259999999999</v>
      </c>
      <c r="R43" s="1746">
        <f>'IncomeandExpenditure Data2'!S46/1000</f>
        <v>1606.4259999999999</v>
      </c>
      <c r="S43" s="1746">
        <f>'IncomeandExpenditure Data2'!T46/1000</f>
        <v>1606.4259999999999</v>
      </c>
      <c r="T43" s="1746">
        <f>'IncomeandExpenditure Data2'!U46/1000</f>
        <v>1606.4259999999999</v>
      </c>
      <c r="U43" s="1746">
        <f>'IncomeandExpenditure Data2'!V46/1000</f>
        <v>1606.4259999999999</v>
      </c>
      <c r="V43" s="448">
        <f t="shared" si="69"/>
        <v>19276.809999999998</v>
      </c>
      <c r="W43" s="448"/>
      <c r="X43" s="1746">
        <f>'IncomeandExpenditure Data2'!Y46/1000</f>
        <v>1606.425</v>
      </c>
      <c r="Y43" s="1746">
        <f>'IncomeandExpenditure Data2'!Z46/1000</f>
        <v>1606.425</v>
      </c>
      <c r="Z43" s="1746">
        <f>'IncomeandExpenditure Data2'!AA46/1000</f>
        <v>1606.425</v>
      </c>
      <c r="AA43" s="1746">
        <f>'IncomeandExpenditure Data2'!AB46/1000</f>
        <v>1606.425</v>
      </c>
      <c r="AB43" s="1746">
        <f>'IncomeandExpenditure Data2'!AC46/1000</f>
        <v>1606.425</v>
      </c>
      <c r="AC43" s="1746">
        <f>'IncomeandExpenditure Data2'!AD46/1000</f>
        <v>1606.425</v>
      </c>
      <c r="AD43" s="1746">
        <f>'IncomeandExpenditure Data2'!AE46/1000</f>
        <v>1606.425</v>
      </c>
      <c r="AE43" s="1746">
        <f>'IncomeandExpenditure Data2'!AF46/1000</f>
        <v>1606.425</v>
      </c>
      <c r="AF43" s="1746">
        <f>'IncomeandExpenditure Data2'!AG46/1000</f>
        <v>1606.425</v>
      </c>
      <c r="AG43" s="1746">
        <f>'IncomeandExpenditure Data2'!AH46/1000</f>
        <v>1606.425</v>
      </c>
      <c r="AH43" s="1746">
        <f>'IncomeandExpenditure Data2'!AI46/1000</f>
        <v>1606.425</v>
      </c>
      <c r="AI43" s="1746">
        <f>'IncomeandExpenditure Data2'!AJ46/1000</f>
        <v>1606.425</v>
      </c>
      <c r="AJ43" s="448">
        <f t="shared" si="70"/>
        <v>19277.099999999995</v>
      </c>
      <c r="AN43" s="448">
        <v>918.45530000000008</v>
      </c>
      <c r="AO43" s="1559">
        <v>342.24099999999999</v>
      </c>
      <c r="AP43" s="1559">
        <v>1046.587</v>
      </c>
      <c r="AQ43" s="1559">
        <v>976.76900000000001</v>
      </c>
      <c r="AR43" s="1559">
        <v>1095.309</v>
      </c>
      <c r="AS43" s="1559">
        <v>1103.559</v>
      </c>
      <c r="AU43" s="448">
        <v>1004.7809999999999</v>
      </c>
      <c r="AV43" s="1559">
        <v>1025.1120000000001</v>
      </c>
      <c r="AW43" s="1559">
        <v>1100.8789999999999</v>
      </c>
      <c r="AX43" s="1559">
        <v>1055.9770000000001</v>
      </c>
      <c r="AY43" s="1559">
        <v>1100.1759999999999</v>
      </c>
      <c r="AZ43" s="1559">
        <v>1228.482</v>
      </c>
      <c r="BB43" s="448">
        <v>560.48699999999997</v>
      </c>
      <c r="BC43" s="1559">
        <v>-44.1</v>
      </c>
      <c r="BD43" s="1559">
        <v>752.98599999999999</v>
      </c>
      <c r="BE43" s="1559">
        <v>679.05799999999999</v>
      </c>
      <c r="BF43" s="1559">
        <v>793.65800000000002</v>
      </c>
      <c r="BG43" s="1559">
        <v>793.43</v>
      </c>
      <c r="BH43" s="448"/>
      <c r="BI43" s="448">
        <v>652.29300000000001</v>
      </c>
      <c r="BJ43" s="448">
        <v>673.85699999999997</v>
      </c>
      <c r="BK43" s="448">
        <v>749.62400000000002</v>
      </c>
      <c r="BL43" s="448">
        <v>704.98400000000004</v>
      </c>
      <c r="BM43" s="448">
        <v>749.72900000000004</v>
      </c>
      <c r="BN43" s="448">
        <v>873.18299999999999</v>
      </c>
      <c r="BO43" s="448"/>
    </row>
    <row r="44" spans="1:75">
      <c r="A44" s="1921" t="s">
        <v>768</v>
      </c>
      <c r="B44" s="700">
        <f t="shared" si="36"/>
        <v>690.12199999999996</v>
      </c>
      <c r="C44" s="700">
        <f t="shared" si="37"/>
        <v>583.00400000000002</v>
      </c>
      <c r="D44" s="343">
        <f t="shared" si="65"/>
        <v>-107.11799999999994</v>
      </c>
      <c r="E44" s="343"/>
      <c r="F44" s="343">
        <f t="shared" si="66"/>
        <v>4140.7339999999995</v>
      </c>
      <c r="G44" s="343">
        <f t="shared" si="67"/>
        <v>3927.8999999999996</v>
      </c>
      <c r="H44" s="343">
        <f t="shared" si="68"/>
        <v>-212.83399999999983</v>
      </c>
      <c r="I44" s="343"/>
      <c r="J44" s="1746">
        <f>'IncomeandExpenditure Data2'!K47/1000</f>
        <v>343.08100000000002</v>
      </c>
      <c r="K44" s="1746">
        <f>'IncomeandExpenditure Data2'!L47/1000</f>
        <v>239.923</v>
      </c>
      <c r="L44" s="1746">
        <f>'IncomeandExpenditure Data2'!M47/1000</f>
        <v>327.02800000000002</v>
      </c>
      <c r="M44" s="1746">
        <f>'IncomeandExpenditure Data2'!N47/1000</f>
        <v>330.15300000000002</v>
      </c>
      <c r="N44" s="1746">
        <f>'IncomeandExpenditure Data2'!O47/1000</f>
        <v>331.56299999999999</v>
      </c>
      <c r="O44" s="1746">
        <f>'IncomeandExpenditure Data2'!P47/1000</f>
        <v>331.08600000000001</v>
      </c>
      <c r="P44" s="1746">
        <f>'IncomeandExpenditure Data2'!Q47/1000</f>
        <v>374.28100000000001</v>
      </c>
      <c r="Q44" s="1746">
        <f>'IncomeandExpenditure Data2'!R47/1000</f>
        <v>329.00099999999998</v>
      </c>
      <c r="R44" s="1746">
        <f>'IncomeandExpenditure Data2'!S47/1000</f>
        <v>327.90100000000001</v>
      </c>
      <c r="S44" s="1746">
        <f>'IncomeandExpenditure Data2'!T47/1000</f>
        <v>330.596</v>
      </c>
      <c r="T44" s="1746">
        <f>'IncomeandExpenditure Data2'!U47/1000</f>
        <v>327.48</v>
      </c>
      <c r="U44" s="1746">
        <f>'IncomeandExpenditure Data2'!V47/1000</f>
        <v>335.80700000000002</v>
      </c>
      <c r="V44" s="448">
        <f t="shared" si="69"/>
        <v>3927.8999999999996</v>
      </c>
      <c r="W44" s="448"/>
      <c r="X44" s="1746">
        <f>'IncomeandExpenditure Data2'!Y47/1000</f>
        <v>345.06099999999998</v>
      </c>
      <c r="Y44" s="1746">
        <f>'IncomeandExpenditure Data2'!Z47/1000</f>
        <v>345.06099999999998</v>
      </c>
      <c r="Z44" s="1935">
        <f>'IncomeandExpenditure Data2'!AA47/1000</f>
        <v>345.06200000000001</v>
      </c>
      <c r="AA44" s="1746">
        <f>'IncomeandExpenditure Data2'!AB47/1000</f>
        <v>345.06200000000001</v>
      </c>
      <c r="AB44" s="1746">
        <f>'IncomeandExpenditure Data2'!AC47/1000</f>
        <v>345.06200000000001</v>
      </c>
      <c r="AC44" s="1746">
        <f>'IncomeandExpenditure Data2'!AD47/1000</f>
        <v>345.06200000000001</v>
      </c>
      <c r="AD44" s="1746">
        <f>'IncomeandExpenditure Data2'!AE47/1000</f>
        <v>345.06200000000001</v>
      </c>
      <c r="AE44" s="1746">
        <f>'IncomeandExpenditure Data2'!AF47/1000</f>
        <v>345.06200000000001</v>
      </c>
      <c r="AF44" s="1746">
        <f>'IncomeandExpenditure Data2'!AG47/1000</f>
        <v>345.06200000000001</v>
      </c>
      <c r="AG44" s="1746">
        <f>'IncomeandExpenditure Data2'!AH47/1000</f>
        <v>345.06200000000001</v>
      </c>
      <c r="AH44" s="1746">
        <f>'IncomeandExpenditure Data2'!AI47/1000</f>
        <v>345.06200000000001</v>
      </c>
      <c r="AI44" s="1746">
        <f>'IncomeandExpenditure Data2'!AJ47/1000</f>
        <v>345.05399999999997</v>
      </c>
      <c r="AJ44" s="448">
        <f t="shared" si="70"/>
        <v>4140.7339999999995</v>
      </c>
      <c r="AN44" s="448">
        <v>884.00047999999992</v>
      </c>
      <c r="AO44" s="1559">
        <v>884.02099999999996</v>
      </c>
      <c r="AP44" s="1559">
        <v>884.01</v>
      </c>
      <c r="AQ44" s="1559">
        <v>884.01</v>
      </c>
      <c r="AR44" s="1559">
        <v>884.01</v>
      </c>
      <c r="AS44" s="1559">
        <v>884.01</v>
      </c>
      <c r="AU44" s="448">
        <v>884.01</v>
      </c>
      <c r="AV44" s="1559">
        <v>884.01</v>
      </c>
      <c r="AW44" s="1559">
        <v>884.01</v>
      </c>
      <c r="AX44" s="1559">
        <v>884.01</v>
      </c>
      <c r="AY44" s="1559">
        <v>884.01</v>
      </c>
      <c r="AZ44" s="1559">
        <v>884.01</v>
      </c>
      <c r="BB44" s="448"/>
      <c r="BC44" s="1559">
        <v>0</v>
      </c>
      <c r="BD44" s="1559">
        <v>0</v>
      </c>
      <c r="BE44" s="1559">
        <v>0</v>
      </c>
      <c r="BF44" s="1559">
        <v>0</v>
      </c>
      <c r="BG44" s="1559">
        <v>0</v>
      </c>
      <c r="BH44" s="448"/>
      <c r="BI44" s="448"/>
      <c r="BJ44" s="448"/>
      <c r="BK44" s="448"/>
      <c r="BL44" s="448"/>
      <c r="BM44" s="448"/>
      <c r="BN44" s="448"/>
      <c r="BO44" s="448"/>
    </row>
    <row r="45" spans="1:75">
      <c r="A45" s="1921" t="s">
        <v>764</v>
      </c>
      <c r="B45" s="700">
        <f t="shared" si="36"/>
        <v>1395.5409999999999</v>
      </c>
      <c r="C45" s="700">
        <f t="shared" si="37"/>
        <v>1932.4659999999999</v>
      </c>
      <c r="D45" s="343">
        <f t="shared" si="65"/>
        <v>536.92499999999995</v>
      </c>
      <c r="E45" s="343"/>
      <c r="F45" s="343">
        <f t="shared" si="66"/>
        <v>8373.2360000000008</v>
      </c>
      <c r="G45" s="343">
        <f t="shared" si="67"/>
        <v>8763.1200000000008</v>
      </c>
      <c r="H45" s="343">
        <f t="shared" si="68"/>
        <v>389.88400000000001</v>
      </c>
      <c r="I45" s="343"/>
      <c r="J45" s="1746">
        <f>'IncomeandExpenditure Data2'!K48/1000</f>
        <v>845.65</v>
      </c>
      <c r="K45" s="1746">
        <f>'IncomeandExpenditure Data2'!L48/1000</f>
        <v>1086.816</v>
      </c>
      <c r="L45" s="1746">
        <f>'IncomeandExpenditure Data2'!M48/1000</f>
        <v>666.45</v>
      </c>
      <c r="M45" s="1746">
        <f>'IncomeandExpenditure Data2'!N48/1000</f>
        <v>665.7</v>
      </c>
      <c r="N45" s="1746">
        <f>'IncomeandExpenditure Data2'!O48/1000</f>
        <v>665.7</v>
      </c>
      <c r="O45" s="1746">
        <f>'IncomeandExpenditure Data2'!P48/1000</f>
        <v>682.87800000000004</v>
      </c>
      <c r="P45" s="1746">
        <f>'IncomeandExpenditure Data2'!Q48/1000</f>
        <v>686.67200000000003</v>
      </c>
      <c r="Q45" s="1746">
        <f>'IncomeandExpenditure Data2'!R48/1000</f>
        <v>686.67200000000003</v>
      </c>
      <c r="R45" s="1746">
        <f>'IncomeandExpenditure Data2'!S48/1000</f>
        <v>694.96600000000001</v>
      </c>
      <c r="S45" s="1746">
        <f>'IncomeandExpenditure Data2'!T48/1000</f>
        <v>691.06200000000001</v>
      </c>
      <c r="T45" s="1746">
        <f>'IncomeandExpenditure Data2'!U48/1000</f>
        <v>691.06200000000001</v>
      </c>
      <c r="U45" s="1746">
        <f>'IncomeandExpenditure Data2'!V48/1000</f>
        <v>699.49199999999996</v>
      </c>
      <c r="V45" s="448">
        <f>SUM(J45:U45)</f>
        <v>8763.1200000000008</v>
      </c>
      <c r="W45" s="448"/>
      <c r="X45" s="1746">
        <f>'IncomeandExpenditure Data2'!Y48/1000</f>
        <v>939.27</v>
      </c>
      <c r="Y45" s="2012">
        <f>'IncomeandExpenditure Data2'!Z48/1000</f>
        <v>456.27100000000002</v>
      </c>
      <c r="Z45" s="1746">
        <f>'IncomeandExpenditure Data2'!AA48/1000</f>
        <v>697.77</v>
      </c>
      <c r="AA45" s="1746">
        <f>'IncomeandExpenditure Data2'!AB48/1000</f>
        <v>697.77</v>
      </c>
      <c r="AB45" s="1746">
        <f>'IncomeandExpenditure Data2'!AC48/1000</f>
        <v>697.77</v>
      </c>
      <c r="AC45" s="1746">
        <f>'IncomeandExpenditure Data2'!AD48/1000</f>
        <v>697.77</v>
      </c>
      <c r="AD45" s="1746">
        <f>'IncomeandExpenditure Data2'!AE48/1000</f>
        <v>697.77</v>
      </c>
      <c r="AE45" s="1746">
        <f>'IncomeandExpenditure Data2'!AF48/1000</f>
        <v>697.77</v>
      </c>
      <c r="AF45" s="1746">
        <f>'IncomeandExpenditure Data2'!AG48/1000</f>
        <v>697.77</v>
      </c>
      <c r="AG45" s="1746">
        <f>'IncomeandExpenditure Data2'!AH48/1000</f>
        <v>697.77</v>
      </c>
      <c r="AH45" s="1746">
        <f>'IncomeandExpenditure Data2'!AI48/1000</f>
        <v>697.77</v>
      </c>
      <c r="AI45" s="1746">
        <f>'IncomeandExpenditure Data2'!AJ48/1000</f>
        <v>697.76499999999999</v>
      </c>
      <c r="AJ45" s="448">
        <f t="shared" si="70"/>
        <v>8373.2360000000008</v>
      </c>
      <c r="AN45" s="448">
        <f>-238.24294-10</f>
        <v>-248.24294</v>
      </c>
      <c r="AO45" s="1559">
        <f>314.728</f>
        <v>314.72800000000001</v>
      </c>
      <c r="AP45" s="1559">
        <v>-102.688</v>
      </c>
      <c r="AQ45" s="1559">
        <v>-374.52100000000002</v>
      </c>
      <c r="AR45" s="1559">
        <v>-193.637</v>
      </c>
      <c r="AS45" s="1559">
        <v>-707.34799999999996</v>
      </c>
      <c r="AU45" s="448">
        <v>327.08800000000002</v>
      </c>
      <c r="AV45" s="1559">
        <v>-90.278000000000006</v>
      </c>
      <c r="AW45" s="1559">
        <v>299.26100000000002</v>
      </c>
      <c r="AX45" s="1559">
        <v>257.71499999999997</v>
      </c>
      <c r="AY45" s="1559">
        <v>290.86900000000003</v>
      </c>
      <c r="AZ45" s="1559">
        <v>-799.57799999999997</v>
      </c>
      <c r="BB45" s="448">
        <f>1034.066+3-886</f>
        <v>151.06600000000003</v>
      </c>
      <c r="BC45" s="1559">
        <f>972.648-886</f>
        <v>86.648000000000025</v>
      </c>
      <c r="BD45" s="1559">
        <f>920.868-886</f>
        <v>34.868000000000052</v>
      </c>
      <c r="BE45" s="1559">
        <f>924.991-886</f>
        <v>38.990999999999985</v>
      </c>
      <c r="BF45" s="1559">
        <f>925.222-886</f>
        <v>39.22199999999998</v>
      </c>
      <c r="BG45" s="1559">
        <f>940.748-886</f>
        <v>54.748000000000047</v>
      </c>
      <c r="BH45" s="448"/>
      <c r="BI45" s="448">
        <f>893.934-886</f>
        <v>7.9339999999999691</v>
      </c>
      <c r="BJ45" s="448">
        <f>887.933-886</f>
        <v>1.9329999999999927</v>
      </c>
      <c r="BK45" s="448">
        <f>887.933-886</f>
        <v>1.9329999999999927</v>
      </c>
      <c r="BL45" s="448">
        <f>891.913-886</f>
        <v>5.9130000000000109</v>
      </c>
      <c r="BM45" s="448">
        <f>892.144-886</f>
        <v>6.1440000000000055</v>
      </c>
      <c r="BN45" s="448">
        <f>902.802-886</f>
        <v>16.802000000000021</v>
      </c>
      <c r="BO45" s="448"/>
    </row>
    <row r="46" spans="1:75" ht="13.8" thickBot="1">
      <c r="A46" s="1921" t="s">
        <v>1301</v>
      </c>
      <c r="B46" s="700">
        <f t="shared" si="36"/>
        <v>49.186</v>
      </c>
      <c r="C46" s="700">
        <f t="shared" si="37"/>
        <v>39.518999999999998</v>
      </c>
      <c r="D46" s="343">
        <f t="shared" ref="D46" si="75">C46-B46</f>
        <v>-9.6670000000000016</v>
      </c>
      <c r="E46" s="343"/>
      <c r="F46" s="343">
        <f t="shared" ref="F46" si="76">SUM(X46:AI46)</f>
        <v>295.11599999999999</v>
      </c>
      <c r="G46" s="343">
        <f t="shared" ref="G46" si="77">SUM(J46:U46)</f>
        <v>277.08900000000006</v>
      </c>
      <c r="H46" s="343">
        <f t="shared" ref="H46" si="78">G46-F46</f>
        <v>-18.02699999999993</v>
      </c>
      <c r="I46" s="343"/>
      <c r="J46" s="1746">
        <f>'IncomeandExpenditure Data2'!K49/1000</f>
        <v>21.533999999999999</v>
      </c>
      <c r="K46" s="1746">
        <f>'IncomeandExpenditure Data2'!L49/1000</f>
        <v>17.984999999999999</v>
      </c>
      <c r="L46" s="1746">
        <f>'IncomeandExpenditure Data2'!M49/1000</f>
        <v>24.317</v>
      </c>
      <c r="M46" s="1746">
        <f>'IncomeandExpenditure Data2'!N49/1000</f>
        <v>22.317</v>
      </c>
      <c r="N46" s="1746">
        <f>'IncomeandExpenditure Data2'!O49/1000</f>
        <v>22.317</v>
      </c>
      <c r="O46" s="1746">
        <f>'IncomeandExpenditure Data2'!P49/1000</f>
        <v>24.317</v>
      </c>
      <c r="P46" s="1746">
        <f>'IncomeandExpenditure Data2'!Q49/1000</f>
        <v>24.716999999999999</v>
      </c>
      <c r="Q46" s="1746">
        <f>'IncomeandExpenditure Data2'!R49/1000</f>
        <v>24.317</v>
      </c>
      <c r="R46" s="1746">
        <f>'IncomeandExpenditure Data2'!S49/1000</f>
        <v>24.317</v>
      </c>
      <c r="S46" s="1746">
        <f>'IncomeandExpenditure Data2'!T49/1000</f>
        <v>22.317</v>
      </c>
      <c r="T46" s="1746">
        <f>'IncomeandExpenditure Data2'!U49/1000</f>
        <v>24.317</v>
      </c>
      <c r="U46" s="1746">
        <f>'IncomeandExpenditure Data2'!V49/1000</f>
        <v>24.317</v>
      </c>
      <c r="V46" s="448">
        <f>SUM(J46:U46)</f>
        <v>277.08900000000006</v>
      </c>
      <c r="W46" s="448"/>
      <c r="X46" s="1746">
        <f>'IncomeandExpenditure Data2'!Y49/1000</f>
        <v>24.593</v>
      </c>
      <c r="Y46" s="1746">
        <f>'IncomeandExpenditure Data2'!Z49/1000</f>
        <v>24.593</v>
      </c>
      <c r="Z46" s="1746">
        <f>'IncomeandExpenditure Data2'!AA49/1000</f>
        <v>24.593</v>
      </c>
      <c r="AA46" s="1746">
        <f>'IncomeandExpenditure Data2'!AB49/1000</f>
        <v>24.593</v>
      </c>
      <c r="AB46" s="1746">
        <f>'IncomeandExpenditure Data2'!AC49/1000</f>
        <v>24.593</v>
      </c>
      <c r="AC46" s="1746">
        <f>'IncomeandExpenditure Data2'!AD49/1000</f>
        <v>24.593</v>
      </c>
      <c r="AD46" s="1746">
        <f>'IncomeandExpenditure Data2'!AE49/1000</f>
        <v>24.593</v>
      </c>
      <c r="AE46" s="1746">
        <f>'IncomeandExpenditure Data2'!AF49/1000</f>
        <v>24.593</v>
      </c>
      <c r="AF46" s="1746">
        <f>'IncomeandExpenditure Data2'!AG49/1000</f>
        <v>24.593</v>
      </c>
      <c r="AG46" s="1746">
        <f>'IncomeandExpenditure Data2'!AH49/1000</f>
        <v>24.593</v>
      </c>
      <c r="AH46" s="1746">
        <f>'IncomeandExpenditure Data2'!AI49/1000</f>
        <v>24.593</v>
      </c>
      <c r="AI46" s="1746">
        <f>'IncomeandExpenditure Data2'!AJ49/1000</f>
        <v>24.593</v>
      </c>
      <c r="AJ46" s="448">
        <f t="shared" si="70"/>
        <v>295.11599999999999</v>
      </c>
      <c r="AN46" s="448"/>
      <c r="AO46" s="1559"/>
      <c r="AP46" s="1559"/>
      <c r="AQ46" s="1559"/>
      <c r="AR46" s="1559"/>
      <c r="AS46" s="1559"/>
      <c r="AU46" s="448"/>
      <c r="AV46" s="1559"/>
      <c r="AW46" s="1559"/>
      <c r="AX46" s="1559"/>
      <c r="AY46" s="1559"/>
      <c r="AZ46" s="1559"/>
      <c r="BB46" s="448"/>
      <c r="BC46" s="1559"/>
      <c r="BD46" s="1559"/>
      <c r="BE46" s="1559"/>
      <c r="BF46" s="1559"/>
      <c r="BG46" s="1559"/>
      <c r="BH46" s="448"/>
      <c r="BI46" s="448"/>
      <c r="BJ46" s="448"/>
      <c r="BK46" s="448"/>
      <c r="BL46" s="448"/>
      <c r="BM46" s="448"/>
      <c r="BN46" s="448"/>
      <c r="BO46" s="448"/>
    </row>
    <row r="47" spans="1:75" ht="13.8" thickBot="1">
      <c r="A47" s="344" t="s">
        <v>397</v>
      </c>
      <c r="B47" s="701">
        <f>SUM(B34:B46)</f>
        <v>34055.587</v>
      </c>
      <c r="C47" s="701">
        <f>SUM(C34:C46)</f>
        <v>36386.129000000001</v>
      </c>
      <c r="D47" s="345">
        <f>SUM(D34:D46)</f>
        <v>2330.5420000000013</v>
      </c>
      <c r="E47" s="343"/>
      <c r="F47" s="345">
        <f t="shared" ref="F47:H47" si="79">SUM(F34:F46)</f>
        <v>197197.34200000006</v>
      </c>
      <c r="G47" s="345">
        <f t="shared" si="79"/>
        <v>199563.65100000001</v>
      </c>
      <c r="H47" s="345">
        <f t="shared" si="79"/>
        <v>2366.3089999999875</v>
      </c>
      <c r="I47" s="343"/>
      <c r="J47" s="449">
        <f>SUM(J34:J46)</f>
        <v>17388.646000000001</v>
      </c>
      <c r="K47" s="449">
        <f t="shared" ref="K47:V47" si="80">SUM(K34:K46)</f>
        <v>18997.483</v>
      </c>
      <c r="L47" s="449">
        <f t="shared" si="80"/>
        <v>17891.413999999997</v>
      </c>
      <c r="M47" s="449">
        <f t="shared" si="80"/>
        <v>17504.043999999998</v>
      </c>
      <c r="N47" s="449">
        <f t="shared" si="80"/>
        <v>16403.439999999999</v>
      </c>
      <c r="O47" s="449">
        <f t="shared" si="80"/>
        <v>16321.208000000001</v>
      </c>
      <c r="P47" s="449">
        <f t="shared" si="80"/>
        <v>16018.241000000002</v>
      </c>
      <c r="Q47" s="449">
        <f t="shared" si="80"/>
        <v>15951.834000000001</v>
      </c>
      <c r="R47" s="449">
        <f t="shared" si="80"/>
        <v>15823.597999999996</v>
      </c>
      <c r="S47" s="449">
        <f t="shared" si="80"/>
        <v>15760.643999999998</v>
      </c>
      <c r="T47" s="449">
        <f t="shared" si="80"/>
        <v>15723.466999999999</v>
      </c>
      <c r="U47" s="449">
        <f t="shared" si="80"/>
        <v>15779.632</v>
      </c>
      <c r="V47" s="449">
        <f t="shared" si="80"/>
        <v>199563.65100000001</v>
      </c>
      <c r="W47" s="449"/>
      <c r="X47" s="449">
        <f t="shared" ref="X47:AI47" si="81">SUM(X34:X46)</f>
        <v>17035.830999999998</v>
      </c>
      <c r="Y47" s="449">
        <f t="shared" si="81"/>
        <v>17019.756000000001</v>
      </c>
      <c r="Z47" s="449">
        <f t="shared" si="81"/>
        <v>17012.623999999996</v>
      </c>
      <c r="AA47" s="449">
        <f t="shared" si="81"/>
        <v>16654.064999999999</v>
      </c>
      <c r="AB47" s="449">
        <f t="shared" si="81"/>
        <v>16575.974999999999</v>
      </c>
      <c r="AC47" s="449">
        <f t="shared" si="81"/>
        <v>16443.748999999996</v>
      </c>
      <c r="AD47" s="449">
        <f t="shared" si="81"/>
        <v>16254.026</v>
      </c>
      <c r="AE47" s="449">
        <f t="shared" si="81"/>
        <v>16166.400000000001</v>
      </c>
      <c r="AF47" s="449">
        <f t="shared" si="81"/>
        <v>16014.898999999998</v>
      </c>
      <c r="AG47" s="449">
        <f t="shared" si="81"/>
        <v>15999.747999999998</v>
      </c>
      <c r="AH47" s="449">
        <f t="shared" si="81"/>
        <v>15996.521000000001</v>
      </c>
      <c r="AI47" s="449">
        <f t="shared" si="81"/>
        <v>16023.748000000001</v>
      </c>
      <c r="AJ47" s="449">
        <f>SUM(AJ34:AJ46)</f>
        <v>197197.34200000006</v>
      </c>
      <c r="AN47" s="449">
        <f t="shared" ref="AN47:AS47" si="82">SUM(AN34:AN45)</f>
        <v>23525.447110000005</v>
      </c>
      <c r="AO47" s="449">
        <f t="shared" si="82"/>
        <v>23154.085000000003</v>
      </c>
      <c r="AP47" s="449">
        <f t="shared" si="82"/>
        <v>23617.624</v>
      </c>
      <c r="AQ47" s="449">
        <f t="shared" si="82"/>
        <v>23274.385000000002</v>
      </c>
      <c r="AR47" s="449">
        <f t="shared" si="82"/>
        <v>23540.705999999998</v>
      </c>
      <c r="AS47" s="449">
        <f t="shared" si="82"/>
        <v>22774.386999999995</v>
      </c>
      <c r="AU47" s="449">
        <f t="shared" ref="AU47:AZ47" si="83">SUM(AU34:AU45)</f>
        <v>22586.181999999997</v>
      </c>
      <c r="AV47" s="449">
        <f t="shared" si="83"/>
        <v>22294.401000000002</v>
      </c>
      <c r="AW47" s="449">
        <f t="shared" si="83"/>
        <v>22818.715999999997</v>
      </c>
      <c r="AX47" s="449">
        <f t="shared" si="83"/>
        <v>22772.868999999999</v>
      </c>
      <c r="AY47" s="449">
        <f t="shared" si="83"/>
        <v>23083.352999999996</v>
      </c>
      <c r="AZ47" s="449">
        <f t="shared" si="83"/>
        <v>21981.544999999998</v>
      </c>
      <c r="BB47" s="449">
        <f>SUM(BB34:BB45)</f>
        <v>8953.3429999999989</v>
      </c>
      <c r="BC47" s="449">
        <f t="shared" ref="BC47:BI47" si="84">SUM(BC34:BC45)</f>
        <v>8752.9019999999982</v>
      </c>
      <c r="BD47" s="449">
        <f t="shared" si="84"/>
        <v>9070.6640000000007</v>
      </c>
      <c r="BE47" s="449">
        <f t="shared" si="84"/>
        <v>8984.4689999999991</v>
      </c>
      <c r="BF47" s="449">
        <f t="shared" si="84"/>
        <v>9136.2800000000007</v>
      </c>
      <c r="BG47" s="449">
        <f t="shared" si="84"/>
        <v>9114.5490000000009</v>
      </c>
      <c r="BH47" s="449"/>
      <c r="BI47" s="449">
        <f t="shared" si="84"/>
        <v>8917.0029999999988</v>
      </c>
      <c r="BJ47" s="449">
        <f>SUM(BJ34:BJ45)</f>
        <v>8887.9209999999985</v>
      </c>
      <c r="BK47" s="449">
        <f>SUM(BK34:BK45)</f>
        <v>8950.1270000000004</v>
      </c>
      <c r="BL47" s="449">
        <f>SUM(BL34:BL45)</f>
        <v>8930.9570000000003</v>
      </c>
      <c r="BM47" s="449">
        <f>SUM(BM34:BM45)</f>
        <v>9140.5029999999988</v>
      </c>
      <c r="BN47" s="449">
        <f>SUM(BN34:BN45)</f>
        <v>9312.7489999999998</v>
      </c>
      <c r="BO47" s="449"/>
      <c r="BR47" s="447">
        <f t="shared" ref="BR47:BW47" si="85">AD47-P47</f>
        <v>235.78499999999804</v>
      </c>
      <c r="BS47" s="447">
        <f t="shared" si="85"/>
        <v>214.56600000000071</v>
      </c>
      <c r="BT47" s="447">
        <f t="shared" si="85"/>
        <v>191.3010000000013</v>
      </c>
      <c r="BU47" s="447">
        <f t="shared" si="85"/>
        <v>239.10399999999936</v>
      </c>
      <c r="BV47" s="447">
        <f t="shared" si="85"/>
        <v>273.05400000000191</v>
      </c>
      <c r="BW47" s="447">
        <f t="shared" si="85"/>
        <v>244.1160000000018</v>
      </c>
    </row>
    <row r="48" spans="1:75">
      <c r="A48" s="1609" t="s">
        <v>434</v>
      </c>
      <c r="B48" s="700">
        <f t="shared" si="36"/>
        <v>0</v>
      </c>
      <c r="C48" s="700">
        <f t="shared" si="37"/>
        <v>0</v>
      </c>
      <c r="D48" s="343">
        <f t="shared" ref="D48:D50" si="86">C48-B48</f>
        <v>0</v>
      </c>
      <c r="E48" s="343"/>
      <c r="F48" s="343">
        <f t="shared" ref="F48:F50" si="87">SUM(X48:AI48)</f>
        <v>0</v>
      </c>
      <c r="G48" s="343">
        <f t="shared" ref="G48:G50" si="88">SUM(J48:U48)</f>
        <v>0</v>
      </c>
      <c r="H48" s="343">
        <f t="shared" ref="H48:H50" si="89">G48-F48</f>
        <v>0</v>
      </c>
      <c r="I48" s="343"/>
      <c r="J48" s="1746">
        <f>'IncomeandExpenditure Data2'!K51/1000</f>
        <v>0</v>
      </c>
      <c r="K48" s="1746">
        <f>'IncomeandExpenditure Data2'!L51/1000</f>
        <v>0</v>
      </c>
      <c r="L48" s="1746">
        <f>'IncomeandExpenditure Data2'!M51/1000</f>
        <v>0</v>
      </c>
      <c r="M48" s="1746">
        <f>'IncomeandExpenditure Data2'!N51/1000</f>
        <v>0</v>
      </c>
      <c r="N48" s="1746">
        <f>'IncomeandExpenditure Data2'!O51/1000</f>
        <v>0</v>
      </c>
      <c r="O48" s="1746">
        <f>'IncomeandExpenditure Data2'!P51/1000</f>
        <v>0</v>
      </c>
      <c r="P48" s="1746">
        <f>'IncomeandExpenditure Data2'!Q51/1000</f>
        <v>0</v>
      </c>
      <c r="Q48" s="1746">
        <f>'IncomeandExpenditure Data2'!R51/1000</f>
        <v>0</v>
      </c>
      <c r="R48" s="1746">
        <f>'IncomeandExpenditure Data2'!S51/1000</f>
        <v>0</v>
      </c>
      <c r="S48" s="1746">
        <f>'IncomeandExpenditure Data2'!T51/1000</f>
        <v>0</v>
      </c>
      <c r="T48" s="1746">
        <f>'IncomeandExpenditure Data2'!U51/1000</f>
        <v>0</v>
      </c>
      <c r="U48" s="1746">
        <f>'IncomeandExpenditure Data2'!V51/1000</f>
        <v>0</v>
      </c>
      <c r="V48" s="448">
        <f t="shared" ref="V48:V50" si="90">SUM(J48:U48)</f>
        <v>0</v>
      </c>
      <c r="W48" s="448"/>
      <c r="X48" s="1746">
        <f>'IncomeandExpenditure Data2'!Y51/1000</f>
        <v>0</v>
      </c>
      <c r="Y48" s="1746">
        <f>'IncomeandExpenditure Data2'!Z51/1000</f>
        <v>0</v>
      </c>
      <c r="Z48" s="1746">
        <f>'IncomeandExpenditure Data2'!AA51/1000</f>
        <v>0</v>
      </c>
      <c r="AA48" s="1746">
        <f>'IncomeandExpenditure Data2'!AB51/1000</f>
        <v>0</v>
      </c>
      <c r="AB48" s="1746">
        <f>'IncomeandExpenditure Data2'!AC51/1000</f>
        <v>0</v>
      </c>
      <c r="AC48" s="1746">
        <f>'IncomeandExpenditure Data2'!AD51/1000</f>
        <v>0</v>
      </c>
      <c r="AD48" s="1746">
        <f>'IncomeandExpenditure Data2'!AE51/1000</f>
        <v>0</v>
      </c>
      <c r="AE48" s="1746">
        <f>'IncomeandExpenditure Data2'!AF51/1000</f>
        <v>0</v>
      </c>
      <c r="AF48" s="1746">
        <f>'IncomeandExpenditure Data2'!AG51/1000</f>
        <v>0</v>
      </c>
      <c r="AG48" s="1746">
        <f>'IncomeandExpenditure Data2'!AH51/1000</f>
        <v>0</v>
      </c>
      <c r="AH48" s="1746">
        <f>'IncomeandExpenditure Data2'!AI51/1000</f>
        <v>0</v>
      </c>
      <c r="AI48" s="1746">
        <f>'IncomeandExpenditure Data2'!AJ51/1000</f>
        <v>0</v>
      </c>
      <c r="AJ48" s="448">
        <f>SUM(X48:AI48)</f>
        <v>0</v>
      </c>
      <c r="AN48" s="448">
        <v>0</v>
      </c>
      <c r="AO48" s="448">
        <v>0</v>
      </c>
      <c r="AP48" s="448">
        <v>0</v>
      </c>
      <c r="AQ48" s="448">
        <v>0</v>
      </c>
      <c r="AR48" s="448">
        <v>0</v>
      </c>
      <c r="AS48" s="448">
        <v>0</v>
      </c>
      <c r="AU48" s="448">
        <v>0</v>
      </c>
      <c r="AV48" s="448">
        <v>0</v>
      </c>
      <c r="AW48" s="448">
        <v>0</v>
      </c>
      <c r="AX48" s="448">
        <v>0</v>
      </c>
      <c r="AY48" s="448">
        <v>0</v>
      </c>
      <c r="AZ48" s="448">
        <v>0</v>
      </c>
      <c r="BB48" s="448">
        <f t="shared" ref="BB48:BG48" si="91">BA48-AZ48</f>
        <v>0</v>
      </c>
      <c r="BC48" s="448">
        <f t="shared" si="91"/>
        <v>0</v>
      </c>
      <c r="BD48" s="448">
        <f t="shared" si="91"/>
        <v>0</v>
      </c>
      <c r="BE48" s="448">
        <f t="shared" si="91"/>
        <v>0</v>
      </c>
      <c r="BF48" s="448">
        <f t="shared" si="91"/>
        <v>0</v>
      </c>
      <c r="BG48" s="448">
        <f t="shared" si="91"/>
        <v>0</v>
      </c>
      <c r="BH48" s="448"/>
      <c r="BI48" s="448"/>
      <c r="BJ48" s="448"/>
      <c r="BK48" s="448"/>
      <c r="BL48" s="448"/>
      <c r="BM48" s="448"/>
      <c r="BN48" s="448"/>
      <c r="BO48" s="448"/>
    </row>
    <row r="49" spans="1:67">
      <c r="A49" s="1609" t="s">
        <v>435</v>
      </c>
      <c r="B49" s="700">
        <f t="shared" si="36"/>
        <v>0</v>
      </c>
      <c r="C49" s="700">
        <f t="shared" si="37"/>
        <v>0</v>
      </c>
      <c r="D49" s="343">
        <f t="shared" si="86"/>
        <v>0</v>
      </c>
      <c r="E49" s="343"/>
      <c r="F49" s="343">
        <f t="shared" si="87"/>
        <v>0</v>
      </c>
      <c r="G49" s="343">
        <f t="shared" si="88"/>
        <v>0</v>
      </c>
      <c r="H49" s="343">
        <f t="shared" si="89"/>
        <v>0</v>
      </c>
      <c r="I49" s="343"/>
      <c r="J49" s="1746">
        <f>'IncomeandExpenditure Data2'!K52/1000</f>
        <v>0</v>
      </c>
      <c r="K49" s="1746">
        <f>'IncomeandExpenditure Data2'!L52/1000</f>
        <v>0</v>
      </c>
      <c r="L49" s="1746">
        <f>'IncomeandExpenditure Data2'!M52/1000</f>
        <v>0</v>
      </c>
      <c r="M49" s="1746">
        <f>'IncomeandExpenditure Data2'!N52/1000</f>
        <v>0</v>
      </c>
      <c r="N49" s="1746">
        <f>'IncomeandExpenditure Data2'!O52/1000</f>
        <v>0</v>
      </c>
      <c r="O49" s="1746">
        <f>'IncomeandExpenditure Data2'!P52/1000</f>
        <v>0</v>
      </c>
      <c r="P49" s="1746">
        <f>'IncomeandExpenditure Data2'!Q52/1000</f>
        <v>0</v>
      </c>
      <c r="Q49" s="1746">
        <f>'IncomeandExpenditure Data2'!R52/1000</f>
        <v>0</v>
      </c>
      <c r="R49" s="1746">
        <f>'IncomeandExpenditure Data2'!S52/1000</f>
        <v>0</v>
      </c>
      <c r="S49" s="1746">
        <f>'IncomeandExpenditure Data2'!T52/1000</f>
        <v>0</v>
      </c>
      <c r="T49" s="1746">
        <f>'IncomeandExpenditure Data2'!U52/1000</f>
        <v>0</v>
      </c>
      <c r="U49" s="1746">
        <f>'IncomeandExpenditure Data2'!V52/1000</f>
        <v>0</v>
      </c>
      <c r="V49" s="448">
        <f t="shared" si="90"/>
        <v>0</v>
      </c>
      <c r="W49" s="448"/>
      <c r="X49" s="1746">
        <f>'IncomeandExpenditure Data2'!Y52/1000</f>
        <v>0</v>
      </c>
      <c r="Y49" s="1746">
        <f>'IncomeandExpenditure Data2'!Z52/1000</f>
        <v>0</v>
      </c>
      <c r="Z49" s="1746">
        <f>'IncomeandExpenditure Data2'!AA52/1000</f>
        <v>0</v>
      </c>
      <c r="AA49" s="1746">
        <f>'IncomeandExpenditure Data2'!AB52/1000</f>
        <v>0</v>
      </c>
      <c r="AB49" s="1746">
        <f>'IncomeandExpenditure Data2'!AC52/1000</f>
        <v>0</v>
      </c>
      <c r="AC49" s="1746">
        <f>'IncomeandExpenditure Data2'!AD52/1000</f>
        <v>0</v>
      </c>
      <c r="AD49" s="1746">
        <f>'IncomeandExpenditure Data2'!AE52/1000</f>
        <v>0</v>
      </c>
      <c r="AE49" s="1746">
        <f>'IncomeandExpenditure Data2'!AF52/1000</f>
        <v>0</v>
      </c>
      <c r="AF49" s="1746">
        <f>'IncomeandExpenditure Data2'!AG52/1000</f>
        <v>0</v>
      </c>
      <c r="AG49" s="1746">
        <f>'IncomeandExpenditure Data2'!AH52/1000</f>
        <v>0</v>
      </c>
      <c r="AH49" s="1746">
        <f>'IncomeandExpenditure Data2'!AI52/1000</f>
        <v>0</v>
      </c>
      <c r="AI49" s="1746">
        <f>'IncomeandExpenditure Data2'!AJ52/1000</f>
        <v>0</v>
      </c>
      <c r="AJ49" s="448">
        <f>SUM(X49:AI49)</f>
        <v>0</v>
      </c>
      <c r="AN49" s="448">
        <v>0</v>
      </c>
      <c r="AO49" s="448">
        <v>0</v>
      </c>
      <c r="AP49" s="448">
        <v>0</v>
      </c>
      <c r="AQ49" s="448">
        <v>0</v>
      </c>
      <c r="AR49" s="448">
        <v>0</v>
      </c>
      <c r="AS49" s="448">
        <v>0</v>
      </c>
      <c r="AU49" s="448">
        <v>0</v>
      </c>
      <c r="AV49" s="448">
        <v>0</v>
      </c>
      <c r="AW49" s="448">
        <v>0</v>
      </c>
      <c r="AX49" s="448">
        <v>0</v>
      </c>
      <c r="AY49" s="448">
        <v>0</v>
      </c>
      <c r="AZ49" s="448">
        <v>0</v>
      </c>
      <c r="BB49" s="448">
        <v>0</v>
      </c>
      <c r="BC49" s="448">
        <f t="shared" ref="BC49:BG50" si="92">BB49-BA49</f>
        <v>0</v>
      </c>
      <c r="BD49" s="448">
        <f t="shared" si="92"/>
        <v>0</v>
      </c>
      <c r="BE49" s="448">
        <f t="shared" si="92"/>
        <v>0</v>
      </c>
      <c r="BF49" s="448">
        <f t="shared" si="92"/>
        <v>0</v>
      </c>
      <c r="BG49" s="448">
        <f t="shared" si="92"/>
        <v>0</v>
      </c>
      <c r="BH49" s="448"/>
      <c r="BI49" s="448"/>
      <c r="BJ49" s="448"/>
      <c r="BK49" s="448"/>
      <c r="BL49" s="448"/>
      <c r="BM49" s="448"/>
      <c r="BN49" s="448"/>
      <c r="BO49" s="448"/>
    </row>
    <row r="50" spans="1:67" ht="13.8" thickBot="1">
      <c r="A50" s="1609" t="s">
        <v>439</v>
      </c>
      <c r="B50" s="700">
        <f t="shared" si="36"/>
        <v>0</v>
      </c>
      <c r="C50" s="700">
        <f t="shared" si="37"/>
        <v>0</v>
      </c>
      <c r="D50" s="343">
        <f t="shared" si="86"/>
        <v>0</v>
      </c>
      <c r="E50" s="343"/>
      <c r="F50" s="343">
        <f t="shared" si="87"/>
        <v>0</v>
      </c>
      <c r="G50" s="343">
        <f t="shared" si="88"/>
        <v>0</v>
      </c>
      <c r="H50" s="343">
        <f t="shared" si="89"/>
        <v>0</v>
      </c>
      <c r="I50" s="343"/>
      <c r="J50" s="1746">
        <f>'IncomeandExpenditure Data2'!K53/1000</f>
        <v>0</v>
      </c>
      <c r="K50" s="1746">
        <f>'IncomeandExpenditure Data2'!L53/1000</f>
        <v>0</v>
      </c>
      <c r="L50" s="1746">
        <f>'IncomeandExpenditure Data2'!M53/1000</f>
        <v>0</v>
      </c>
      <c r="M50" s="1746">
        <f>'IncomeandExpenditure Data2'!N53/1000</f>
        <v>0</v>
      </c>
      <c r="N50" s="1746">
        <f>'IncomeandExpenditure Data2'!O53/1000</f>
        <v>0</v>
      </c>
      <c r="O50" s="1746">
        <f>'IncomeandExpenditure Data2'!P53/1000</f>
        <v>0</v>
      </c>
      <c r="P50" s="1746">
        <f>'IncomeandExpenditure Data2'!Q53/1000</f>
        <v>0</v>
      </c>
      <c r="Q50" s="1746">
        <f>'IncomeandExpenditure Data2'!R53/1000</f>
        <v>0</v>
      </c>
      <c r="R50" s="1746">
        <f>'IncomeandExpenditure Data2'!S53/1000</f>
        <v>0</v>
      </c>
      <c r="S50" s="1746">
        <f>'IncomeandExpenditure Data2'!T53/1000</f>
        <v>0</v>
      </c>
      <c r="T50" s="1746">
        <f>'IncomeandExpenditure Data2'!U53/1000</f>
        <v>0</v>
      </c>
      <c r="U50" s="1746">
        <f>'IncomeandExpenditure Data2'!V53/1000</f>
        <v>0</v>
      </c>
      <c r="V50" s="448">
        <f t="shared" si="90"/>
        <v>0</v>
      </c>
      <c r="W50" s="448"/>
      <c r="X50" s="1746">
        <f>'IncomeandExpenditure Data2'!Y53/1000</f>
        <v>0</v>
      </c>
      <c r="Y50" s="1746">
        <f>'IncomeandExpenditure Data2'!Z53/1000</f>
        <v>0</v>
      </c>
      <c r="Z50" s="1746">
        <f>'IncomeandExpenditure Data2'!AA53/1000</f>
        <v>0</v>
      </c>
      <c r="AA50" s="1746">
        <f>'IncomeandExpenditure Data2'!AB53/1000</f>
        <v>0</v>
      </c>
      <c r="AB50" s="1746">
        <f>'IncomeandExpenditure Data2'!AC53/1000</f>
        <v>0</v>
      </c>
      <c r="AC50" s="1746">
        <f>'IncomeandExpenditure Data2'!AD53/1000</f>
        <v>0</v>
      </c>
      <c r="AD50" s="1746">
        <f>'IncomeandExpenditure Data2'!AE53/1000</f>
        <v>0</v>
      </c>
      <c r="AE50" s="1746">
        <f>'IncomeandExpenditure Data2'!AF53/1000</f>
        <v>0</v>
      </c>
      <c r="AF50" s="1746">
        <f>'IncomeandExpenditure Data2'!AG53/1000</f>
        <v>0</v>
      </c>
      <c r="AG50" s="1746">
        <f>'IncomeandExpenditure Data2'!AH53/1000</f>
        <v>0</v>
      </c>
      <c r="AH50" s="1746">
        <f>'IncomeandExpenditure Data2'!AI53/1000</f>
        <v>0</v>
      </c>
      <c r="AI50" s="1746">
        <f>'IncomeandExpenditure Data2'!AJ53/1000</f>
        <v>0</v>
      </c>
      <c r="AJ50" s="448">
        <f>SUM(X50:AI50)</f>
        <v>0</v>
      </c>
      <c r="AN50" s="448">
        <v>0</v>
      </c>
      <c r="AO50" s="448">
        <v>0</v>
      </c>
      <c r="AP50" s="448">
        <v>0</v>
      </c>
      <c r="AQ50" s="448">
        <v>0</v>
      </c>
      <c r="AR50" s="448">
        <v>0</v>
      </c>
      <c r="AS50" s="448">
        <v>0</v>
      </c>
      <c r="AU50" s="448">
        <v>0</v>
      </c>
      <c r="AV50" s="448">
        <v>0</v>
      </c>
      <c r="AW50" s="448">
        <v>0</v>
      </c>
      <c r="AX50" s="448">
        <v>0</v>
      </c>
      <c r="AY50" s="448">
        <v>0</v>
      </c>
      <c r="AZ50" s="448">
        <v>0</v>
      </c>
      <c r="BB50" s="448">
        <f>BA50-AZ50</f>
        <v>0</v>
      </c>
      <c r="BC50" s="448">
        <f t="shared" si="92"/>
        <v>0</v>
      </c>
      <c r="BD50" s="448">
        <f t="shared" si="92"/>
        <v>0</v>
      </c>
      <c r="BE50" s="448">
        <f t="shared" si="92"/>
        <v>0</v>
      </c>
      <c r="BF50" s="448">
        <f t="shared" si="92"/>
        <v>0</v>
      </c>
      <c r="BG50" s="448">
        <f t="shared" si="92"/>
        <v>0</v>
      </c>
      <c r="BH50" s="448"/>
      <c r="BI50" s="448"/>
      <c r="BJ50" s="448"/>
      <c r="BK50" s="448"/>
      <c r="BL50" s="448"/>
      <c r="BM50" s="448"/>
      <c r="BN50" s="448"/>
      <c r="BO50" s="448"/>
    </row>
    <row r="51" spans="1:67" ht="13.8" thickBot="1">
      <c r="A51" s="344" t="s">
        <v>436</v>
      </c>
      <c r="B51" s="701">
        <f>SUM(B48:B50)</f>
        <v>0</v>
      </c>
      <c r="C51" s="701">
        <f>SUM(C48:C50)</f>
        <v>0</v>
      </c>
      <c r="D51" s="345">
        <f>SUM(D48:D50)</f>
        <v>0</v>
      </c>
      <c r="E51" s="343"/>
      <c r="F51" s="345">
        <f>SUM(F48:F50)</f>
        <v>0</v>
      </c>
      <c r="G51" s="345">
        <f>SUM(G48:G50)</f>
        <v>0</v>
      </c>
      <c r="H51" s="345">
        <f>SUM(H48:H50)</f>
        <v>0</v>
      </c>
      <c r="I51" s="343"/>
      <c r="J51" s="449">
        <f t="shared" ref="J51:U51" si="93">SUM(J48:J50)</f>
        <v>0</v>
      </c>
      <c r="K51" s="449">
        <f t="shared" si="93"/>
        <v>0</v>
      </c>
      <c r="L51" s="449">
        <f t="shared" si="93"/>
        <v>0</v>
      </c>
      <c r="M51" s="449">
        <f t="shared" si="93"/>
        <v>0</v>
      </c>
      <c r="N51" s="449">
        <f t="shared" si="93"/>
        <v>0</v>
      </c>
      <c r="O51" s="449">
        <f t="shared" si="93"/>
        <v>0</v>
      </c>
      <c r="P51" s="449">
        <f t="shared" si="93"/>
        <v>0</v>
      </c>
      <c r="Q51" s="449">
        <f t="shared" si="93"/>
        <v>0</v>
      </c>
      <c r="R51" s="449">
        <f t="shared" si="93"/>
        <v>0</v>
      </c>
      <c r="S51" s="449">
        <f t="shared" si="93"/>
        <v>0</v>
      </c>
      <c r="T51" s="449">
        <f t="shared" si="93"/>
        <v>0</v>
      </c>
      <c r="U51" s="449">
        <f t="shared" si="93"/>
        <v>0</v>
      </c>
      <c r="V51" s="449">
        <f t="shared" ref="V51" si="94">SUM(V48:V50)</f>
        <v>0</v>
      </c>
      <c r="W51" s="449"/>
      <c r="X51" s="449">
        <f t="shared" ref="X51:AJ51" si="95">SUM(X48:X50)</f>
        <v>0</v>
      </c>
      <c r="Y51" s="449">
        <f t="shared" si="95"/>
        <v>0</v>
      </c>
      <c r="Z51" s="449">
        <f t="shared" si="95"/>
        <v>0</v>
      </c>
      <c r="AA51" s="449">
        <f t="shared" si="95"/>
        <v>0</v>
      </c>
      <c r="AB51" s="449">
        <f t="shared" si="95"/>
        <v>0</v>
      </c>
      <c r="AC51" s="449">
        <f t="shared" si="95"/>
        <v>0</v>
      </c>
      <c r="AD51" s="449">
        <f t="shared" si="95"/>
        <v>0</v>
      </c>
      <c r="AE51" s="449">
        <f t="shared" si="95"/>
        <v>0</v>
      </c>
      <c r="AF51" s="449">
        <f t="shared" si="95"/>
        <v>0</v>
      </c>
      <c r="AG51" s="449">
        <f t="shared" si="95"/>
        <v>0</v>
      </c>
      <c r="AH51" s="449">
        <f t="shared" si="95"/>
        <v>0</v>
      </c>
      <c r="AI51" s="449">
        <f t="shared" si="95"/>
        <v>0</v>
      </c>
      <c r="AJ51" s="449">
        <f t="shared" si="95"/>
        <v>0</v>
      </c>
      <c r="AN51" s="449">
        <f t="shared" ref="AN51:AS51" si="96">SUM(AN48:AN50)</f>
        <v>0</v>
      </c>
      <c r="AO51" s="449">
        <f t="shared" si="96"/>
        <v>0</v>
      </c>
      <c r="AP51" s="449">
        <f t="shared" si="96"/>
        <v>0</v>
      </c>
      <c r="AQ51" s="449">
        <f t="shared" si="96"/>
        <v>0</v>
      </c>
      <c r="AR51" s="449">
        <f t="shared" si="96"/>
        <v>0</v>
      </c>
      <c r="AS51" s="449">
        <f t="shared" si="96"/>
        <v>0</v>
      </c>
      <c r="AU51" s="449">
        <f t="shared" ref="AU51:AZ51" si="97">SUM(AU48:AU50)</f>
        <v>0</v>
      </c>
      <c r="AV51" s="449">
        <f t="shared" si="97"/>
        <v>0</v>
      </c>
      <c r="AW51" s="449">
        <f t="shared" si="97"/>
        <v>0</v>
      </c>
      <c r="AX51" s="449">
        <f t="shared" si="97"/>
        <v>0</v>
      </c>
      <c r="AY51" s="449">
        <f t="shared" si="97"/>
        <v>0</v>
      </c>
      <c r="AZ51" s="449">
        <f t="shared" si="97"/>
        <v>0</v>
      </c>
      <c r="BB51" s="449">
        <f t="shared" ref="BB51:BG51" si="98">SUM(BB48:BB50)</f>
        <v>0</v>
      </c>
      <c r="BC51" s="449">
        <f t="shared" si="98"/>
        <v>0</v>
      </c>
      <c r="BD51" s="449">
        <f t="shared" si="98"/>
        <v>0</v>
      </c>
      <c r="BE51" s="449">
        <f t="shared" si="98"/>
        <v>0</v>
      </c>
      <c r="BF51" s="449">
        <f t="shared" si="98"/>
        <v>0</v>
      </c>
      <c r="BG51" s="449">
        <f t="shared" si="98"/>
        <v>0</v>
      </c>
      <c r="BH51" s="449"/>
      <c r="BI51" s="449">
        <f t="shared" ref="BI51:BN51" si="99">SUM(BI48:BI50)</f>
        <v>0</v>
      </c>
      <c r="BJ51" s="449">
        <f t="shared" si="99"/>
        <v>0</v>
      </c>
      <c r="BK51" s="449">
        <f t="shared" si="99"/>
        <v>0</v>
      </c>
      <c r="BL51" s="449">
        <f t="shared" si="99"/>
        <v>0</v>
      </c>
      <c r="BM51" s="449">
        <f t="shared" si="99"/>
        <v>0</v>
      </c>
      <c r="BN51" s="449">
        <f t="shared" si="99"/>
        <v>0</v>
      </c>
      <c r="BO51" s="449"/>
    </row>
    <row r="52" spans="1:67" ht="13.8" thickBot="1">
      <c r="A52" s="344" t="s">
        <v>398</v>
      </c>
      <c r="B52" s="701">
        <f>B51+B47+B33</f>
        <v>91673.59</v>
      </c>
      <c r="C52" s="701">
        <f>C51+C47+C33</f>
        <v>93978.675000000017</v>
      </c>
      <c r="D52" s="345">
        <f>D51+D47+D33</f>
        <v>2305.0850000000055</v>
      </c>
      <c r="E52" s="343"/>
      <c r="F52" s="345">
        <f>F51+F47+F33</f>
        <v>531476.47600000002</v>
      </c>
      <c r="G52" s="345">
        <f>G51+G47+G33</f>
        <v>533904.93800000008</v>
      </c>
      <c r="H52" s="345">
        <f>H51+H47+H33</f>
        <v>2428.4620000000091</v>
      </c>
      <c r="I52" s="343"/>
      <c r="J52" s="449">
        <f t="shared" ref="J52:U52" si="100">J51+J47+J33</f>
        <v>46356.441999999995</v>
      </c>
      <c r="K52" s="449">
        <f t="shared" si="100"/>
        <v>47622.233</v>
      </c>
      <c r="L52" s="449">
        <f t="shared" si="100"/>
        <v>46720.433999999994</v>
      </c>
      <c r="M52" s="449">
        <f t="shared" si="100"/>
        <v>45558.064999999995</v>
      </c>
      <c r="N52" s="449">
        <f t="shared" si="100"/>
        <v>44441.14</v>
      </c>
      <c r="O52" s="449">
        <f t="shared" si="100"/>
        <v>44395.428999999996</v>
      </c>
      <c r="P52" s="449">
        <f t="shared" si="100"/>
        <v>43391.573000000004</v>
      </c>
      <c r="Q52" s="449">
        <f t="shared" si="100"/>
        <v>43325.633000000002</v>
      </c>
      <c r="R52" s="449">
        <f t="shared" si="100"/>
        <v>43069.017</v>
      </c>
      <c r="S52" s="449">
        <f t="shared" si="100"/>
        <v>43003.654999999999</v>
      </c>
      <c r="T52" s="449">
        <f t="shared" si="100"/>
        <v>42966.466</v>
      </c>
      <c r="U52" s="449">
        <f t="shared" si="100"/>
        <v>43054.851000000002</v>
      </c>
      <c r="V52" s="449">
        <f>V51+V47+V33</f>
        <v>533904.93800000008</v>
      </c>
      <c r="W52" s="449"/>
      <c r="X52" s="449">
        <f t="shared" ref="X52:AJ52" si="101">X51+X47+X33</f>
        <v>45843.851999999999</v>
      </c>
      <c r="Y52" s="449">
        <f t="shared" si="101"/>
        <v>45829.737999999998</v>
      </c>
      <c r="Z52" s="449">
        <f t="shared" si="101"/>
        <v>45881.599999999999</v>
      </c>
      <c r="AA52" s="449">
        <f t="shared" si="101"/>
        <v>44578.28</v>
      </c>
      <c r="AB52" s="449">
        <f t="shared" si="101"/>
        <v>44688</v>
      </c>
      <c r="AC52" s="449">
        <f t="shared" si="101"/>
        <v>44545.011999999995</v>
      </c>
      <c r="AD52" s="449">
        <f t="shared" si="101"/>
        <v>43636.729999999996</v>
      </c>
      <c r="AE52" s="449">
        <f t="shared" si="101"/>
        <v>43531.417999999998</v>
      </c>
      <c r="AF52" s="449">
        <f t="shared" si="101"/>
        <v>43247.088999999993</v>
      </c>
      <c r="AG52" s="449">
        <f t="shared" si="101"/>
        <v>43224.441999999995</v>
      </c>
      <c r="AH52" s="449">
        <f t="shared" si="101"/>
        <v>43221.212</v>
      </c>
      <c r="AI52" s="449">
        <f t="shared" si="101"/>
        <v>43249.102999999996</v>
      </c>
      <c r="AJ52" s="449">
        <f t="shared" si="101"/>
        <v>531476.47600000002</v>
      </c>
      <c r="AN52" s="449">
        <f t="shared" ref="AN52:AS52" si="102">AN51+AN47+AN33</f>
        <v>48730.640220000001</v>
      </c>
      <c r="AO52" s="449">
        <f t="shared" si="102"/>
        <v>48233.116000000009</v>
      </c>
      <c r="AP52" s="449">
        <f t="shared" si="102"/>
        <v>48318.358</v>
      </c>
      <c r="AQ52" s="449">
        <f t="shared" si="102"/>
        <v>48116.495000000003</v>
      </c>
      <c r="AR52" s="449">
        <f t="shared" si="102"/>
        <v>48798.627</v>
      </c>
      <c r="AS52" s="449">
        <f t="shared" si="102"/>
        <v>48004.437999999995</v>
      </c>
      <c r="AU52" s="449">
        <f t="shared" ref="AU52:AZ52" si="103">AU51+AU47+AU33</f>
        <v>47189.098999999995</v>
      </c>
      <c r="AV52" s="449">
        <f t="shared" si="103"/>
        <v>46889.570000000007</v>
      </c>
      <c r="AW52" s="449">
        <f t="shared" si="103"/>
        <v>47210.46</v>
      </c>
      <c r="AX52" s="449">
        <f t="shared" si="103"/>
        <v>47107.542000000001</v>
      </c>
      <c r="AY52" s="449">
        <f t="shared" si="103"/>
        <v>47373.697999999997</v>
      </c>
      <c r="AZ52" s="449">
        <f t="shared" si="103"/>
        <v>46549.348999999995</v>
      </c>
      <c r="BB52" s="449">
        <f t="shared" ref="BB52:BG52" si="104">BB51+BB47+BB33</f>
        <v>9885.6319999999996</v>
      </c>
      <c r="BC52" s="449">
        <f t="shared" si="104"/>
        <v>9671.9309999999987</v>
      </c>
      <c r="BD52" s="449">
        <f t="shared" si="104"/>
        <v>9992.0950000000012</v>
      </c>
      <c r="BE52" s="449">
        <f t="shared" si="104"/>
        <v>9903.9929999999986</v>
      </c>
      <c r="BF52" s="449">
        <f t="shared" si="104"/>
        <v>10059.822</v>
      </c>
      <c r="BG52" s="449">
        <f t="shared" si="104"/>
        <v>10045.243</v>
      </c>
      <c r="BH52" s="449"/>
      <c r="BI52" s="449">
        <f t="shared" ref="BI52:BN52" si="105">BI51+BI47+BI33</f>
        <v>9835.1699999999983</v>
      </c>
      <c r="BJ52" s="449">
        <f t="shared" si="105"/>
        <v>9806.784999999998</v>
      </c>
      <c r="BK52" s="449">
        <f t="shared" si="105"/>
        <v>9859.3760000000002</v>
      </c>
      <c r="BL52" s="449">
        <f t="shared" si="105"/>
        <v>9841.3630000000012</v>
      </c>
      <c r="BM52" s="449">
        <f t="shared" si="105"/>
        <v>10058.083999999999</v>
      </c>
      <c r="BN52" s="449">
        <f t="shared" si="105"/>
        <v>10231.124</v>
      </c>
      <c r="BO52" s="449"/>
    </row>
    <row r="53" spans="1:67" ht="13.8" thickBot="1">
      <c r="A53" s="344" t="s">
        <v>865</v>
      </c>
      <c r="B53" s="701">
        <f>B23+B52</f>
        <v>211.59100000000035</v>
      </c>
      <c r="C53" s="701">
        <f>C23+C52</f>
        <v>5691.5130000000208</v>
      </c>
      <c r="D53" s="345">
        <f>D23+D52</f>
        <v>5479.9220000000041</v>
      </c>
      <c r="E53" s="343"/>
      <c r="F53" s="345">
        <f>F23+F52</f>
        <v>-18159.810999999987</v>
      </c>
      <c r="G53" s="345">
        <f>G23+G52</f>
        <v>-17948.039999999804</v>
      </c>
      <c r="H53" s="345">
        <f>H23+H52</f>
        <v>211.7709999999629</v>
      </c>
      <c r="I53" s="343"/>
      <c r="J53" s="449">
        <f>J52+J23</f>
        <v>2127.0429999999978</v>
      </c>
      <c r="K53" s="449">
        <f t="shared" ref="K53:V53" si="106">K52+K23</f>
        <v>3564.4700000000084</v>
      </c>
      <c r="L53" s="449">
        <f t="shared" si="106"/>
        <v>2021.2059999999983</v>
      </c>
      <c r="M53" s="449">
        <f t="shared" si="106"/>
        <v>-2947.471000000005</v>
      </c>
      <c r="N53" s="449">
        <f t="shared" si="106"/>
        <v>-484.37799999999697</v>
      </c>
      <c r="O53" s="449">
        <f t="shared" si="106"/>
        <v>-556.9429999999993</v>
      </c>
      <c r="P53" s="449">
        <f t="shared" si="106"/>
        <v>-5090.5649999999878</v>
      </c>
      <c r="Q53" s="449">
        <f t="shared" si="106"/>
        <v>-1580.0929999999862</v>
      </c>
      <c r="R53" s="449">
        <f t="shared" si="106"/>
        <v>-1873.599000000002</v>
      </c>
      <c r="S53" s="449">
        <f t="shared" si="106"/>
        <v>-5557.7349999999933</v>
      </c>
      <c r="T53" s="449">
        <f t="shared" si="106"/>
        <v>-2001.0250000000015</v>
      </c>
      <c r="U53" s="449">
        <f t="shared" si="106"/>
        <v>-5568.9499999999971</v>
      </c>
      <c r="V53" s="449">
        <f t="shared" si="106"/>
        <v>-17948.039999999804</v>
      </c>
      <c r="W53" s="449"/>
      <c r="X53" s="449">
        <f t="shared" ref="X53:AJ53" si="107">X52+X23</f>
        <v>102.85199999999895</v>
      </c>
      <c r="Y53" s="449">
        <f t="shared" si="107"/>
        <v>108.7390000000014</v>
      </c>
      <c r="Z53" s="449">
        <f t="shared" si="107"/>
        <v>127.60100000000239</v>
      </c>
      <c r="AA53" s="449">
        <f t="shared" si="107"/>
        <v>-1231.7199999999939</v>
      </c>
      <c r="AB53" s="449">
        <f t="shared" si="107"/>
        <v>-1106.9999999999854</v>
      </c>
      <c r="AC53" s="449">
        <f t="shared" si="107"/>
        <v>-1274.077000000012</v>
      </c>
      <c r="AD53" s="449">
        <f t="shared" si="107"/>
        <v>-2177.3689999999988</v>
      </c>
      <c r="AE53" s="449">
        <f t="shared" si="107"/>
        <v>-2297.6810000000041</v>
      </c>
      <c r="AF53" s="449">
        <f t="shared" si="107"/>
        <v>-2583.9120000000039</v>
      </c>
      <c r="AG53" s="449">
        <f t="shared" si="107"/>
        <v>-2609.5590000000084</v>
      </c>
      <c r="AH53" s="449">
        <f t="shared" si="107"/>
        <v>-2612.7889999999898</v>
      </c>
      <c r="AI53" s="449">
        <f t="shared" si="107"/>
        <v>-2604.8960000000079</v>
      </c>
      <c r="AJ53" s="449">
        <f t="shared" si="107"/>
        <v>-18159.809999999939</v>
      </c>
      <c r="AN53" s="449">
        <f t="shared" ref="AN53:AS53" si="108">AN52+AN23</f>
        <v>-3235.4823600000018</v>
      </c>
      <c r="AO53" s="449">
        <f t="shared" si="108"/>
        <v>-3774.778999999995</v>
      </c>
      <c r="AP53" s="449">
        <f t="shared" si="108"/>
        <v>-3515.7999999999956</v>
      </c>
      <c r="AQ53" s="449">
        <f t="shared" si="108"/>
        <v>-3715.3329999999914</v>
      </c>
      <c r="AR53" s="449">
        <f t="shared" si="108"/>
        <v>-3648.1330000000016</v>
      </c>
      <c r="AS53" s="449">
        <f t="shared" si="108"/>
        <v>-6350.1900000000023</v>
      </c>
      <c r="AU53" s="449">
        <f t="shared" ref="AU53:AZ53" si="109">AU52+AU23</f>
        <v>-3674.3430000000008</v>
      </c>
      <c r="AV53" s="449">
        <f t="shared" si="109"/>
        <v>-3542.9499999999898</v>
      </c>
      <c r="AW53" s="449">
        <f t="shared" si="109"/>
        <v>-3320.9290000000037</v>
      </c>
      <c r="AX53" s="449">
        <f t="shared" si="109"/>
        <v>-3379.6299999999974</v>
      </c>
      <c r="AY53" s="449">
        <f t="shared" si="109"/>
        <v>-3419.6499999999942</v>
      </c>
      <c r="AZ53" s="449">
        <f t="shared" si="109"/>
        <v>-6022.8160000000134</v>
      </c>
      <c r="BB53" s="449">
        <f t="shared" ref="BB53:BG53" si="110">BB23+BB52</f>
        <v>6.9999999996070983E-3</v>
      </c>
      <c r="BC53" s="449">
        <f t="shared" si="110"/>
        <v>0</v>
      </c>
      <c r="BD53" s="449">
        <f t="shared" si="110"/>
        <v>1.0000000020227162E-3</v>
      </c>
      <c r="BE53" s="449">
        <f t="shared" si="110"/>
        <v>-1.0000000020227162E-3</v>
      </c>
      <c r="BF53" s="449">
        <f t="shared" si="110"/>
        <v>0</v>
      </c>
      <c r="BG53" s="449">
        <f t="shared" si="110"/>
        <v>0</v>
      </c>
      <c r="BH53" s="449"/>
      <c r="BI53" s="449">
        <f t="shared" ref="BI53:BN53" si="111">BI23+BI52</f>
        <v>-2.000000002226443E-3</v>
      </c>
      <c r="BJ53" s="449">
        <f t="shared" si="111"/>
        <v>-2.000000002226443E-3</v>
      </c>
      <c r="BK53" s="449">
        <f t="shared" si="111"/>
        <v>-1.0000000002037268E-3</v>
      </c>
      <c r="BL53" s="449">
        <f t="shared" si="111"/>
        <v>-2.0000000004074536E-3</v>
      </c>
      <c r="BM53" s="449">
        <f t="shared" si="111"/>
        <v>-2.0000000004074536E-3</v>
      </c>
      <c r="BN53" s="449">
        <f t="shared" si="111"/>
        <v>-9.9999999838473741E-4</v>
      </c>
      <c r="BO53" s="449"/>
    </row>
    <row r="54" spans="1:67">
      <c r="A54" s="1921" t="s">
        <v>1261</v>
      </c>
      <c r="B54" s="700">
        <f t="shared" ref="B54:B58" si="112">SUM(X54:Y54)</f>
        <v>3664</v>
      </c>
      <c r="C54" s="700">
        <f t="shared" ref="C54:C58" si="113">SUM(J54:K54)</f>
        <v>3482.598</v>
      </c>
      <c r="D54" s="343">
        <f t="shared" ref="D54:D58" si="114">C54-B54</f>
        <v>-181.40200000000004</v>
      </c>
      <c r="E54" s="343"/>
      <c r="F54" s="343">
        <f t="shared" ref="F54:F58" si="115">SUM(X54:AI54)</f>
        <v>36497</v>
      </c>
      <c r="G54" s="343">
        <f t="shared" ref="G54:G58" si="116">SUM(J54:U54)</f>
        <v>36314.872000000003</v>
      </c>
      <c r="H54" s="343">
        <f t="shared" ref="H54:H58" si="117">G54-F54</f>
        <v>-182.12799999999697</v>
      </c>
      <c r="I54" s="343"/>
      <c r="J54" s="1746">
        <f>'IncomeandExpenditure Data2'!K57/1000</f>
        <v>1650.2349999999999</v>
      </c>
      <c r="K54" s="1746">
        <f>'IncomeandExpenditure Data2'!L57/1000</f>
        <v>1832.3630000000001</v>
      </c>
      <c r="L54" s="1746">
        <f>'IncomeandExpenditure Data2'!M57/1000</f>
        <v>1829</v>
      </c>
      <c r="M54" s="1746">
        <f>'IncomeandExpenditure Data2'!N57/1000</f>
        <v>1791</v>
      </c>
      <c r="N54" s="1746">
        <f>'IncomeandExpenditure Data2'!O57/1000</f>
        <v>1791</v>
      </c>
      <c r="O54" s="1746">
        <f>'IncomeandExpenditure Data2'!P57/1000</f>
        <v>1766</v>
      </c>
      <c r="P54" s="1746">
        <f>'IncomeandExpenditure Data2'!Q57/1000</f>
        <v>1735</v>
      </c>
      <c r="Q54" s="1746">
        <f>'IncomeandExpenditure Data2'!R57/1000</f>
        <v>1735</v>
      </c>
      <c r="R54" s="1746">
        <f>'IncomeandExpenditure Data2'!S57/1000</f>
        <v>1735</v>
      </c>
      <c r="S54" s="1746">
        <f>'IncomeandExpenditure Data2'!T57/1000</f>
        <v>1651</v>
      </c>
      <c r="T54" s="1746">
        <f>'IncomeandExpenditure Data2'!U57/1000</f>
        <v>1650</v>
      </c>
      <c r="U54" s="1746">
        <f>'IncomeandExpenditure Data2'!V57/1000</f>
        <v>17149.274000000001</v>
      </c>
      <c r="V54" s="448">
        <f>SUM(J54:U54)</f>
        <v>36314.872000000003</v>
      </c>
      <c r="W54" s="448"/>
      <c r="X54" s="1746">
        <f>'IncomeandExpenditure Data2'!Y57/1000</f>
        <v>1832</v>
      </c>
      <c r="Y54" s="1746">
        <f>'IncomeandExpenditure Data2'!Z57/1000</f>
        <v>1832</v>
      </c>
      <c r="Z54" s="1746">
        <f>'IncomeandExpenditure Data2'!AA57/1000</f>
        <v>1802</v>
      </c>
      <c r="AA54" s="1746">
        <f>'IncomeandExpenditure Data2'!AB57/1000</f>
        <v>1797</v>
      </c>
      <c r="AB54" s="1746">
        <f>'IncomeandExpenditure Data2'!AC57/1000</f>
        <v>1797</v>
      </c>
      <c r="AC54" s="1746">
        <f>'IncomeandExpenditure Data2'!AD57/1000</f>
        <v>1797</v>
      </c>
      <c r="AD54" s="1746">
        <f>'IncomeandExpenditure Data2'!AE57/1000</f>
        <v>1735</v>
      </c>
      <c r="AE54" s="1746">
        <f>'IncomeandExpenditure Data2'!AF57/1000</f>
        <v>1735</v>
      </c>
      <c r="AF54" s="1746">
        <f>'IncomeandExpenditure Data2'!AG57/1000</f>
        <v>1730</v>
      </c>
      <c r="AG54" s="1746">
        <f>'IncomeandExpenditure Data2'!AH57/1000</f>
        <v>1648</v>
      </c>
      <c r="AH54" s="1746">
        <f>'IncomeandExpenditure Data2'!AI57/1000</f>
        <v>1646</v>
      </c>
      <c r="AI54" s="1746">
        <f>'IncomeandExpenditure Data2'!AJ57/1000</f>
        <v>17146</v>
      </c>
      <c r="AJ54" s="448">
        <f>SUM(X54:AI54)</f>
        <v>36497</v>
      </c>
      <c r="AN54" s="1559">
        <v>4.3490000000000002</v>
      </c>
      <c r="AO54" s="1559">
        <v>-2.5510000000000002</v>
      </c>
      <c r="AP54" s="1559">
        <v>0</v>
      </c>
      <c r="AQ54" s="1559">
        <v>0</v>
      </c>
      <c r="AR54" s="1559">
        <v>0</v>
      </c>
      <c r="AS54" s="1559">
        <v>-41</v>
      </c>
      <c r="AU54" s="448">
        <v>-89.25</v>
      </c>
      <c r="AV54" s="1559">
        <v>-89.531999999999996</v>
      </c>
      <c r="AW54" s="1559">
        <v>-109.554</v>
      </c>
      <c r="AX54" s="1559">
        <v>-109.27200000000001</v>
      </c>
      <c r="AY54" s="1559">
        <v>-89.25</v>
      </c>
      <c r="AZ54" s="1559">
        <v>-350.08600000000001</v>
      </c>
      <c r="BB54" s="448"/>
      <c r="BC54" s="448"/>
      <c r="BD54" s="448"/>
      <c r="BE54" s="448"/>
      <c r="BF54" s="448"/>
      <c r="BG54" s="448"/>
      <c r="BH54" s="448"/>
      <c r="BI54" s="448"/>
      <c r="BJ54" s="448"/>
      <c r="BK54" s="448"/>
      <c r="BL54" s="448"/>
      <c r="BM54" s="448"/>
      <c r="BN54" s="448"/>
      <c r="BO54" s="448"/>
    </row>
    <row r="55" spans="1:67">
      <c r="A55" s="1921" t="s">
        <v>1262</v>
      </c>
      <c r="B55" s="700">
        <f t="shared" si="112"/>
        <v>868</v>
      </c>
      <c r="C55" s="700">
        <f t="shared" si="113"/>
        <v>882.83500000000004</v>
      </c>
      <c r="D55" s="343">
        <f t="shared" si="114"/>
        <v>14.835000000000036</v>
      </c>
      <c r="E55" s="343"/>
      <c r="F55" s="343">
        <f t="shared" si="115"/>
        <v>5617.0039999999999</v>
      </c>
      <c r="G55" s="343">
        <f t="shared" si="116"/>
        <v>5586.8389999999999</v>
      </c>
      <c r="H55" s="343">
        <f t="shared" si="117"/>
        <v>-30.164999999999964</v>
      </c>
      <c r="I55" s="343"/>
      <c r="J55" s="1746">
        <f>'IncomeandExpenditure Data2'!K58/1000</f>
        <v>417.18</v>
      </c>
      <c r="K55" s="1746">
        <f>'IncomeandExpenditure Data2'!L58/1000</f>
        <v>465.65499999999997</v>
      </c>
      <c r="L55" s="1746">
        <f>'IncomeandExpenditure Data2'!M58/1000</f>
        <v>456</v>
      </c>
      <c r="M55" s="1746">
        <f>'IncomeandExpenditure Data2'!N58/1000</f>
        <v>467</v>
      </c>
      <c r="N55" s="1746">
        <f>'IncomeandExpenditure Data2'!O58/1000</f>
        <v>473</v>
      </c>
      <c r="O55" s="1746">
        <f>'IncomeandExpenditure Data2'!P58/1000</f>
        <v>475</v>
      </c>
      <c r="P55" s="1746">
        <f>'IncomeandExpenditure Data2'!Q58/1000</f>
        <v>474</v>
      </c>
      <c r="Q55" s="1746">
        <f>'IncomeandExpenditure Data2'!R58/1000</f>
        <v>472</v>
      </c>
      <c r="R55" s="1746">
        <f>'IncomeandExpenditure Data2'!S58/1000</f>
        <v>471</v>
      </c>
      <c r="S55" s="1746">
        <f>'IncomeandExpenditure Data2'!T58/1000</f>
        <v>472</v>
      </c>
      <c r="T55" s="1746">
        <f>'IncomeandExpenditure Data2'!U58/1000</f>
        <v>471</v>
      </c>
      <c r="U55" s="1746">
        <f>'IncomeandExpenditure Data2'!V58/1000</f>
        <v>473.00400000000002</v>
      </c>
      <c r="V55" s="448">
        <f>SUM(J55:U55)</f>
        <v>5586.8389999999999</v>
      </c>
      <c r="W55" s="448"/>
      <c r="X55" s="1746">
        <f>'IncomeandExpenditure Data2'!Y58/1000</f>
        <v>425</v>
      </c>
      <c r="Y55" s="1746">
        <f>'IncomeandExpenditure Data2'!Z58/1000</f>
        <v>443</v>
      </c>
      <c r="Z55" s="1746">
        <f>'IncomeandExpenditure Data2'!AA58/1000</f>
        <v>453</v>
      </c>
      <c r="AA55" s="1746">
        <f>'IncomeandExpenditure Data2'!AB58/1000</f>
        <v>479</v>
      </c>
      <c r="AB55" s="1746">
        <f>'IncomeandExpenditure Data2'!AC58/1000</f>
        <v>481</v>
      </c>
      <c r="AC55" s="1746">
        <f>'IncomeandExpenditure Data2'!AD58/1000</f>
        <v>488</v>
      </c>
      <c r="AD55" s="1746">
        <f>'IncomeandExpenditure Data2'!AE58/1000</f>
        <v>475</v>
      </c>
      <c r="AE55" s="1746">
        <f>'IncomeandExpenditure Data2'!AF58/1000</f>
        <v>474</v>
      </c>
      <c r="AF55" s="1746">
        <f>'IncomeandExpenditure Data2'!AG58/1000</f>
        <v>474</v>
      </c>
      <c r="AG55" s="1746">
        <f>'IncomeandExpenditure Data2'!AH58/1000</f>
        <v>474</v>
      </c>
      <c r="AH55" s="1746">
        <f>'IncomeandExpenditure Data2'!AI58/1000</f>
        <v>474</v>
      </c>
      <c r="AI55" s="1746">
        <f>'IncomeandExpenditure Data2'!AJ58/1000</f>
        <v>477.00400000000002</v>
      </c>
      <c r="AJ55" s="448">
        <f>SUM(X55:AI55)</f>
        <v>5617.0039999999999</v>
      </c>
      <c r="AN55" s="1559">
        <v>259.93299999999999</v>
      </c>
      <c r="AO55" s="1559">
        <v>260.93900000000002</v>
      </c>
      <c r="AP55" s="1559">
        <v>265.13299999999998</v>
      </c>
      <c r="AQ55" s="1559">
        <v>308.13299999999998</v>
      </c>
      <c r="AR55" s="1559">
        <v>308.13299999999998</v>
      </c>
      <c r="AS55" s="1559">
        <v>454.13299999999998</v>
      </c>
      <c r="AU55" s="448">
        <v>299.13299999999998</v>
      </c>
      <c r="AV55" s="1559">
        <v>300.13299999999998</v>
      </c>
      <c r="AW55" s="1559">
        <v>301.13299999999998</v>
      </c>
      <c r="AX55" s="1559">
        <v>306.13299999999998</v>
      </c>
      <c r="AY55" s="1559">
        <v>306.13299999999998</v>
      </c>
      <c r="AZ55" s="1559">
        <v>392.13299999999998</v>
      </c>
      <c r="BB55" s="448"/>
      <c r="BC55" s="448"/>
      <c r="BD55" s="448"/>
      <c r="BE55" s="448"/>
      <c r="BF55" s="448"/>
      <c r="BG55" s="448"/>
      <c r="BH55" s="448"/>
      <c r="BI55" s="448"/>
      <c r="BJ55" s="448"/>
      <c r="BK55" s="448"/>
      <c r="BL55" s="448"/>
      <c r="BM55" s="448"/>
      <c r="BN55" s="448"/>
      <c r="BO55" s="448"/>
    </row>
    <row r="56" spans="1:67">
      <c r="A56" s="1921" t="s">
        <v>10</v>
      </c>
      <c r="B56" s="700">
        <f t="shared" si="112"/>
        <v>-8</v>
      </c>
      <c r="C56" s="700">
        <f t="shared" si="113"/>
        <v>-7.4809999999999999</v>
      </c>
      <c r="D56" s="343">
        <f t="shared" si="114"/>
        <v>0.51900000000000013</v>
      </c>
      <c r="E56" s="343"/>
      <c r="F56" s="343">
        <f t="shared" si="115"/>
        <v>-48</v>
      </c>
      <c r="G56" s="343">
        <f t="shared" si="116"/>
        <v>-47.481000000000002</v>
      </c>
      <c r="H56" s="343">
        <f t="shared" si="117"/>
        <v>0.51899999999999835</v>
      </c>
      <c r="I56" s="343"/>
      <c r="J56" s="1746">
        <f>'IncomeandExpenditure Data2'!K59/1000</f>
        <v>-3.2549999999999999</v>
      </c>
      <c r="K56" s="1746">
        <f>'IncomeandExpenditure Data2'!L59/1000</f>
        <v>-4.226</v>
      </c>
      <c r="L56" s="1746">
        <f>'IncomeandExpenditure Data2'!M59/1000</f>
        <v>-4</v>
      </c>
      <c r="M56" s="1746">
        <f>'IncomeandExpenditure Data2'!N59/1000</f>
        <v>-4</v>
      </c>
      <c r="N56" s="1746">
        <f>'IncomeandExpenditure Data2'!O59/1000</f>
        <v>-4</v>
      </c>
      <c r="O56" s="1746">
        <f>'IncomeandExpenditure Data2'!P59/1000</f>
        <v>-4</v>
      </c>
      <c r="P56" s="1746">
        <f>'IncomeandExpenditure Data2'!Q59/1000</f>
        <v>-4</v>
      </c>
      <c r="Q56" s="1746">
        <f>'IncomeandExpenditure Data2'!R59/1000</f>
        <v>-4</v>
      </c>
      <c r="R56" s="1746">
        <f>'IncomeandExpenditure Data2'!S59/1000</f>
        <v>-4</v>
      </c>
      <c r="S56" s="1746">
        <f>'IncomeandExpenditure Data2'!T59/1000</f>
        <v>-4</v>
      </c>
      <c r="T56" s="1746">
        <f>'IncomeandExpenditure Data2'!U59/1000</f>
        <v>-4</v>
      </c>
      <c r="U56" s="1746">
        <f>'IncomeandExpenditure Data2'!V59/1000</f>
        <v>-4</v>
      </c>
      <c r="V56" s="448">
        <f>SUM(J56:U56)</f>
        <v>-47.481000000000002</v>
      </c>
      <c r="W56" s="448"/>
      <c r="X56" s="1746">
        <f>'IncomeandExpenditure Data2'!Y59/1000</f>
        <v>-4</v>
      </c>
      <c r="Y56" s="1746">
        <f>'IncomeandExpenditure Data2'!Z59/1000</f>
        <v>-4</v>
      </c>
      <c r="Z56" s="1746">
        <f>'IncomeandExpenditure Data2'!AA59/1000</f>
        <v>-4</v>
      </c>
      <c r="AA56" s="1746">
        <f>'IncomeandExpenditure Data2'!AB59/1000</f>
        <v>-4</v>
      </c>
      <c r="AB56" s="1746">
        <f>'IncomeandExpenditure Data2'!AC59/1000</f>
        <v>-4</v>
      </c>
      <c r="AC56" s="1746">
        <f>'IncomeandExpenditure Data2'!AD59/1000</f>
        <v>-4</v>
      </c>
      <c r="AD56" s="1746">
        <f>'IncomeandExpenditure Data2'!AE59/1000</f>
        <v>-4</v>
      </c>
      <c r="AE56" s="1746">
        <f>'IncomeandExpenditure Data2'!AF59/1000</f>
        <v>-4</v>
      </c>
      <c r="AF56" s="1746">
        <f>'IncomeandExpenditure Data2'!AG59/1000</f>
        <v>-4</v>
      </c>
      <c r="AG56" s="1746">
        <f>'IncomeandExpenditure Data2'!AH59/1000</f>
        <v>-4</v>
      </c>
      <c r="AH56" s="1746">
        <f>'IncomeandExpenditure Data2'!AI59/1000</f>
        <v>-4</v>
      </c>
      <c r="AI56" s="1746">
        <f>'IncomeandExpenditure Data2'!AJ59/1000</f>
        <v>-4</v>
      </c>
      <c r="AJ56" s="448">
        <f>SUM(X56:AI56)</f>
        <v>-48</v>
      </c>
      <c r="AN56" s="1559">
        <v>-6.4989999999999997</v>
      </c>
      <c r="AO56" s="1559">
        <v>-2.681</v>
      </c>
      <c r="AP56" s="1559">
        <v>-5</v>
      </c>
      <c r="AQ56" s="1559">
        <v>-5</v>
      </c>
      <c r="AR56" s="1559">
        <v>-5</v>
      </c>
      <c r="AS56" s="1559">
        <v>-5</v>
      </c>
      <c r="AU56" s="448">
        <v>-6</v>
      </c>
      <c r="AV56" s="1559">
        <v>-6</v>
      </c>
      <c r="AW56" s="1559">
        <v>-6</v>
      </c>
      <c r="AX56" s="1559">
        <v>-6</v>
      </c>
      <c r="AY56" s="1559">
        <v>-6</v>
      </c>
      <c r="AZ56" s="1559">
        <v>-6</v>
      </c>
      <c r="BB56" s="448"/>
      <c r="BC56" s="448"/>
      <c r="BD56" s="448"/>
      <c r="BE56" s="448"/>
      <c r="BF56" s="448"/>
      <c r="BG56" s="448"/>
      <c r="BH56" s="448"/>
      <c r="BI56" s="448"/>
      <c r="BJ56" s="448"/>
      <c r="BK56" s="448"/>
      <c r="BL56" s="448"/>
      <c r="BM56" s="448"/>
      <c r="BN56" s="448"/>
      <c r="BO56" s="448"/>
    </row>
    <row r="57" spans="1:67">
      <c r="A57" s="1921" t="s">
        <v>1263</v>
      </c>
      <c r="B57" s="700">
        <f t="shared" si="112"/>
        <v>0</v>
      </c>
      <c r="C57" s="700">
        <f t="shared" si="113"/>
        <v>0</v>
      </c>
      <c r="D57" s="343">
        <f t="shared" si="114"/>
        <v>0</v>
      </c>
      <c r="E57" s="343"/>
      <c r="F57" s="343">
        <f t="shared" si="115"/>
        <v>0</v>
      </c>
      <c r="G57" s="343">
        <f t="shared" si="116"/>
        <v>0</v>
      </c>
      <c r="H57" s="343">
        <f t="shared" si="117"/>
        <v>0</v>
      </c>
      <c r="I57" s="343"/>
      <c r="J57" s="1746">
        <f>'IncomeandExpenditure Data2'!K60/1000</f>
        <v>0</v>
      </c>
      <c r="K57" s="1746">
        <f>'IncomeandExpenditure Data2'!L60/1000</f>
        <v>0</v>
      </c>
      <c r="L57" s="1746">
        <f>'IncomeandExpenditure Data2'!M60/1000</f>
        <v>0</v>
      </c>
      <c r="M57" s="1746">
        <f>'IncomeandExpenditure Data2'!N60/1000</f>
        <v>0</v>
      </c>
      <c r="N57" s="1746">
        <f>'IncomeandExpenditure Data2'!O60/1000</f>
        <v>0</v>
      </c>
      <c r="O57" s="1746">
        <f>'IncomeandExpenditure Data2'!P60/1000</f>
        <v>0</v>
      </c>
      <c r="P57" s="1746">
        <f>'IncomeandExpenditure Data2'!Q60/1000</f>
        <v>0</v>
      </c>
      <c r="Q57" s="1746">
        <f>'IncomeandExpenditure Data2'!R60/1000</f>
        <v>0</v>
      </c>
      <c r="R57" s="1746">
        <f>'IncomeandExpenditure Data2'!S60/1000</f>
        <v>0</v>
      </c>
      <c r="S57" s="1746">
        <f>'IncomeandExpenditure Data2'!T60/1000</f>
        <v>0</v>
      </c>
      <c r="T57" s="1746">
        <f>'IncomeandExpenditure Data2'!U60/1000</f>
        <v>0</v>
      </c>
      <c r="U57" s="1746">
        <f>'IncomeandExpenditure Data2'!V60/1000</f>
        <v>0</v>
      </c>
      <c r="V57" s="448">
        <f>SUM(J57:U57)</f>
        <v>0</v>
      </c>
      <c r="W57" s="448"/>
      <c r="X57" s="1746">
        <f>'IncomeandExpenditure Data2'!Y60/1000</f>
        <v>0</v>
      </c>
      <c r="Y57" s="1746">
        <f>'IncomeandExpenditure Data2'!Z60/1000</f>
        <v>0</v>
      </c>
      <c r="Z57" s="1746">
        <f>'IncomeandExpenditure Data2'!AA60/1000</f>
        <v>0</v>
      </c>
      <c r="AA57" s="1746">
        <f>'IncomeandExpenditure Data2'!AB60/1000</f>
        <v>0</v>
      </c>
      <c r="AB57" s="1746">
        <f>'IncomeandExpenditure Data2'!AC60/1000</f>
        <v>0</v>
      </c>
      <c r="AC57" s="1746">
        <f>'IncomeandExpenditure Data2'!AD60/1000</f>
        <v>0</v>
      </c>
      <c r="AD57" s="1746">
        <f>'IncomeandExpenditure Data2'!AE60/1000</f>
        <v>0</v>
      </c>
      <c r="AE57" s="1746">
        <f>'IncomeandExpenditure Data2'!AF60/1000</f>
        <v>0</v>
      </c>
      <c r="AF57" s="1746">
        <f>'IncomeandExpenditure Data2'!AG60/1000</f>
        <v>0</v>
      </c>
      <c r="AG57" s="1746">
        <f>'IncomeandExpenditure Data2'!AH60/1000</f>
        <v>0</v>
      </c>
      <c r="AH57" s="1746">
        <f>'IncomeandExpenditure Data2'!AI60/1000</f>
        <v>0</v>
      </c>
      <c r="AI57" s="1746">
        <f>'IncomeandExpenditure Data2'!AJ60/1000</f>
        <v>0</v>
      </c>
      <c r="AJ57" s="448">
        <f>SUM(X57:AI57)</f>
        <v>0</v>
      </c>
      <c r="AN57" s="1559">
        <v>1814</v>
      </c>
      <c r="AO57" s="1559">
        <v>1814</v>
      </c>
      <c r="AP57" s="1559">
        <v>1814</v>
      </c>
      <c r="AQ57" s="1559">
        <v>1881</v>
      </c>
      <c r="AR57" s="1559">
        <v>1881</v>
      </c>
      <c r="AS57" s="1559">
        <v>8881</v>
      </c>
      <c r="AU57" s="448">
        <v>1811.4173400000002</v>
      </c>
      <c r="AV57" s="1559">
        <v>1811.4169999999999</v>
      </c>
      <c r="AW57" s="1559">
        <v>1811.4169999999999</v>
      </c>
      <c r="AX57" s="1559">
        <v>1915.8340000000001</v>
      </c>
      <c r="AY57" s="1559">
        <v>1915.8340000000001</v>
      </c>
      <c r="AZ57" s="1559">
        <v>8919.8340000000007</v>
      </c>
      <c r="BB57" s="448"/>
      <c r="BC57" s="448"/>
      <c r="BD57" s="448"/>
      <c r="BE57" s="448"/>
      <c r="BF57" s="448"/>
      <c r="BG57" s="448"/>
      <c r="BH57" s="448"/>
      <c r="BI57" s="448"/>
      <c r="BJ57" s="448"/>
      <c r="BK57" s="448"/>
      <c r="BL57" s="448"/>
      <c r="BM57" s="448"/>
      <c r="BN57" s="448"/>
      <c r="BO57" s="448"/>
    </row>
    <row r="58" spans="1:67" ht="13.8" thickBot="1">
      <c r="A58" s="1921" t="s">
        <v>1264</v>
      </c>
      <c r="B58" s="700">
        <f t="shared" si="112"/>
        <v>1166</v>
      </c>
      <c r="C58" s="700">
        <f t="shared" si="113"/>
        <v>1166</v>
      </c>
      <c r="D58" s="343">
        <f t="shared" si="114"/>
        <v>0</v>
      </c>
      <c r="E58" s="343"/>
      <c r="F58" s="343">
        <f t="shared" si="115"/>
        <v>7385</v>
      </c>
      <c r="G58" s="343">
        <f t="shared" si="116"/>
        <v>7385</v>
      </c>
      <c r="H58" s="343">
        <f t="shared" si="117"/>
        <v>0</v>
      </c>
      <c r="I58" s="343"/>
      <c r="J58" s="1746">
        <f>'IncomeandExpenditure Data2'!K61/1000</f>
        <v>575</v>
      </c>
      <c r="K58" s="1746">
        <f>'IncomeandExpenditure Data2'!L61/1000</f>
        <v>591</v>
      </c>
      <c r="L58" s="1746">
        <f>'IncomeandExpenditure Data2'!M61/1000</f>
        <v>605</v>
      </c>
      <c r="M58" s="1746">
        <f>'IncomeandExpenditure Data2'!N61/1000</f>
        <v>608</v>
      </c>
      <c r="N58" s="1746">
        <f>'IncomeandExpenditure Data2'!O61/1000</f>
        <v>611</v>
      </c>
      <c r="O58" s="1746">
        <f>'IncomeandExpenditure Data2'!P61/1000</f>
        <v>936</v>
      </c>
      <c r="P58" s="1746">
        <f>'IncomeandExpenditure Data2'!Q61/1000</f>
        <v>322</v>
      </c>
      <c r="Q58" s="1746">
        <f>'IncomeandExpenditure Data2'!R61/1000</f>
        <v>650</v>
      </c>
      <c r="R58" s="1746">
        <f>'IncomeandExpenditure Data2'!S61/1000</f>
        <v>667</v>
      </c>
      <c r="S58" s="1746">
        <f>'IncomeandExpenditure Data2'!T61/1000</f>
        <v>684</v>
      </c>
      <c r="T58" s="1746">
        <f>'IncomeandExpenditure Data2'!U61/1000</f>
        <v>699</v>
      </c>
      <c r="U58" s="1746">
        <f>'IncomeandExpenditure Data2'!V61/1000</f>
        <v>437</v>
      </c>
      <c r="V58" s="448">
        <f>SUM(J58:U58)</f>
        <v>7385</v>
      </c>
      <c r="W58" s="448"/>
      <c r="X58" s="1746">
        <f>'IncomeandExpenditure Data2'!Y61/1000</f>
        <v>575</v>
      </c>
      <c r="Y58" s="1746">
        <f>'IncomeandExpenditure Data2'!Z61/1000</f>
        <v>591</v>
      </c>
      <c r="Z58" s="1746">
        <f>'IncomeandExpenditure Data2'!AA61/1000</f>
        <v>605</v>
      </c>
      <c r="AA58" s="1746">
        <f>'IncomeandExpenditure Data2'!AB61/1000</f>
        <v>608</v>
      </c>
      <c r="AB58" s="1746">
        <f>'IncomeandExpenditure Data2'!AC61/1000</f>
        <v>611</v>
      </c>
      <c r="AC58" s="1746">
        <f>'IncomeandExpenditure Data2'!AD61/1000</f>
        <v>936</v>
      </c>
      <c r="AD58" s="1746">
        <f>'IncomeandExpenditure Data2'!AE61/1000</f>
        <v>322</v>
      </c>
      <c r="AE58" s="1746">
        <f>'IncomeandExpenditure Data2'!AF61/1000</f>
        <v>650</v>
      </c>
      <c r="AF58" s="1746">
        <f>'IncomeandExpenditure Data2'!AG61/1000</f>
        <v>667</v>
      </c>
      <c r="AG58" s="1746">
        <f>'IncomeandExpenditure Data2'!AH61/1000</f>
        <v>684</v>
      </c>
      <c r="AH58" s="1746">
        <f>'IncomeandExpenditure Data2'!AI61/1000</f>
        <v>699</v>
      </c>
      <c r="AI58" s="1746">
        <f>'IncomeandExpenditure Data2'!AJ61/1000</f>
        <v>437</v>
      </c>
      <c r="AJ58" s="448">
        <f>SUM(X58:AI58)</f>
        <v>7385</v>
      </c>
      <c r="AN58" s="1559">
        <v>630</v>
      </c>
      <c r="AO58" s="1559">
        <v>630</v>
      </c>
      <c r="AP58" s="1559">
        <v>670</v>
      </c>
      <c r="AQ58" s="1559">
        <v>629</v>
      </c>
      <c r="AR58" s="1559">
        <v>639</v>
      </c>
      <c r="AS58" s="1559">
        <v>593</v>
      </c>
      <c r="AU58" s="448">
        <v>613.93332999999996</v>
      </c>
      <c r="AV58" s="1559">
        <v>613.93299999999999</v>
      </c>
      <c r="AW58" s="1559">
        <v>552.93299999999999</v>
      </c>
      <c r="AX58" s="1559">
        <v>601.93299999999999</v>
      </c>
      <c r="AY58" s="1559">
        <v>576.93299999999999</v>
      </c>
      <c r="AZ58" s="1559">
        <v>505.93299999999999</v>
      </c>
      <c r="BB58" s="448"/>
      <c r="BC58" s="448"/>
      <c r="BD58" s="448"/>
      <c r="BE58" s="448"/>
      <c r="BF58" s="448"/>
      <c r="BG58" s="448"/>
      <c r="BH58" s="448"/>
      <c r="BI58" s="448"/>
      <c r="BJ58" s="448"/>
      <c r="BK58" s="448"/>
      <c r="BL58" s="448"/>
      <c r="BM58" s="448"/>
      <c r="BN58" s="448"/>
      <c r="BO58" s="448"/>
    </row>
    <row r="59" spans="1:67" ht="13.8" thickBot="1">
      <c r="A59" s="344" t="s">
        <v>411</v>
      </c>
      <c r="B59" s="701">
        <f>SUM(B54:B58)</f>
        <v>5690</v>
      </c>
      <c r="C59" s="701">
        <f>SUM(C54:C58)</f>
        <v>5523.9520000000002</v>
      </c>
      <c r="D59" s="345">
        <f>SUM(D54:D58)</f>
        <v>-166.048</v>
      </c>
      <c r="E59" s="343"/>
      <c r="F59" s="345">
        <f>SUM(F54:F58)</f>
        <v>49451.004000000001</v>
      </c>
      <c r="G59" s="345">
        <f>SUM(G54:G58)</f>
        <v>49239.23</v>
      </c>
      <c r="H59" s="345">
        <f>SUM(H54:H58)</f>
        <v>-211.77399999999693</v>
      </c>
      <c r="I59" s="343"/>
      <c r="J59" s="449">
        <f>SUM(J54:J58)</f>
        <v>2639.16</v>
      </c>
      <c r="K59" s="449">
        <f t="shared" ref="K59:V59" si="118">SUM(K54:K58)</f>
        <v>2884.7919999999999</v>
      </c>
      <c r="L59" s="449">
        <f t="shared" si="118"/>
        <v>2886</v>
      </c>
      <c r="M59" s="449">
        <f t="shared" si="118"/>
        <v>2862</v>
      </c>
      <c r="N59" s="449">
        <f t="shared" si="118"/>
        <v>2871</v>
      </c>
      <c r="O59" s="449">
        <f t="shared" si="118"/>
        <v>3173</v>
      </c>
      <c r="P59" s="449">
        <f t="shared" si="118"/>
        <v>2527</v>
      </c>
      <c r="Q59" s="449">
        <f t="shared" si="118"/>
        <v>2853</v>
      </c>
      <c r="R59" s="449">
        <f t="shared" si="118"/>
        <v>2869</v>
      </c>
      <c r="S59" s="449">
        <f t="shared" si="118"/>
        <v>2803</v>
      </c>
      <c r="T59" s="449">
        <f t="shared" si="118"/>
        <v>2816</v>
      </c>
      <c r="U59" s="449">
        <f t="shared" si="118"/>
        <v>18055.278000000002</v>
      </c>
      <c r="V59" s="449">
        <f t="shared" si="118"/>
        <v>49239.23</v>
      </c>
      <c r="W59" s="449"/>
      <c r="X59" s="449">
        <f t="shared" ref="X59:AJ59" si="119">SUM(X54:X58)</f>
        <v>2828</v>
      </c>
      <c r="Y59" s="449">
        <f t="shared" si="119"/>
        <v>2862</v>
      </c>
      <c r="Z59" s="449">
        <f t="shared" si="119"/>
        <v>2856</v>
      </c>
      <c r="AA59" s="449">
        <f t="shared" si="119"/>
        <v>2880</v>
      </c>
      <c r="AB59" s="449">
        <f t="shared" si="119"/>
        <v>2885</v>
      </c>
      <c r="AC59" s="449">
        <f t="shared" si="119"/>
        <v>3217</v>
      </c>
      <c r="AD59" s="449">
        <f t="shared" si="119"/>
        <v>2528</v>
      </c>
      <c r="AE59" s="449">
        <f t="shared" si="119"/>
        <v>2855</v>
      </c>
      <c r="AF59" s="449">
        <f t="shared" si="119"/>
        <v>2867</v>
      </c>
      <c r="AG59" s="449">
        <f t="shared" si="119"/>
        <v>2802</v>
      </c>
      <c r="AH59" s="449">
        <f t="shared" si="119"/>
        <v>2815</v>
      </c>
      <c r="AI59" s="449">
        <f t="shared" si="119"/>
        <v>18056.004000000001</v>
      </c>
      <c r="AJ59" s="449">
        <f t="shared" si="119"/>
        <v>49451.004000000001</v>
      </c>
      <c r="AN59" s="449">
        <f t="shared" ref="AN59:AS59" si="120">SUM(AN54:AN58)</f>
        <v>2701.7829999999999</v>
      </c>
      <c r="AO59" s="449">
        <f t="shared" si="120"/>
        <v>2699.7069999999999</v>
      </c>
      <c r="AP59" s="449">
        <f t="shared" si="120"/>
        <v>2744.1329999999998</v>
      </c>
      <c r="AQ59" s="449">
        <f t="shared" si="120"/>
        <v>2813.1329999999998</v>
      </c>
      <c r="AR59" s="449">
        <f t="shared" si="120"/>
        <v>2823.1329999999998</v>
      </c>
      <c r="AS59" s="449">
        <f t="shared" si="120"/>
        <v>9882.1329999999998</v>
      </c>
      <c r="AU59" s="449">
        <f t="shared" ref="AU59:AZ59" si="121">SUM(AU54:AU58)</f>
        <v>2629.2336700000001</v>
      </c>
      <c r="AV59" s="449">
        <f t="shared" si="121"/>
        <v>2629.951</v>
      </c>
      <c r="AW59" s="449">
        <f t="shared" si="121"/>
        <v>2549.9290000000001</v>
      </c>
      <c r="AX59" s="449">
        <f t="shared" si="121"/>
        <v>2708.6280000000002</v>
      </c>
      <c r="AY59" s="449">
        <f t="shared" si="121"/>
        <v>2703.65</v>
      </c>
      <c r="AZ59" s="449">
        <f t="shared" si="121"/>
        <v>9461.8140000000021</v>
      </c>
      <c r="BB59" s="449">
        <f t="shared" ref="BB59:BG59" si="122">SUM(BB54:BB58)</f>
        <v>0</v>
      </c>
      <c r="BC59" s="449">
        <f t="shared" si="122"/>
        <v>0</v>
      </c>
      <c r="BD59" s="449">
        <f t="shared" si="122"/>
        <v>0</v>
      </c>
      <c r="BE59" s="449">
        <f t="shared" si="122"/>
        <v>0</v>
      </c>
      <c r="BF59" s="449">
        <f t="shared" si="122"/>
        <v>0</v>
      </c>
      <c r="BG59" s="449">
        <f t="shared" si="122"/>
        <v>0</v>
      </c>
      <c r="BH59" s="449"/>
      <c r="BI59" s="449">
        <f t="shared" ref="BI59:BN59" si="123">SUM(BI54:BI58)</f>
        <v>0</v>
      </c>
      <c r="BJ59" s="449">
        <f t="shared" si="123"/>
        <v>0</v>
      </c>
      <c r="BK59" s="449">
        <f t="shared" si="123"/>
        <v>0</v>
      </c>
      <c r="BL59" s="449">
        <f t="shared" si="123"/>
        <v>0</v>
      </c>
      <c r="BM59" s="449">
        <f t="shared" si="123"/>
        <v>0</v>
      </c>
      <c r="BN59" s="449">
        <f t="shared" si="123"/>
        <v>0</v>
      </c>
      <c r="BO59" s="449"/>
    </row>
    <row r="60" spans="1:67" ht="13.8" thickBot="1">
      <c r="A60" s="344" t="s">
        <v>438</v>
      </c>
      <c r="B60" s="701">
        <f>B53+B59</f>
        <v>5901.5910000000003</v>
      </c>
      <c r="C60" s="701">
        <f>C53+C59</f>
        <v>11215.465000000022</v>
      </c>
      <c r="D60" s="345">
        <f>D53+D59</f>
        <v>5313.8740000000043</v>
      </c>
      <c r="E60" s="343"/>
      <c r="F60" s="345">
        <f>F53+F59</f>
        <v>31291.193000000014</v>
      </c>
      <c r="G60" s="345">
        <f>G53+G59</f>
        <v>31291.190000000199</v>
      </c>
      <c r="H60" s="345">
        <f>H53+H59</f>
        <v>-3.0000000340351107E-3</v>
      </c>
      <c r="I60" s="343"/>
      <c r="J60" s="449">
        <f t="shared" ref="J60:U60" si="124">J59+J53</f>
        <v>4766.2029999999977</v>
      </c>
      <c r="K60" s="449">
        <f t="shared" si="124"/>
        <v>6449.2620000000079</v>
      </c>
      <c r="L60" s="449">
        <f t="shared" si="124"/>
        <v>4907.2059999999983</v>
      </c>
      <c r="M60" s="449">
        <f t="shared" si="124"/>
        <v>-85.471000000005006</v>
      </c>
      <c r="N60" s="449">
        <f t="shared" si="124"/>
        <v>2386.622000000003</v>
      </c>
      <c r="O60" s="449">
        <f t="shared" si="124"/>
        <v>2616.0570000000007</v>
      </c>
      <c r="P60" s="449">
        <f t="shared" si="124"/>
        <v>-2563.5649999999878</v>
      </c>
      <c r="Q60" s="449">
        <f t="shared" si="124"/>
        <v>1272.9070000000138</v>
      </c>
      <c r="R60" s="449">
        <f t="shared" si="124"/>
        <v>995.40099999999802</v>
      </c>
      <c r="S60" s="449">
        <f t="shared" si="124"/>
        <v>-2754.7349999999933</v>
      </c>
      <c r="T60" s="449">
        <f t="shared" si="124"/>
        <v>814.97499999999854</v>
      </c>
      <c r="U60" s="449">
        <f t="shared" si="124"/>
        <v>12486.328000000005</v>
      </c>
      <c r="V60" s="449">
        <f>V59+V53</f>
        <v>31291.190000000199</v>
      </c>
      <c r="W60" s="449"/>
      <c r="X60" s="449">
        <f t="shared" ref="X60:AJ60" si="125">X59+X53</f>
        <v>2930.851999999999</v>
      </c>
      <c r="Y60" s="449">
        <f t="shared" si="125"/>
        <v>2970.7390000000014</v>
      </c>
      <c r="Z60" s="449">
        <f t="shared" si="125"/>
        <v>2983.6010000000024</v>
      </c>
      <c r="AA60" s="449">
        <f t="shared" si="125"/>
        <v>1648.2800000000061</v>
      </c>
      <c r="AB60" s="449">
        <f t="shared" si="125"/>
        <v>1778.0000000000146</v>
      </c>
      <c r="AC60" s="449">
        <f t="shared" si="125"/>
        <v>1942.922999999988</v>
      </c>
      <c r="AD60" s="449">
        <f t="shared" si="125"/>
        <v>350.63100000000122</v>
      </c>
      <c r="AE60" s="449">
        <f t="shared" si="125"/>
        <v>557.31899999999587</v>
      </c>
      <c r="AF60" s="449">
        <f t="shared" si="125"/>
        <v>283.0879999999961</v>
      </c>
      <c r="AG60" s="449">
        <f t="shared" si="125"/>
        <v>192.44099999999162</v>
      </c>
      <c r="AH60" s="449">
        <f t="shared" si="125"/>
        <v>202.21100000001024</v>
      </c>
      <c r="AI60" s="449">
        <f t="shared" si="125"/>
        <v>15451.107999999993</v>
      </c>
      <c r="AJ60" s="449">
        <f t="shared" si="125"/>
        <v>31291.194000000061</v>
      </c>
      <c r="AK60" s="447"/>
      <c r="AN60" s="449">
        <f t="shared" ref="AN60:AS60" si="126">AN59+AN53</f>
        <v>-533.69936000000189</v>
      </c>
      <c r="AO60" s="449">
        <f t="shared" si="126"/>
        <v>-1075.0719999999951</v>
      </c>
      <c r="AP60" s="449">
        <f t="shared" si="126"/>
        <v>-771.66699999999582</v>
      </c>
      <c r="AQ60" s="449">
        <f t="shared" si="126"/>
        <v>-902.19999999999163</v>
      </c>
      <c r="AR60" s="449">
        <f t="shared" si="126"/>
        <v>-825.00000000000182</v>
      </c>
      <c r="AS60" s="449">
        <f t="shared" si="126"/>
        <v>3531.9429999999975</v>
      </c>
      <c r="AU60" s="449">
        <f t="shared" ref="AU60:AZ60" si="127">AU59+AU53</f>
        <v>-1045.1093300000007</v>
      </c>
      <c r="AV60" s="449">
        <f t="shared" si="127"/>
        <v>-912.99899999998979</v>
      </c>
      <c r="AW60" s="449">
        <f t="shared" si="127"/>
        <v>-771.00000000000364</v>
      </c>
      <c r="AX60" s="449">
        <f t="shared" si="127"/>
        <v>-671.00199999999722</v>
      </c>
      <c r="AY60" s="449">
        <f t="shared" si="127"/>
        <v>-715.99999999999409</v>
      </c>
      <c r="AZ60" s="449">
        <f t="shared" si="127"/>
        <v>3438.9979999999887</v>
      </c>
      <c r="BB60" s="449">
        <f t="shared" ref="BB60:BG60" si="128">BB53+BB59</f>
        <v>6.9999999996070983E-3</v>
      </c>
      <c r="BC60" s="449">
        <f t="shared" si="128"/>
        <v>0</v>
      </c>
      <c r="BD60" s="449">
        <f t="shared" si="128"/>
        <v>1.0000000020227162E-3</v>
      </c>
      <c r="BE60" s="449">
        <f t="shared" si="128"/>
        <v>-1.0000000020227162E-3</v>
      </c>
      <c r="BF60" s="449">
        <f t="shared" si="128"/>
        <v>0</v>
      </c>
      <c r="BG60" s="449">
        <f t="shared" si="128"/>
        <v>0</v>
      </c>
      <c r="BH60" s="449"/>
      <c r="BI60" s="449">
        <f t="shared" ref="BI60:BN60" si="129">BI53+BI59</f>
        <v>-2.000000002226443E-3</v>
      </c>
      <c r="BJ60" s="449">
        <f t="shared" si="129"/>
        <v>-2.000000002226443E-3</v>
      </c>
      <c r="BK60" s="449">
        <f t="shared" si="129"/>
        <v>-1.0000000002037268E-3</v>
      </c>
      <c r="BL60" s="449">
        <f t="shared" si="129"/>
        <v>-2.0000000004074536E-3</v>
      </c>
      <c r="BM60" s="449">
        <f t="shared" si="129"/>
        <v>-2.0000000004074536E-3</v>
      </c>
      <c r="BN60" s="449">
        <f t="shared" si="129"/>
        <v>-9.9999999838473741E-4</v>
      </c>
      <c r="BO60" s="449"/>
    </row>
    <row r="61" spans="1:67" ht="14.4">
      <c r="A61" s="1927" t="s">
        <v>1091</v>
      </c>
      <c r="B61" s="700">
        <f t="shared" ref="B61:B64" si="130">SUM(X61:Y61)</f>
        <v>-75</v>
      </c>
      <c r="C61" s="700">
        <f t="shared" ref="C61:C64" si="131">SUM(J61:K61)</f>
        <v>0</v>
      </c>
      <c r="D61" s="1556">
        <f>(C61-B61)</f>
        <v>75</v>
      </c>
      <c r="E61" s="1556">
        <v>0</v>
      </c>
      <c r="F61" s="1556">
        <f>(SUM(X61:AI61))</f>
        <v>-500</v>
      </c>
      <c r="G61" s="1556">
        <f>(SUM(J61:U61))</f>
        <v>-500</v>
      </c>
      <c r="H61" s="1556">
        <f>(G61-F61)</f>
        <v>0</v>
      </c>
      <c r="I61" s="1556">
        <v>0</v>
      </c>
      <c r="J61" s="1556">
        <f>('IncomeandExpenditure Data2'!K64)/1000</f>
        <v>0</v>
      </c>
      <c r="K61" s="1556">
        <f>('IncomeandExpenditure Data2'!L64)/1000</f>
        <v>0</v>
      </c>
      <c r="L61" s="1556">
        <f>('IncomeandExpenditure Data2'!M64)/1000</f>
        <v>-25</v>
      </c>
      <c r="M61" s="1556">
        <f>('IncomeandExpenditure Data2'!N64)/1000</f>
        <v>-25</v>
      </c>
      <c r="N61" s="1556">
        <f>('IncomeandExpenditure Data2'!O64)/1000</f>
        <v>-80</v>
      </c>
      <c r="O61" s="1556">
        <f>('IncomeandExpenditure Data2'!P64)/1000</f>
        <v>-55</v>
      </c>
      <c r="P61" s="1556">
        <f>('IncomeandExpenditure Data2'!Q64)/1000</f>
        <v>-30</v>
      </c>
      <c r="Q61" s="1556">
        <f>('IncomeandExpenditure Data2'!R64)/1000</f>
        <v>-40</v>
      </c>
      <c r="R61" s="1556">
        <f>('IncomeandExpenditure Data2'!S64)/1000</f>
        <v>-50</v>
      </c>
      <c r="S61" s="1556">
        <f>('IncomeandExpenditure Data2'!T64)/1000</f>
        <v>-50</v>
      </c>
      <c r="T61" s="1556">
        <f>('IncomeandExpenditure Data2'!U64)/1000</f>
        <v>-50</v>
      </c>
      <c r="U61" s="1556">
        <f>('IncomeandExpenditure Data2'!V64)/1000</f>
        <v>-95</v>
      </c>
      <c r="V61" s="1556">
        <f>(SUM(J61:U61))</f>
        <v>-500</v>
      </c>
      <c r="W61" s="1556">
        <v>0</v>
      </c>
      <c r="X61" s="1556">
        <f>('IncomeandExpenditure Data2'!Y64)/1000</f>
        <v>-50</v>
      </c>
      <c r="Y61" s="1556">
        <f>('IncomeandExpenditure Data2'!Z64)/1000</f>
        <v>-25</v>
      </c>
      <c r="Z61" s="1556">
        <f>('IncomeandExpenditure Data2'!AA64)/1000</f>
        <v>-25</v>
      </c>
      <c r="AA61" s="1556">
        <f>('IncomeandExpenditure Data2'!AB64)/1000</f>
        <v>-25</v>
      </c>
      <c r="AB61" s="1556">
        <f>('IncomeandExpenditure Data2'!AC64)/1000</f>
        <v>-30</v>
      </c>
      <c r="AC61" s="1556">
        <f>('IncomeandExpenditure Data2'!AD64)/1000</f>
        <v>-30</v>
      </c>
      <c r="AD61" s="1556">
        <f>('IncomeandExpenditure Data2'!AE64)/1000</f>
        <v>-30</v>
      </c>
      <c r="AE61" s="1556">
        <f>('IncomeandExpenditure Data2'!AF64)/1000</f>
        <v>-40</v>
      </c>
      <c r="AF61" s="1556">
        <f>('IncomeandExpenditure Data2'!AG64)/1000</f>
        <v>-50</v>
      </c>
      <c r="AG61" s="1556">
        <f>('IncomeandExpenditure Data2'!AH64)/1000</f>
        <v>-50</v>
      </c>
      <c r="AH61" s="1556">
        <f>('IncomeandExpenditure Data2'!AI64)/1000</f>
        <v>-50</v>
      </c>
      <c r="AI61" s="1556">
        <f>('IncomeandExpenditure Data2'!AJ64)/1000</f>
        <v>-95</v>
      </c>
      <c r="AJ61" s="1556">
        <f>(SUM(X61:AI61))</f>
        <v>-500</v>
      </c>
      <c r="AN61" s="1558"/>
      <c r="AO61" s="1558"/>
      <c r="AP61" s="1558"/>
      <c r="AQ61" s="1558"/>
      <c r="AR61" s="1558"/>
      <c r="AS61" s="1558"/>
      <c r="AU61" s="1558"/>
      <c r="AV61" s="1558"/>
      <c r="AW61" s="1558"/>
      <c r="AX61" s="1558"/>
      <c r="AY61" s="1558"/>
      <c r="AZ61" s="1558"/>
      <c r="BB61" s="1558"/>
      <c r="BC61" s="1558"/>
      <c r="BD61" s="1558"/>
      <c r="BE61" s="1558"/>
      <c r="BF61" s="1558"/>
      <c r="BG61" s="1558"/>
      <c r="BH61" s="1558"/>
      <c r="BI61" s="1558"/>
      <c r="BJ61" s="1558"/>
      <c r="BK61" s="1558"/>
      <c r="BL61" s="1558"/>
      <c r="BM61" s="1558"/>
      <c r="BN61" s="1558"/>
      <c r="BO61" s="1558"/>
    </row>
    <row r="62" spans="1:67" ht="14.4">
      <c r="A62" s="1927" t="s">
        <v>1093</v>
      </c>
      <c r="B62" s="700">
        <f t="shared" si="130"/>
        <v>126</v>
      </c>
      <c r="C62" s="700">
        <f t="shared" si="131"/>
        <v>126.726</v>
      </c>
      <c r="D62" s="1556">
        <f>(C62-B62)</f>
        <v>0.72599999999999909</v>
      </c>
      <c r="E62" s="1556">
        <v>0</v>
      </c>
      <c r="F62" s="1556">
        <f>(SUM(X62:AI62))</f>
        <v>721</v>
      </c>
      <c r="G62" s="1556">
        <f>(SUM(J62:U62))</f>
        <v>721</v>
      </c>
      <c r="H62" s="1556">
        <f>(G62-F62)</f>
        <v>0</v>
      </c>
      <c r="I62" s="1556">
        <v>0</v>
      </c>
      <c r="J62" s="1556">
        <f>('IncomeandExpenditure Data2'!K65)/1000</f>
        <v>63.363</v>
      </c>
      <c r="K62" s="1556">
        <f>('IncomeandExpenditure Data2'!L65)/1000</f>
        <v>63.363</v>
      </c>
      <c r="L62" s="1556">
        <f>('IncomeandExpenditure Data2'!M65)/1000</f>
        <v>63</v>
      </c>
      <c r="M62" s="1556">
        <f>('IncomeandExpenditure Data2'!N65)/1000</f>
        <v>62</v>
      </c>
      <c r="N62" s="1556">
        <f>('IncomeandExpenditure Data2'!O65)/1000</f>
        <v>62</v>
      </c>
      <c r="O62" s="1556">
        <f>('IncomeandExpenditure Data2'!P65)/1000</f>
        <v>62</v>
      </c>
      <c r="P62" s="1556">
        <f>('IncomeandExpenditure Data2'!Q65)/1000</f>
        <v>61</v>
      </c>
      <c r="Q62" s="1556">
        <f>('IncomeandExpenditure Data2'!R65)/1000</f>
        <v>61</v>
      </c>
      <c r="R62" s="1556">
        <f>('IncomeandExpenditure Data2'!S65)/1000</f>
        <v>61</v>
      </c>
      <c r="S62" s="1556">
        <f>('IncomeandExpenditure Data2'!T65)/1000</f>
        <v>55</v>
      </c>
      <c r="T62" s="1556">
        <f>('IncomeandExpenditure Data2'!U65)/1000</f>
        <v>54</v>
      </c>
      <c r="U62" s="1556">
        <f>('IncomeandExpenditure Data2'!V65)/1000</f>
        <v>53.274000000000001</v>
      </c>
      <c r="V62" s="1556">
        <f>(SUM(J62:U62))</f>
        <v>721</v>
      </c>
      <c r="W62" s="1556">
        <v>0</v>
      </c>
      <c r="X62" s="1556">
        <f>('IncomeandExpenditure Data2'!Y65)/1000</f>
        <v>63</v>
      </c>
      <c r="Y62" s="1556">
        <f>('IncomeandExpenditure Data2'!Z65)/1000</f>
        <v>63</v>
      </c>
      <c r="Z62" s="1556">
        <f>('IncomeandExpenditure Data2'!AA65)/1000</f>
        <v>63</v>
      </c>
      <c r="AA62" s="1556">
        <f>('IncomeandExpenditure Data2'!AB65)/1000</f>
        <v>62</v>
      </c>
      <c r="AB62" s="1556">
        <f>('IncomeandExpenditure Data2'!AC65)/1000</f>
        <v>62</v>
      </c>
      <c r="AC62" s="1556">
        <f>('IncomeandExpenditure Data2'!AD65)/1000</f>
        <v>62</v>
      </c>
      <c r="AD62" s="1556">
        <f>('IncomeandExpenditure Data2'!AE65)/1000</f>
        <v>61</v>
      </c>
      <c r="AE62" s="1556">
        <f>('IncomeandExpenditure Data2'!AF65)/1000</f>
        <v>61</v>
      </c>
      <c r="AF62" s="1556">
        <f>('IncomeandExpenditure Data2'!AG65)/1000</f>
        <v>61</v>
      </c>
      <c r="AG62" s="1556">
        <f>('IncomeandExpenditure Data2'!AH65)/1000</f>
        <v>55</v>
      </c>
      <c r="AH62" s="1556">
        <f>('IncomeandExpenditure Data2'!AI65)/1000</f>
        <v>54</v>
      </c>
      <c r="AI62" s="1556">
        <f>('IncomeandExpenditure Data2'!AJ65)/1000</f>
        <v>54</v>
      </c>
      <c r="AJ62" s="1556">
        <f>(SUM(X62:AI62))</f>
        <v>721</v>
      </c>
      <c r="AN62" s="1558"/>
      <c r="AO62" s="1558"/>
      <c r="AP62" s="1558"/>
      <c r="AQ62" s="1558"/>
      <c r="AR62" s="1558"/>
      <c r="AS62" s="1558"/>
      <c r="AU62" s="1558"/>
      <c r="AV62" s="1558"/>
      <c r="AW62" s="1558"/>
      <c r="AX62" s="1558"/>
      <c r="AY62" s="1558"/>
      <c r="AZ62" s="1558"/>
      <c r="BB62" s="1558"/>
      <c r="BC62" s="1558"/>
      <c r="BD62" s="1558"/>
      <c r="BE62" s="1558"/>
      <c r="BF62" s="1558"/>
      <c r="BG62" s="1558"/>
      <c r="BH62" s="1558"/>
      <c r="BI62" s="1558"/>
      <c r="BJ62" s="1558"/>
      <c r="BK62" s="1558"/>
      <c r="BL62" s="1558"/>
      <c r="BM62" s="1558"/>
      <c r="BN62" s="1558"/>
      <c r="BO62" s="1558"/>
    </row>
    <row r="63" spans="1:67" ht="14.4">
      <c r="A63" s="1927" t="s">
        <v>1266</v>
      </c>
      <c r="B63" s="700">
        <f t="shared" si="130"/>
        <v>0</v>
      </c>
      <c r="C63" s="700">
        <f t="shared" si="131"/>
        <v>0</v>
      </c>
      <c r="D63" s="1556">
        <f>(C63-B63)</f>
        <v>0</v>
      </c>
      <c r="E63" s="1556">
        <v>0</v>
      </c>
      <c r="F63" s="1556">
        <f>(SUM(X63:AI63))</f>
        <v>15500</v>
      </c>
      <c r="G63" s="1556">
        <f>(SUM(J63:U63))</f>
        <v>15500</v>
      </c>
      <c r="H63" s="1556">
        <f>(G63-F63)</f>
        <v>0</v>
      </c>
      <c r="I63" s="1556">
        <v>0</v>
      </c>
      <c r="J63" s="1556">
        <f>('IncomeandExpenditure Data2'!K66)/1000</f>
        <v>0</v>
      </c>
      <c r="K63" s="1556">
        <f>('IncomeandExpenditure Data2'!L66)/1000</f>
        <v>0</v>
      </c>
      <c r="L63" s="1556">
        <f>('IncomeandExpenditure Data2'!M66)/1000</f>
        <v>0</v>
      </c>
      <c r="M63" s="1556">
        <f>('IncomeandExpenditure Data2'!N66)/1000</f>
        <v>0</v>
      </c>
      <c r="N63" s="1556">
        <f>('IncomeandExpenditure Data2'!O66)/1000</f>
        <v>0</v>
      </c>
      <c r="O63" s="1556">
        <f>('IncomeandExpenditure Data2'!P66)/1000</f>
        <v>0</v>
      </c>
      <c r="P63" s="1556">
        <f>('IncomeandExpenditure Data2'!Q66)/1000</f>
        <v>0</v>
      </c>
      <c r="Q63" s="1556">
        <f>('IncomeandExpenditure Data2'!R66)/1000</f>
        <v>0</v>
      </c>
      <c r="R63" s="1556">
        <f>('IncomeandExpenditure Data2'!S66)/1000</f>
        <v>0</v>
      </c>
      <c r="S63" s="1556">
        <f>('IncomeandExpenditure Data2'!T66)/1000</f>
        <v>0</v>
      </c>
      <c r="T63" s="1556">
        <f>('IncomeandExpenditure Data2'!U66)/1000</f>
        <v>0</v>
      </c>
      <c r="U63" s="1556">
        <f>('IncomeandExpenditure Data2'!V66)/1000</f>
        <v>15500</v>
      </c>
      <c r="V63" s="1556">
        <f>(SUM(J63:U63))</f>
        <v>15500</v>
      </c>
      <c r="W63" s="1556">
        <v>0</v>
      </c>
      <c r="X63" s="1556">
        <f>('IncomeandExpenditure Data2'!Y66)/1000</f>
        <v>0</v>
      </c>
      <c r="Y63" s="1556">
        <f>('IncomeandExpenditure Data2'!Z66)/1000</f>
        <v>0</v>
      </c>
      <c r="Z63" s="1556">
        <f>('IncomeandExpenditure Data2'!AA66)/1000</f>
        <v>0</v>
      </c>
      <c r="AA63" s="1556">
        <f>('IncomeandExpenditure Data2'!AB66)/1000</f>
        <v>0</v>
      </c>
      <c r="AB63" s="1556">
        <f>('IncomeandExpenditure Data2'!AC66)/1000</f>
        <v>0</v>
      </c>
      <c r="AC63" s="1556">
        <f>('IncomeandExpenditure Data2'!AD66)/1000</f>
        <v>0</v>
      </c>
      <c r="AD63" s="1556">
        <f>('IncomeandExpenditure Data2'!AE66)/1000</f>
        <v>0</v>
      </c>
      <c r="AE63" s="1556">
        <f>('IncomeandExpenditure Data2'!AF66)/1000</f>
        <v>0</v>
      </c>
      <c r="AF63" s="1556">
        <f>('IncomeandExpenditure Data2'!AG66)/1000</f>
        <v>0</v>
      </c>
      <c r="AG63" s="1556">
        <f>('IncomeandExpenditure Data2'!AH66)/1000</f>
        <v>0</v>
      </c>
      <c r="AH63" s="1556">
        <f>('IncomeandExpenditure Data2'!AI66)/1000</f>
        <v>0</v>
      </c>
      <c r="AI63" s="1556">
        <f>('IncomeandExpenditure Data2'!AJ66)/1000</f>
        <v>15500</v>
      </c>
      <c r="AJ63" s="1556">
        <f>(SUM(X63:AI63))</f>
        <v>15500</v>
      </c>
    </row>
    <row r="64" spans="1:67" ht="14.4">
      <c r="A64" s="1927" t="s">
        <v>1267</v>
      </c>
      <c r="B64" s="700">
        <f t="shared" si="130"/>
        <v>0</v>
      </c>
      <c r="C64" s="700">
        <f t="shared" si="131"/>
        <v>0</v>
      </c>
      <c r="D64" s="1556">
        <f>(C64-B64)</f>
        <v>0</v>
      </c>
      <c r="E64" s="1556">
        <v>0</v>
      </c>
      <c r="F64" s="1556">
        <f>(SUM(X64:AI64))</f>
        <v>0</v>
      </c>
      <c r="G64" s="1556">
        <f>(SUM(J64:U64))</f>
        <v>0</v>
      </c>
      <c r="H64" s="1556">
        <f>(G64-F64)</f>
        <v>0</v>
      </c>
      <c r="I64" s="1556">
        <v>0</v>
      </c>
      <c r="J64" s="1556">
        <f>('IncomeandExpenditure Data2'!K67)/1000</f>
        <v>0</v>
      </c>
      <c r="K64" s="1556">
        <f>('IncomeandExpenditure Data2'!L67)/1000</f>
        <v>0</v>
      </c>
      <c r="L64" s="1556">
        <f>('IncomeandExpenditure Data2'!M67)/1000</f>
        <v>0</v>
      </c>
      <c r="M64" s="1556">
        <f>('IncomeandExpenditure Data2'!N67)/1000</f>
        <v>0</v>
      </c>
      <c r="N64" s="1556">
        <f>('IncomeandExpenditure Data2'!O67)/1000</f>
        <v>0</v>
      </c>
      <c r="O64" s="1556">
        <f>('IncomeandExpenditure Data2'!P67)/1000</f>
        <v>0</v>
      </c>
      <c r="P64" s="1556">
        <f>('IncomeandExpenditure Data2'!Q67)/1000</f>
        <v>0</v>
      </c>
      <c r="Q64" s="1556">
        <f>('IncomeandExpenditure Data2'!R67)/1000</f>
        <v>0</v>
      </c>
      <c r="R64" s="1556">
        <f>('IncomeandExpenditure Data2'!S67)/1000</f>
        <v>0</v>
      </c>
      <c r="S64" s="1556">
        <f>('IncomeandExpenditure Data2'!T67)/1000</f>
        <v>0</v>
      </c>
      <c r="T64" s="1556">
        <f>('IncomeandExpenditure Data2'!U67)/1000</f>
        <v>0</v>
      </c>
      <c r="U64" s="1556">
        <f>('IncomeandExpenditure Data2'!V67)/1000</f>
        <v>0</v>
      </c>
      <c r="V64" s="1556">
        <f>(SUM(J64:U64))</f>
        <v>0</v>
      </c>
      <c r="W64" s="1556">
        <v>0</v>
      </c>
      <c r="X64" s="1556">
        <f>('IncomeandExpenditure Data2'!Y67)/1000</f>
        <v>0</v>
      </c>
      <c r="Y64" s="1556">
        <f>('IncomeandExpenditure Data2'!Z67)/1000</f>
        <v>0</v>
      </c>
      <c r="Z64" s="1556">
        <f>('IncomeandExpenditure Data2'!AA67)/1000</f>
        <v>0</v>
      </c>
      <c r="AA64" s="1556">
        <f>('IncomeandExpenditure Data2'!AB67)/1000</f>
        <v>0</v>
      </c>
      <c r="AB64" s="1556">
        <f>('IncomeandExpenditure Data2'!AC67)/1000</f>
        <v>0</v>
      </c>
      <c r="AC64" s="1556">
        <f>('IncomeandExpenditure Data2'!AD67)/1000</f>
        <v>0</v>
      </c>
      <c r="AD64" s="1556">
        <f>('IncomeandExpenditure Data2'!AE67)/1000</f>
        <v>0</v>
      </c>
      <c r="AE64" s="1556">
        <f>('IncomeandExpenditure Data2'!AF67)/1000</f>
        <v>0</v>
      </c>
      <c r="AF64" s="1556">
        <f>('IncomeandExpenditure Data2'!AG67)/1000</f>
        <v>0</v>
      </c>
      <c r="AG64" s="1556">
        <f>('IncomeandExpenditure Data2'!AH67)/1000</f>
        <v>0</v>
      </c>
      <c r="AH64" s="1556">
        <f>('IncomeandExpenditure Data2'!AI67)/1000</f>
        <v>0</v>
      </c>
      <c r="AI64" s="1556">
        <f>('IncomeandExpenditure Data2'!AJ67)/1000</f>
        <v>0</v>
      </c>
      <c r="AJ64" s="1556">
        <f>(SUM(X64:AI64))</f>
        <v>0</v>
      </c>
      <c r="AN64" s="1558"/>
      <c r="AO64" s="1558"/>
      <c r="AP64" s="1558"/>
      <c r="AQ64" s="1558"/>
      <c r="AR64" s="1558"/>
      <c r="AS64" s="1558"/>
      <c r="AU64" s="1558"/>
      <c r="AV64" s="1558"/>
      <c r="AW64" s="1558"/>
      <c r="AX64" s="1558"/>
      <c r="AY64" s="1558"/>
      <c r="AZ64" s="1558"/>
      <c r="BB64" s="1558"/>
      <c r="BC64" s="1558"/>
      <c r="BD64" s="1558"/>
      <c r="BE64" s="1558"/>
      <c r="BF64" s="1558"/>
      <c r="BG64" s="1558"/>
      <c r="BH64" s="1558"/>
      <c r="BI64" s="1558"/>
      <c r="BJ64" s="1558"/>
      <c r="BK64" s="1558"/>
      <c r="BL64" s="1558"/>
      <c r="BM64" s="1558"/>
      <c r="BN64" s="1558"/>
      <c r="BO64" s="1558"/>
    </row>
    <row r="65" spans="1:67">
      <c r="A65" s="1555"/>
      <c r="B65" s="1556"/>
      <c r="C65" s="1556"/>
      <c r="D65" s="1557"/>
      <c r="E65" s="343"/>
      <c r="F65" s="1557"/>
      <c r="G65" s="1557"/>
      <c r="H65" s="1557"/>
      <c r="I65" s="343"/>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c r="AI65" s="1558"/>
      <c r="AJ65" s="1558"/>
      <c r="AN65" s="1558"/>
      <c r="AO65" s="1558"/>
      <c r="AP65" s="1558"/>
      <c r="AQ65" s="1558"/>
      <c r="AR65" s="1558"/>
      <c r="AS65" s="1558"/>
      <c r="AU65" s="1558"/>
      <c r="AV65" s="1558"/>
      <c r="AW65" s="1558"/>
      <c r="AX65" s="1558"/>
      <c r="AY65" s="1558"/>
      <c r="AZ65" s="1558"/>
      <c r="BB65" s="1558"/>
      <c r="BC65" s="1558"/>
      <c r="BD65" s="1558"/>
      <c r="BE65" s="1558"/>
      <c r="BF65" s="1558"/>
      <c r="BG65" s="1558"/>
      <c r="BH65" s="1558"/>
      <c r="BI65" s="1558"/>
      <c r="BJ65" s="1558"/>
      <c r="BK65" s="1558"/>
      <c r="BL65" s="1558"/>
      <c r="BM65" s="1558"/>
      <c r="BN65" s="1558"/>
      <c r="BO65" s="1558"/>
    </row>
    <row r="66" spans="1:67">
      <c r="A66" s="1555"/>
      <c r="B66" s="1556"/>
      <c r="C66" s="1556"/>
      <c r="D66" s="1557"/>
      <c r="E66" s="343"/>
      <c r="F66" s="1557"/>
      <c r="G66" s="1557"/>
      <c r="H66" s="1557"/>
      <c r="I66" s="343"/>
      <c r="J66" s="1558"/>
      <c r="K66" s="1558"/>
      <c r="L66" s="1558"/>
      <c r="M66" s="1558"/>
      <c r="N66" s="1558"/>
      <c r="O66" s="1558"/>
      <c r="P66" s="1558"/>
      <c r="Q66" s="1558"/>
      <c r="R66" s="1558"/>
      <c r="S66" s="1558"/>
      <c r="T66" s="1558"/>
      <c r="U66" s="1558"/>
      <c r="V66" s="1558"/>
      <c r="W66" s="1558"/>
      <c r="X66" s="1558"/>
      <c r="Y66" s="1558"/>
      <c r="Z66" s="1558"/>
      <c r="AA66" s="1558"/>
      <c r="AB66" s="1558"/>
      <c r="AC66" s="1558"/>
      <c r="AD66" s="1558"/>
      <c r="AE66" s="1558"/>
      <c r="AF66" s="1558"/>
      <c r="AG66" s="1558"/>
      <c r="AH66" s="1558"/>
      <c r="AI66" s="1558"/>
      <c r="AJ66" s="1558"/>
      <c r="AN66" s="1558"/>
      <c r="AO66" s="1558"/>
      <c r="AP66" s="1558"/>
      <c r="AQ66" s="1558"/>
      <c r="AR66" s="1558"/>
      <c r="AS66" s="1558"/>
      <c r="AU66" s="1558"/>
      <c r="AV66" s="1558"/>
      <c r="AW66" s="1558"/>
      <c r="AX66" s="1558"/>
      <c r="AY66" s="1558"/>
      <c r="AZ66" s="1558"/>
      <c r="BB66" s="1558"/>
      <c r="BC66" s="1558"/>
      <c r="BD66" s="1558"/>
      <c r="BE66" s="1558"/>
      <c r="BF66" s="1558"/>
      <c r="BG66" s="1558"/>
      <c r="BH66" s="1558"/>
      <c r="BI66" s="1558"/>
      <c r="BJ66" s="1558"/>
      <c r="BK66" s="1558"/>
      <c r="BL66" s="1558"/>
      <c r="BM66" s="1558"/>
      <c r="BN66" s="1558"/>
      <c r="BO66" s="1558"/>
    </row>
    <row r="67" spans="1:67">
      <c r="A67" s="1555"/>
      <c r="B67" s="1556"/>
      <c r="C67" s="1556"/>
      <c r="D67" s="1557"/>
      <c r="E67" s="343"/>
      <c r="F67" s="1557"/>
      <c r="G67" s="1557"/>
      <c r="H67" s="1557"/>
      <c r="I67" s="343"/>
      <c r="J67" s="1558"/>
      <c r="K67" s="1558"/>
      <c r="L67" s="1558"/>
      <c r="M67" s="1558"/>
      <c r="N67" s="1558"/>
      <c r="O67" s="1558"/>
      <c r="P67" s="1558"/>
      <c r="Q67" s="1558"/>
      <c r="R67" s="1558"/>
      <c r="S67" s="1558"/>
      <c r="T67" s="1558"/>
      <c r="U67" s="1558"/>
      <c r="V67" s="1558"/>
      <c r="W67" s="1558"/>
      <c r="X67" s="1558"/>
      <c r="Y67" s="1558"/>
      <c r="Z67" s="1558"/>
      <c r="AA67" s="1558"/>
      <c r="AB67" s="1558"/>
      <c r="AC67" s="1558"/>
      <c r="AD67" s="1558"/>
      <c r="AE67" s="1558"/>
      <c r="AF67" s="1558"/>
      <c r="AG67" s="1558"/>
      <c r="AH67" s="1558"/>
      <c r="AI67" s="1558"/>
      <c r="AJ67" s="1558"/>
      <c r="AN67" s="1558"/>
      <c r="AO67" s="1558"/>
      <c r="AP67" s="1558"/>
      <c r="AQ67" s="1558"/>
      <c r="AR67" s="1558"/>
      <c r="AS67" s="1558"/>
      <c r="AU67" s="1558"/>
      <c r="AV67" s="1558"/>
      <c r="AW67" s="1558"/>
      <c r="AX67" s="1558"/>
      <c r="AY67" s="1558"/>
      <c r="AZ67" s="1558"/>
      <c r="BB67" s="1558"/>
      <c r="BC67" s="1558"/>
      <c r="BD67" s="1558"/>
      <c r="BE67" s="1558"/>
      <c r="BF67" s="1558"/>
      <c r="BG67" s="1558"/>
      <c r="BH67" s="1558"/>
      <c r="BI67" s="1558"/>
      <c r="BJ67" s="1558"/>
      <c r="BK67" s="1558"/>
      <c r="BL67" s="1558"/>
      <c r="BM67" s="1558"/>
      <c r="BN67" s="1558"/>
      <c r="BO67" s="1558"/>
    </row>
    <row r="68" spans="1:67">
      <c r="V68" s="1563"/>
    </row>
    <row r="69" spans="1:67" s="1605" customFormat="1" ht="13.8">
      <c r="B69" s="1606">
        <f>B60-B61-B62-B63-B64</f>
        <v>5850.5910000000003</v>
      </c>
      <c r="C69" s="1606">
        <f>C60-C61-C62-C63-C64-1</f>
        <v>11087.739000000021</v>
      </c>
      <c r="D69" s="1607">
        <f>C69-B69</f>
        <v>5237.1480000000211</v>
      </c>
      <c r="F69" s="1606">
        <f>F60-F61-F62-F63-F64</f>
        <v>15570.193000000014</v>
      </c>
      <c r="G69" s="1606">
        <f>G60-G61-G62-G63-G64</f>
        <v>15570.190000000199</v>
      </c>
      <c r="H69" s="1607">
        <f>G69-F69</f>
        <v>-2.9999998150742613E-3</v>
      </c>
      <c r="J69" s="1606">
        <f>J60-J61-J62-J63-J64</f>
        <v>4702.8399999999974</v>
      </c>
      <c r="K69" s="1606">
        <f t="shared" ref="K69:T69" si="132">K60-K61-K62-K63-K64</f>
        <v>6385.8990000000076</v>
      </c>
      <c r="L69" s="1606">
        <f t="shared" si="132"/>
        <v>4869.2059999999983</v>
      </c>
      <c r="M69" s="1606">
        <f t="shared" si="132"/>
        <v>-122.47100000000501</v>
      </c>
      <c r="N69" s="1606">
        <f t="shared" si="132"/>
        <v>2404.622000000003</v>
      </c>
      <c r="O69" s="1606">
        <f t="shared" si="132"/>
        <v>2609.0570000000007</v>
      </c>
      <c r="P69" s="1606">
        <f t="shared" si="132"/>
        <v>-2594.5649999999878</v>
      </c>
      <c r="Q69" s="1606">
        <f t="shared" si="132"/>
        <v>1251.9070000000138</v>
      </c>
      <c r="R69" s="1606">
        <f t="shared" si="132"/>
        <v>984.40099999999802</v>
      </c>
      <c r="S69" s="1606">
        <f t="shared" si="132"/>
        <v>-2759.7349999999933</v>
      </c>
      <c r="T69" s="1606">
        <f t="shared" si="132"/>
        <v>810.97499999999854</v>
      </c>
      <c r="U69" s="1606">
        <f>U60-U61-U62-U63-U64</f>
        <v>-2971.9459999999945</v>
      </c>
      <c r="V69" s="1606">
        <f>V60-V61-V62-V63-V64</f>
        <v>15570.190000000199</v>
      </c>
      <c r="X69" s="1606">
        <f t="shared" ref="X69:AI69" si="133">X60-X61-X62-X63-X64</f>
        <v>2917.851999999999</v>
      </c>
      <c r="Y69" s="1606">
        <f t="shared" si="133"/>
        <v>2932.7390000000014</v>
      </c>
      <c r="Z69" s="1606">
        <f t="shared" si="133"/>
        <v>2945.6010000000024</v>
      </c>
      <c r="AA69" s="1606">
        <f t="shared" si="133"/>
        <v>1611.2800000000061</v>
      </c>
      <c r="AB69" s="1606">
        <f t="shared" si="133"/>
        <v>1746.0000000000146</v>
      </c>
      <c r="AC69" s="1606">
        <f t="shared" si="133"/>
        <v>1910.922999999988</v>
      </c>
      <c r="AD69" s="1606">
        <f t="shared" si="133"/>
        <v>319.63100000000122</v>
      </c>
      <c r="AE69" s="1606">
        <f t="shared" si="133"/>
        <v>536.31899999999587</v>
      </c>
      <c r="AF69" s="1606">
        <f t="shared" si="133"/>
        <v>272.0879999999961</v>
      </c>
      <c r="AG69" s="1606">
        <f t="shared" si="133"/>
        <v>187.44099999999162</v>
      </c>
      <c r="AH69" s="1606">
        <f t="shared" si="133"/>
        <v>198.21100000001024</v>
      </c>
      <c r="AI69" s="1606">
        <f t="shared" si="133"/>
        <v>-7.8920000000071013</v>
      </c>
      <c r="AJ69" s="1606">
        <f>AJ60-AJ61-AJ62-AJ63-AJ64</f>
        <v>15570.194000000061</v>
      </c>
    </row>
    <row r="70" spans="1:67">
      <c r="D70" s="447"/>
      <c r="I70" s="744"/>
      <c r="J70" s="447"/>
      <c r="K70" s="447"/>
      <c r="L70" s="447"/>
      <c r="M70" s="447"/>
      <c r="N70" s="447"/>
      <c r="O70" s="447"/>
      <c r="P70" s="447"/>
      <c r="Q70" s="447"/>
      <c r="R70" s="447"/>
      <c r="S70" s="447"/>
      <c r="T70" s="447"/>
      <c r="U70" s="447"/>
      <c r="V70" s="447"/>
      <c r="W70" s="447"/>
      <c r="X70" s="447"/>
      <c r="Y70" s="447"/>
      <c r="Z70" s="447"/>
      <c r="AA70" s="447"/>
      <c r="AB70" s="447"/>
      <c r="AC70" s="447"/>
      <c r="AD70" s="447"/>
      <c r="AE70" s="447"/>
      <c r="AF70" s="447"/>
      <c r="AG70" s="447"/>
      <c r="AH70" s="447"/>
      <c r="AI70" s="447"/>
      <c r="AJ70" s="447"/>
    </row>
    <row r="71" spans="1:67">
      <c r="I71" s="758" t="s">
        <v>449</v>
      </c>
      <c r="J71" s="661">
        <v>3033</v>
      </c>
      <c r="K71" s="661">
        <v>3033</v>
      </c>
      <c r="L71" s="661">
        <v>2236</v>
      </c>
      <c r="M71" s="661">
        <v>1736</v>
      </c>
      <c r="N71" s="661">
        <v>1537</v>
      </c>
      <c r="O71" s="661">
        <v>5277</v>
      </c>
      <c r="P71" s="661">
        <v>500</v>
      </c>
      <c r="Q71" s="661">
        <v>250</v>
      </c>
      <c r="R71" s="661">
        <v>250</v>
      </c>
      <c r="S71" s="661">
        <v>-343</v>
      </c>
      <c r="T71" s="661">
        <v>-433</v>
      </c>
      <c r="U71" s="661">
        <v>-372</v>
      </c>
      <c r="V71" s="661">
        <f>(SUM(J71:U71))</f>
        <v>16704</v>
      </c>
      <c r="X71" s="661">
        <v>3033</v>
      </c>
      <c r="Y71" s="661">
        <v>3033</v>
      </c>
      <c r="Z71" s="661">
        <v>2236</v>
      </c>
      <c r="AA71" s="661">
        <v>1736</v>
      </c>
      <c r="AB71" s="661">
        <v>1537</v>
      </c>
      <c r="AC71" s="661">
        <v>5277</v>
      </c>
      <c r="AD71" s="661">
        <v>500</v>
      </c>
      <c r="AE71" s="661">
        <v>250</v>
      </c>
      <c r="AF71" s="661">
        <v>250</v>
      </c>
      <c r="AG71" s="661">
        <v>-343</v>
      </c>
      <c r="AH71" s="661">
        <v>-433</v>
      </c>
      <c r="AI71" s="661">
        <v>-372</v>
      </c>
      <c r="AJ71" s="661">
        <f>(SUM(X71:AI71))</f>
        <v>16704</v>
      </c>
    </row>
    <row r="72" spans="1:67" ht="13.8">
      <c r="D72" s="447"/>
      <c r="I72" s="744" t="s">
        <v>632</v>
      </c>
      <c r="J72" s="1606">
        <f>J69-J71</f>
        <v>1669.8399999999974</v>
      </c>
      <c r="K72" s="1606">
        <f t="shared" ref="K72:U72" si="134">K69-K71</f>
        <v>3352.8990000000076</v>
      </c>
      <c r="L72" s="1606">
        <f t="shared" si="134"/>
        <v>2633.2059999999983</v>
      </c>
      <c r="M72" s="1606">
        <f t="shared" si="134"/>
        <v>-1858.471000000005</v>
      </c>
      <c r="N72" s="1606">
        <f t="shared" si="134"/>
        <v>867.62200000000303</v>
      </c>
      <c r="O72" s="1606">
        <f t="shared" si="134"/>
        <v>-2667.9429999999993</v>
      </c>
      <c r="P72" s="1606">
        <f t="shared" si="134"/>
        <v>-3094.5649999999878</v>
      </c>
      <c r="Q72" s="1606">
        <f t="shared" si="134"/>
        <v>1001.9070000000138</v>
      </c>
      <c r="R72" s="1606">
        <f t="shared" si="134"/>
        <v>734.40099999999802</v>
      </c>
      <c r="S72" s="1606">
        <f t="shared" si="134"/>
        <v>-2416.7349999999933</v>
      </c>
      <c r="T72" s="1606">
        <f t="shared" si="134"/>
        <v>1243.9749999999985</v>
      </c>
      <c r="U72" s="1606">
        <f t="shared" si="134"/>
        <v>-2599.9459999999945</v>
      </c>
      <c r="V72" s="1606">
        <f>V69-V71</f>
        <v>-1133.8099999998012</v>
      </c>
      <c r="X72" s="1606">
        <f>X69-X71</f>
        <v>-115.14800000000105</v>
      </c>
      <c r="Y72" s="1606">
        <f t="shared" ref="Y72:AJ72" si="135">Y69-Y71</f>
        <v>-100.2609999999986</v>
      </c>
      <c r="Z72" s="1606">
        <f t="shared" si="135"/>
        <v>709.60100000000239</v>
      </c>
      <c r="AA72" s="1606">
        <f t="shared" si="135"/>
        <v>-124.71999999999389</v>
      </c>
      <c r="AB72" s="1606">
        <f t="shared" si="135"/>
        <v>209.00000000001455</v>
      </c>
      <c r="AC72" s="1606">
        <f t="shared" si="135"/>
        <v>-3366.077000000012</v>
      </c>
      <c r="AD72" s="1606">
        <f t="shared" si="135"/>
        <v>-180.36899999999878</v>
      </c>
      <c r="AE72" s="1606">
        <f t="shared" si="135"/>
        <v>286.31899999999587</v>
      </c>
      <c r="AF72" s="1606">
        <f t="shared" si="135"/>
        <v>22.0879999999961</v>
      </c>
      <c r="AG72" s="1606">
        <f t="shared" si="135"/>
        <v>530.44099999999162</v>
      </c>
      <c r="AH72" s="1606">
        <f t="shared" si="135"/>
        <v>631.21100000001024</v>
      </c>
      <c r="AI72" s="1606">
        <f t="shared" si="135"/>
        <v>364.1079999999929</v>
      </c>
      <c r="AJ72" s="1606">
        <f t="shared" si="135"/>
        <v>-1133.8059999999386</v>
      </c>
    </row>
    <row r="73" spans="1:67">
      <c r="C73" s="1868"/>
      <c r="D73" s="447"/>
      <c r="I73" s="744"/>
      <c r="U73" s="447"/>
    </row>
    <row r="74" spans="1:67">
      <c r="C74" s="1879"/>
      <c r="D74" s="447"/>
      <c r="I74" s="744" t="s">
        <v>635</v>
      </c>
      <c r="J74" s="447">
        <f>J23</f>
        <v>-44229.398999999998</v>
      </c>
      <c r="K74" s="447">
        <f t="shared" ref="K74:U74" si="136">J74+K23</f>
        <v>-88287.161999999982</v>
      </c>
      <c r="L74" s="447">
        <f t="shared" si="136"/>
        <v>-132986.38999999998</v>
      </c>
      <c r="M74" s="447">
        <f t="shared" si="136"/>
        <v>-181491.92599999998</v>
      </c>
      <c r="N74" s="447">
        <f t="shared" si="136"/>
        <v>-226417.44399999996</v>
      </c>
      <c r="O74" s="447">
        <f t="shared" si="136"/>
        <v>-271369.81599999993</v>
      </c>
      <c r="P74" s="447">
        <f t="shared" si="136"/>
        <v>-319851.95399999991</v>
      </c>
      <c r="Q74" s="447">
        <f t="shared" si="136"/>
        <v>-364757.67999999988</v>
      </c>
      <c r="R74" s="447">
        <f t="shared" si="136"/>
        <v>-409700.29599999986</v>
      </c>
      <c r="S74" s="447">
        <f t="shared" si="136"/>
        <v>-458261.68599999987</v>
      </c>
      <c r="T74" s="447">
        <f t="shared" si="136"/>
        <v>-503229.17699999985</v>
      </c>
      <c r="U74" s="447">
        <f t="shared" si="136"/>
        <v>-551852.97799999989</v>
      </c>
      <c r="V74" s="447"/>
    </row>
    <row r="75" spans="1:67">
      <c r="B75" s="447"/>
      <c r="D75" s="447"/>
      <c r="I75" s="744" t="s">
        <v>634</v>
      </c>
      <c r="J75" s="447">
        <f>J53</f>
        <v>2127.0429999999978</v>
      </c>
      <c r="K75" s="447">
        <f t="shared" ref="K75:U75" si="137">J75+K53</f>
        <v>5691.5130000000063</v>
      </c>
      <c r="L75" s="447">
        <f t="shared" si="137"/>
        <v>7712.7190000000046</v>
      </c>
      <c r="M75" s="447">
        <f t="shared" si="137"/>
        <v>4765.2479999999996</v>
      </c>
      <c r="N75" s="447">
        <f t="shared" si="137"/>
        <v>4280.8700000000026</v>
      </c>
      <c r="O75" s="447">
        <f t="shared" si="137"/>
        <v>3723.9270000000033</v>
      </c>
      <c r="P75" s="447">
        <f t="shared" si="137"/>
        <v>-1366.6379999999845</v>
      </c>
      <c r="Q75" s="447">
        <f t="shared" si="137"/>
        <v>-2946.7309999999707</v>
      </c>
      <c r="R75" s="447">
        <f t="shared" si="137"/>
        <v>-4820.3299999999726</v>
      </c>
      <c r="S75" s="447">
        <f t="shared" si="137"/>
        <v>-10378.064999999966</v>
      </c>
      <c r="T75" s="447">
        <f t="shared" si="137"/>
        <v>-12379.089999999967</v>
      </c>
      <c r="U75" s="447">
        <f t="shared" si="137"/>
        <v>-17948.039999999964</v>
      </c>
      <c r="V75" s="447"/>
    </row>
    <row r="76" spans="1:67">
      <c r="B76" s="447"/>
      <c r="I76" s="744" t="s">
        <v>866</v>
      </c>
      <c r="J76" s="450">
        <f>J75/J74</f>
        <v>-4.809115764833246E-2</v>
      </c>
      <c r="K76" s="450">
        <f t="shared" ref="K76:U76" si="138">K75/K74</f>
        <v>-6.446591861226672E-2</v>
      </c>
      <c r="L76" s="450">
        <f t="shared" si="138"/>
        <v>-5.7996303230729143E-2</v>
      </c>
      <c r="M76" s="450">
        <f t="shared" si="138"/>
        <v>-2.6255977910554545E-2</v>
      </c>
      <c r="N76" s="450">
        <f t="shared" si="138"/>
        <v>-1.8906979623001148E-2</v>
      </c>
      <c r="O76" s="450">
        <f t="shared" si="138"/>
        <v>-1.372270156972802E-2</v>
      </c>
      <c r="P76" s="450">
        <f t="shared" si="138"/>
        <v>4.2727204974335872E-3</v>
      </c>
      <c r="Q76" s="450">
        <f t="shared" si="138"/>
        <v>8.0785989207957775E-3</v>
      </c>
      <c r="R76" s="450">
        <f t="shared" si="138"/>
        <v>1.176550284942917E-2</v>
      </c>
      <c r="S76" s="450">
        <f t="shared" si="138"/>
        <v>2.264659105714539E-2</v>
      </c>
      <c r="T76" s="450">
        <f t="shared" si="138"/>
        <v>2.4599308954615665E-2</v>
      </c>
      <c r="U76" s="450">
        <f t="shared" si="138"/>
        <v>3.2523227590519531E-2</v>
      </c>
      <c r="X76" s="1804"/>
      <c r="Y76" s="1804"/>
      <c r="Z76" s="1804"/>
      <c r="AA76" s="1804"/>
      <c r="AB76" s="1804"/>
      <c r="AC76" s="1804"/>
      <c r="AD76" s="1804"/>
      <c r="AE76" s="1804"/>
      <c r="AF76" s="1804"/>
      <c r="AG76" s="1804"/>
      <c r="AH76" s="1804"/>
      <c r="AI76" s="1804"/>
      <c r="AJ76" s="1804"/>
    </row>
    <row r="77" spans="1:67">
      <c r="C77" s="447"/>
      <c r="D77" s="447"/>
      <c r="I77" s="744" t="s">
        <v>384</v>
      </c>
      <c r="J77" s="351">
        <f>IF(J76&gt;4.9%,3,2)</f>
        <v>2</v>
      </c>
      <c r="K77" s="351">
        <f t="shared" ref="K77:U77" si="139">IF(K76&gt;4.9%,3,2)</f>
        <v>2</v>
      </c>
      <c r="L77" s="351">
        <f t="shared" si="139"/>
        <v>2</v>
      </c>
      <c r="M77" s="351">
        <f t="shared" si="139"/>
        <v>2</v>
      </c>
      <c r="N77" s="351">
        <f t="shared" si="139"/>
        <v>2</v>
      </c>
      <c r="O77" s="351">
        <f t="shared" si="139"/>
        <v>2</v>
      </c>
      <c r="P77" s="351">
        <f t="shared" si="139"/>
        <v>2</v>
      </c>
      <c r="Q77" s="351">
        <f t="shared" si="139"/>
        <v>2</v>
      </c>
      <c r="R77" s="351">
        <f t="shared" si="139"/>
        <v>2</v>
      </c>
      <c r="S77" s="351">
        <f t="shared" si="139"/>
        <v>2</v>
      </c>
      <c r="T77" s="351">
        <f t="shared" si="139"/>
        <v>2</v>
      </c>
      <c r="U77" s="351">
        <f t="shared" si="139"/>
        <v>2</v>
      </c>
    </row>
    <row r="78" spans="1:67">
      <c r="C78" s="447"/>
      <c r="R78" s="447"/>
      <c r="U78" s="447"/>
      <c r="AF78" s="447"/>
      <c r="AI78" s="447"/>
    </row>
    <row r="79" spans="1:67" ht="13.8" thickBot="1">
      <c r="A79" s="351" t="s">
        <v>1213</v>
      </c>
      <c r="C79" s="447"/>
      <c r="D79" s="447"/>
    </row>
    <row r="80" spans="1:67" ht="13.8" thickBot="1">
      <c r="A80" s="440"/>
      <c r="B80" s="679"/>
      <c r="C80" s="679" t="s">
        <v>628</v>
      </c>
      <c r="D80" s="679"/>
      <c r="E80" s="680"/>
      <c r="F80" s="679"/>
      <c r="G80" s="681" t="s">
        <v>419</v>
      </c>
      <c r="H80" s="679"/>
      <c r="I80" s="680"/>
      <c r="J80" s="681" t="s">
        <v>440</v>
      </c>
      <c r="K80" s="681" t="s">
        <v>441</v>
      </c>
      <c r="L80" s="681" t="s">
        <v>442</v>
      </c>
      <c r="M80" s="681" t="s">
        <v>443</v>
      </c>
      <c r="N80" s="681" t="s">
        <v>419</v>
      </c>
      <c r="O80" s="680"/>
      <c r="P80" s="679"/>
      <c r="Q80" s="679"/>
      <c r="R80" s="679"/>
      <c r="S80" s="679"/>
      <c r="T80" s="679"/>
      <c r="U80" s="679"/>
      <c r="V80" s="679"/>
      <c r="W80" s="679"/>
      <c r="X80" s="447"/>
      <c r="Y80" s="447"/>
      <c r="Z80" s="447"/>
      <c r="AA80" s="447"/>
      <c r="AB80" s="447"/>
    </row>
    <row r="81" spans="1:23" ht="13.8" thickBot="1">
      <c r="A81" s="441"/>
      <c r="B81" s="682" t="s">
        <v>215</v>
      </c>
      <c r="C81" s="682" t="s">
        <v>722</v>
      </c>
      <c r="D81" s="682" t="s">
        <v>723</v>
      </c>
      <c r="E81" s="683"/>
      <c r="F81" s="684" t="s">
        <v>215</v>
      </c>
      <c r="G81" s="685" t="s">
        <v>834</v>
      </c>
      <c r="H81" s="682" t="s">
        <v>723</v>
      </c>
      <c r="I81" s="683"/>
      <c r="J81" s="682" t="s">
        <v>445</v>
      </c>
      <c r="K81" s="682" t="s">
        <v>445</v>
      </c>
      <c r="L81" s="682" t="s">
        <v>445</v>
      </c>
      <c r="M81" s="682" t="s">
        <v>445</v>
      </c>
      <c r="N81" s="682" t="s">
        <v>445</v>
      </c>
      <c r="O81" s="683"/>
      <c r="P81" s="682" t="s">
        <v>657</v>
      </c>
      <c r="Q81" s="682" t="s">
        <v>657</v>
      </c>
      <c r="R81" s="682" t="s">
        <v>657</v>
      </c>
      <c r="S81" s="682" t="s">
        <v>657</v>
      </c>
      <c r="T81" s="682" t="s">
        <v>723</v>
      </c>
      <c r="U81" s="682" t="s">
        <v>723</v>
      </c>
      <c r="V81" s="682" t="s">
        <v>723</v>
      </c>
      <c r="W81" s="686"/>
    </row>
    <row r="82" spans="1:23" ht="13.8" thickBot="1">
      <c r="A82" s="442"/>
      <c r="B82" s="687" t="s">
        <v>658</v>
      </c>
      <c r="C82" s="687" t="s">
        <v>658</v>
      </c>
      <c r="D82" s="687" t="s">
        <v>658</v>
      </c>
      <c r="E82" s="688"/>
      <c r="F82" s="689" t="s">
        <v>658</v>
      </c>
      <c r="G82" s="689" t="s">
        <v>658</v>
      </c>
      <c r="H82" s="689" t="s">
        <v>658</v>
      </c>
      <c r="I82" s="688"/>
      <c r="J82" s="690" t="s">
        <v>658</v>
      </c>
      <c r="K82" s="690" t="s">
        <v>658</v>
      </c>
      <c r="L82" s="690" t="s">
        <v>658</v>
      </c>
      <c r="M82" s="690" t="s">
        <v>658</v>
      </c>
      <c r="N82" s="690" t="s">
        <v>658</v>
      </c>
      <c r="O82" s="688"/>
      <c r="P82" s="691" t="s">
        <v>862</v>
      </c>
      <c r="Q82" s="691" t="s">
        <v>863</v>
      </c>
      <c r="R82" s="691" t="s">
        <v>864</v>
      </c>
      <c r="S82" s="691" t="s">
        <v>663</v>
      </c>
      <c r="T82" s="687" t="s">
        <v>659</v>
      </c>
      <c r="U82" s="687" t="s">
        <v>660</v>
      </c>
      <c r="V82" s="687" t="s">
        <v>661</v>
      </c>
      <c r="W82" s="687" t="s">
        <v>662</v>
      </c>
    </row>
    <row r="83" spans="1:23" ht="13.8" thickBot="1">
      <c r="A83" s="441"/>
      <c r="B83" s="692" t="s">
        <v>432</v>
      </c>
      <c r="C83" s="692" t="s">
        <v>432</v>
      </c>
      <c r="D83" s="692" t="s">
        <v>432</v>
      </c>
      <c r="E83" s="683"/>
      <c r="F83" s="693" t="s">
        <v>432</v>
      </c>
      <c r="G83" s="692" t="s">
        <v>432</v>
      </c>
      <c r="H83" s="694" t="s">
        <v>432</v>
      </c>
      <c r="I83" s="683"/>
      <c r="J83" s="695"/>
      <c r="K83" s="695"/>
      <c r="L83" s="695"/>
      <c r="M83" s="695"/>
      <c r="N83" s="695"/>
      <c r="O83" s="683"/>
      <c r="P83" s="692" t="s">
        <v>432</v>
      </c>
      <c r="Q83" s="692" t="s">
        <v>432</v>
      </c>
      <c r="R83" s="692" t="s">
        <v>432</v>
      </c>
      <c r="S83" s="692" t="s">
        <v>432</v>
      </c>
      <c r="T83" s="692" t="s">
        <v>432</v>
      </c>
      <c r="U83" s="692" t="s">
        <v>432</v>
      </c>
      <c r="V83" s="692" t="s">
        <v>432</v>
      </c>
      <c r="W83" s="696"/>
    </row>
    <row r="84" spans="1:23">
      <c r="A84" s="360"/>
      <c r="B84" s="697"/>
      <c r="C84" s="697"/>
      <c r="D84" s="697"/>
      <c r="E84" s="697"/>
      <c r="F84" s="697"/>
      <c r="G84" s="697"/>
      <c r="H84" s="697"/>
      <c r="I84" s="697"/>
      <c r="J84" s="697"/>
      <c r="K84" s="697"/>
      <c r="L84" s="697"/>
      <c r="M84" s="697"/>
      <c r="N84" s="697"/>
      <c r="O84" s="697"/>
      <c r="P84" s="697"/>
      <c r="Q84" s="697"/>
      <c r="R84" s="697"/>
      <c r="S84" s="697"/>
      <c r="T84" s="697"/>
      <c r="U84" s="697"/>
      <c r="V84" s="697"/>
      <c r="W84" s="697"/>
    </row>
    <row r="85" spans="1:23" s="748" customFormat="1">
      <c r="A85" s="747" t="s">
        <v>1015</v>
      </c>
      <c r="B85" s="1626">
        <v>-14971.955</v>
      </c>
      <c r="C85" s="1626">
        <v>-12440.697</v>
      </c>
      <c r="D85" s="1626">
        <v>2531.259</v>
      </c>
      <c r="E85" s="697">
        <v>0</v>
      </c>
      <c r="F85" s="1627">
        <v>-14971.955</v>
      </c>
      <c r="G85" s="1627">
        <v>-12440.697</v>
      </c>
      <c r="H85" s="1626">
        <v>2531.259</v>
      </c>
      <c r="I85" s="1562"/>
      <c r="J85" s="1627">
        <v>477.05900000000003</v>
      </c>
      <c r="K85" s="1627">
        <v>426.18</v>
      </c>
      <c r="L85" s="1627">
        <v>342.67</v>
      </c>
      <c r="M85" s="1627">
        <v>1285.3499999999999</v>
      </c>
      <c r="N85" s="1627">
        <v>2531.259</v>
      </c>
      <c r="O85" s="1627">
        <v>0</v>
      </c>
      <c r="P85" s="1627">
        <v>-877.36400000000003</v>
      </c>
      <c r="Q85" s="1627">
        <v>1091.2919999999999</v>
      </c>
      <c r="R85" s="1627">
        <v>2226.9389999999999</v>
      </c>
      <c r="S85" s="1627">
        <v>90.391000000000005</v>
      </c>
      <c r="T85" s="1627">
        <v>0</v>
      </c>
      <c r="U85" s="1627">
        <v>0</v>
      </c>
      <c r="V85" s="1627">
        <v>0</v>
      </c>
      <c r="W85" s="1627">
        <v>0</v>
      </c>
    </row>
    <row r="86" spans="1:23" s="748" customFormat="1">
      <c r="A86" s="747" t="s">
        <v>1016</v>
      </c>
      <c r="B86" s="1626">
        <v>-9639.1610000000001</v>
      </c>
      <c r="C86" s="1626">
        <v>-5268.4840000000004</v>
      </c>
      <c r="D86" s="1626">
        <v>4370.6769999999997</v>
      </c>
      <c r="E86" s="697">
        <v>0</v>
      </c>
      <c r="F86" s="1626">
        <v>-9639.1610000000001</v>
      </c>
      <c r="G86" s="1626">
        <v>-5268.4840000000004</v>
      </c>
      <c r="H86" s="1626">
        <v>4370.6769999999997</v>
      </c>
      <c r="I86" s="1562"/>
      <c r="J86" s="1626">
        <v>597.02200000000005</v>
      </c>
      <c r="K86" s="1626">
        <v>958.46199999999999</v>
      </c>
      <c r="L86" s="1626">
        <v>1179.893</v>
      </c>
      <c r="M86" s="1626">
        <v>1635.3</v>
      </c>
      <c r="N86" s="1627">
        <v>4370.6769999999997</v>
      </c>
      <c r="O86" s="1626"/>
      <c r="P86" s="1626">
        <v>-1809.741</v>
      </c>
      <c r="Q86" s="1626">
        <v>3446.4830000000002</v>
      </c>
      <c r="R86" s="1626">
        <v>2317.241</v>
      </c>
      <c r="S86" s="1626">
        <v>416.69400000000002</v>
      </c>
      <c r="T86" s="1626">
        <v>0</v>
      </c>
      <c r="U86" s="1626">
        <v>0</v>
      </c>
      <c r="V86" s="1626">
        <v>24</v>
      </c>
      <c r="W86" s="1626">
        <v>24</v>
      </c>
    </row>
    <row r="87" spans="1:23" s="748" customFormat="1">
      <c r="A87" s="747" t="s">
        <v>1017</v>
      </c>
      <c r="B87" s="1626">
        <v>-37773.900999999998</v>
      </c>
      <c r="C87" s="1626">
        <v>-36990.586000000003</v>
      </c>
      <c r="D87" s="1626">
        <v>783.31500000000005</v>
      </c>
      <c r="E87" s="697">
        <v>0</v>
      </c>
      <c r="F87" s="1626">
        <v>-37773.900999999998</v>
      </c>
      <c r="G87" s="1626">
        <v>-36990.586000000003</v>
      </c>
      <c r="H87" s="1626">
        <v>783.31500000000005</v>
      </c>
      <c r="I87" s="1562"/>
      <c r="J87" s="1626">
        <v>235.66800000000001</v>
      </c>
      <c r="K87" s="1626">
        <v>-986.36599999999999</v>
      </c>
      <c r="L87" s="1626">
        <v>358.37</v>
      </c>
      <c r="M87" s="1626">
        <f>1155.02+20</f>
        <v>1175.02</v>
      </c>
      <c r="N87" s="1627">
        <v>783.31500000000005</v>
      </c>
      <c r="O87" s="1626"/>
      <c r="P87" s="1626">
        <v>-3893.15</v>
      </c>
      <c r="Q87" s="1626">
        <v>-244.22399999999999</v>
      </c>
      <c r="R87" s="1626">
        <v>5382.2359999999999</v>
      </c>
      <c r="S87" s="1626">
        <v>-461.54700000000003</v>
      </c>
      <c r="T87" s="1626">
        <v>0</v>
      </c>
      <c r="U87" s="1626">
        <v>0</v>
      </c>
      <c r="V87" s="1626">
        <v>0</v>
      </c>
      <c r="W87" s="1626">
        <v>0</v>
      </c>
    </row>
    <row r="88" spans="1:23" s="748" customFormat="1">
      <c r="A88" s="747" t="s">
        <v>1018</v>
      </c>
      <c r="B88" s="1626">
        <v>-24742.448</v>
      </c>
      <c r="C88" s="1626">
        <v>-23528.773000000001</v>
      </c>
      <c r="D88" s="1626">
        <v>1213.674</v>
      </c>
      <c r="E88" s="697">
        <v>0</v>
      </c>
      <c r="F88" s="1626">
        <v>-24742.448</v>
      </c>
      <c r="G88" s="1626">
        <v>-23528.773000000001</v>
      </c>
      <c r="H88" s="1626">
        <v>1213.674</v>
      </c>
      <c r="I88" s="1562"/>
      <c r="J88" s="1626">
        <v>234.501</v>
      </c>
      <c r="K88" s="1626">
        <v>-192.006</v>
      </c>
      <c r="L88" s="1626">
        <v>444.81900000000002</v>
      </c>
      <c r="M88" s="1626">
        <v>726.36099999999999</v>
      </c>
      <c r="N88" s="1627">
        <v>1213.674</v>
      </c>
      <c r="O88" s="1626"/>
      <c r="P88" s="1626">
        <v>-172.33199999999999</v>
      </c>
      <c r="Q88" s="1626">
        <v>286.71499999999997</v>
      </c>
      <c r="R88" s="1626">
        <v>837.41099999999994</v>
      </c>
      <c r="S88" s="1626">
        <v>261.88099999999997</v>
      </c>
      <c r="T88" s="1626">
        <v>0</v>
      </c>
      <c r="U88" s="1626">
        <v>0</v>
      </c>
      <c r="V88" s="1626">
        <v>65</v>
      </c>
      <c r="W88" s="1626">
        <v>65</v>
      </c>
    </row>
    <row r="89" spans="1:23" s="748" customFormat="1">
      <c r="A89" s="747" t="s">
        <v>1019</v>
      </c>
      <c r="B89" s="1626">
        <v>-2332.6109999999999</v>
      </c>
      <c r="C89" s="1626">
        <v>-2618.9009999999998</v>
      </c>
      <c r="D89" s="1626">
        <v>-286.29000000000002</v>
      </c>
      <c r="E89" s="697">
        <v>0</v>
      </c>
      <c r="F89" s="1626">
        <v>-2332.6109999999999</v>
      </c>
      <c r="G89" s="1626">
        <v>-2618.9009999999998</v>
      </c>
      <c r="H89" s="1626">
        <v>-286.29000000000002</v>
      </c>
      <c r="I89" s="1562"/>
      <c r="J89" s="1626">
        <v>-144.958</v>
      </c>
      <c r="K89" s="1626">
        <v>-48.756</v>
      </c>
      <c r="L89" s="1626">
        <v>165.77600000000001</v>
      </c>
      <c r="M89" s="1626">
        <v>-258.35199999999998</v>
      </c>
      <c r="N89" s="1627">
        <v>-286.29000000000002</v>
      </c>
      <c r="O89" s="1626"/>
      <c r="P89" s="1626">
        <v>-2082.873</v>
      </c>
      <c r="Q89" s="1626">
        <v>-461.09800000000001</v>
      </c>
      <c r="R89" s="1626">
        <v>2560.66</v>
      </c>
      <c r="S89" s="1626">
        <v>-302.97899999999998</v>
      </c>
      <c r="T89" s="1626">
        <v>0</v>
      </c>
      <c r="U89" s="1626">
        <v>0</v>
      </c>
      <c r="V89" s="1626">
        <v>0</v>
      </c>
      <c r="W89" s="1626">
        <v>0</v>
      </c>
    </row>
    <row r="90" spans="1:23" ht="13.8" thickBot="1">
      <c r="A90" s="360"/>
      <c r="B90" s="697">
        <v>0</v>
      </c>
      <c r="C90" s="697">
        <v>0</v>
      </c>
      <c r="D90" s="697">
        <v>0</v>
      </c>
      <c r="E90" s="697"/>
      <c r="F90" s="697">
        <v>0</v>
      </c>
      <c r="G90" s="697">
        <v>0</v>
      </c>
      <c r="H90" s="697">
        <v>0</v>
      </c>
      <c r="I90" s="697"/>
      <c r="J90" s="697"/>
      <c r="K90" s="697"/>
      <c r="L90" s="697"/>
      <c r="M90" s="697">
        <v>0</v>
      </c>
      <c r="N90" s="697">
        <v>0</v>
      </c>
      <c r="O90" s="697"/>
      <c r="P90" s="697">
        <v>0</v>
      </c>
      <c r="Q90" s="697">
        <v>0</v>
      </c>
      <c r="R90" s="697">
        <v>0</v>
      </c>
      <c r="S90" s="697">
        <v>0</v>
      </c>
      <c r="T90" s="697">
        <v>0</v>
      </c>
      <c r="U90" s="697">
        <v>0</v>
      </c>
      <c r="V90" s="697">
        <v>0</v>
      </c>
      <c r="W90" s="697">
        <v>0</v>
      </c>
    </row>
    <row r="91" spans="1:23" ht="13.8" thickBot="1">
      <c r="A91" s="443" t="s">
        <v>446</v>
      </c>
      <c r="B91" s="698">
        <v>-89460.076000000001</v>
      </c>
      <c r="C91" s="698">
        <v>-80847.441000000006</v>
      </c>
      <c r="D91" s="698">
        <v>8612.6350000000002</v>
      </c>
      <c r="E91" s="699"/>
      <c r="F91" s="698">
        <v>-89460.076000000001</v>
      </c>
      <c r="G91" s="698">
        <v>-80847.441000000006</v>
      </c>
      <c r="H91" s="698">
        <v>8612.6350000000002</v>
      </c>
      <c r="I91" s="699"/>
      <c r="J91" s="698">
        <f>SUM(J85:J90)</f>
        <v>1399.2920000000001</v>
      </c>
      <c r="K91" s="698">
        <f>SUM(K85:K90)</f>
        <v>157.51400000000007</v>
      </c>
      <c r="L91" s="698">
        <f>SUM(L85:L90)</f>
        <v>2491.5279999999998</v>
      </c>
      <c r="M91" s="698">
        <f t="shared" ref="M91:N91" si="140">SUM(M85:M90)</f>
        <v>4563.6790000000001</v>
      </c>
      <c r="N91" s="698">
        <f t="shared" si="140"/>
        <v>8612.6349999999984</v>
      </c>
      <c r="O91" s="699"/>
      <c r="P91" s="698">
        <v>-8.8350000000000009</v>
      </c>
      <c r="Q91" s="698">
        <v>4.1189999999999998</v>
      </c>
      <c r="R91" s="698">
        <v>13.324</v>
      </c>
      <c r="S91" s="698">
        <v>4.0000000000000001E-3</v>
      </c>
      <c r="T91" s="698">
        <v>0</v>
      </c>
      <c r="U91" s="698">
        <v>0</v>
      </c>
      <c r="V91" s="698">
        <v>89</v>
      </c>
      <c r="W91" s="698">
        <v>89</v>
      </c>
    </row>
    <row r="92" spans="1:23">
      <c r="A92" s="444"/>
      <c r="B92" s="697">
        <v>0</v>
      </c>
      <c r="C92" s="697">
        <v>0</v>
      </c>
      <c r="D92" s="697">
        <v>0</v>
      </c>
      <c r="E92" s="697"/>
      <c r="F92" s="697">
        <v>0</v>
      </c>
      <c r="G92" s="697">
        <v>0</v>
      </c>
      <c r="H92" s="697">
        <v>0</v>
      </c>
      <c r="I92" s="697"/>
      <c r="J92" s="697"/>
      <c r="K92" s="697"/>
      <c r="L92" s="697"/>
      <c r="M92" s="697">
        <v>0</v>
      </c>
      <c r="N92" s="697">
        <v>0</v>
      </c>
      <c r="O92" s="697"/>
      <c r="P92" s="697">
        <v>0</v>
      </c>
      <c r="Q92" s="697">
        <v>0</v>
      </c>
      <c r="R92" s="697">
        <v>0</v>
      </c>
      <c r="S92" s="697">
        <v>0</v>
      </c>
      <c r="T92" s="697">
        <v>0</v>
      </c>
      <c r="U92" s="697">
        <v>0</v>
      </c>
      <c r="V92" s="697">
        <v>0</v>
      </c>
      <c r="W92" s="697">
        <v>0</v>
      </c>
    </row>
    <row r="93" spans="1:23" ht="13.8" thickBot="1">
      <c r="A93" s="445" t="s">
        <v>456</v>
      </c>
      <c r="B93" s="1626">
        <v>35644.165000000001</v>
      </c>
      <c r="C93" s="1626">
        <v>37709.271999999997</v>
      </c>
      <c r="D93" s="1626">
        <v>2065.107</v>
      </c>
      <c r="E93" s="1626">
        <v>0</v>
      </c>
      <c r="F93" s="1626">
        <v>35644.165000000001</v>
      </c>
      <c r="G93" s="1626">
        <v>37709.271999999997</v>
      </c>
      <c r="H93" s="1626">
        <v>2065.107</v>
      </c>
      <c r="I93" s="1626"/>
      <c r="J93" s="1626">
        <v>-37.366</v>
      </c>
      <c r="K93" s="1626">
        <v>477.07900000000001</v>
      </c>
      <c r="L93" s="1626">
        <v>821.83500000000004</v>
      </c>
      <c r="M93" s="1626">
        <v>803.55899999999997</v>
      </c>
      <c r="N93" s="1626">
        <v>2065.107</v>
      </c>
      <c r="O93" s="1626">
        <v>0</v>
      </c>
      <c r="P93" s="1626">
        <v>-325.39100000000002</v>
      </c>
      <c r="Q93" s="1626">
        <v>-429.11099999999999</v>
      </c>
      <c r="R93" s="1626">
        <v>2822.6089999999999</v>
      </c>
      <c r="S93" s="1626">
        <v>0</v>
      </c>
      <c r="T93" s="1626">
        <v>0</v>
      </c>
      <c r="U93" s="1626">
        <v>0</v>
      </c>
      <c r="V93" s="1626">
        <v>65.977999999999994</v>
      </c>
      <c r="W93" s="1626">
        <v>65.977999999999994</v>
      </c>
    </row>
    <row r="94" spans="1:23" ht="13.8" thickBot="1">
      <c r="A94" s="445" t="s">
        <v>447</v>
      </c>
      <c r="B94" s="1617">
        <v>53064.911999999997</v>
      </c>
      <c r="C94" s="1617">
        <v>47031.087</v>
      </c>
      <c r="D94" s="1617">
        <v>-6033.8249999999998</v>
      </c>
      <c r="E94" s="1618">
        <v>0</v>
      </c>
      <c r="F94" s="1617">
        <v>53064.911999999997</v>
      </c>
      <c r="G94" s="1617">
        <v>47031.087</v>
      </c>
      <c r="H94" s="1626">
        <v>-6033.8249999999998</v>
      </c>
      <c r="I94" s="1618"/>
      <c r="J94" s="1617">
        <v>-1494.11</v>
      </c>
      <c r="K94" s="1617">
        <v>-603.88</v>
      </c>
      <c r="L94" s="1617">
        <f>-2371.961-355</f>
        <v>-2726.9609999999998</v>
      </c>
      <c r="M94" s="1628">
        <f>-1543.251+355-1969</f>
        <v>-3157.2510000000002</v>
      </c>
      <c r="N94" s="1628">
        <v>-6033.8249999999998</v>
      </c>
      <c r="O94" s="1629">
        <v>0</v>
      </c>
      <c r="P94" s="1628">
        <v>-2064.7510000000002</v>
      </c>
      <c r="Q94" s="1628">
        <v>-222.149</v>
      </c>
      <c r="R94" s="1628">
        <v>-5130.902</v>
      </c>
      <c r="S94" s="1628">
        <v>-4.4390000000000001</v>
      </c>
      <c r="T94" s="1628">
        <v>-766.93200000000002</v>
      </c>
      <c r="U94" s="1628">
        <v>1516.7190000000001</v>
      </c>
      <c r="V94" s="1628">
        <v>16.231000000000002</v>
      </c>
      <c r="W94" s="1628">
        <v>766.01700000000005</v>
      </c>
    </row>
    <row r="95" spans="1:23">
      <c r="A95" s="360"/>
      <c r="B95" s="697">
        <v>0</v>
      </c>
      <c r="C95" s="697">
        <v>0</v>
      </c>
      <c r="D95" s="448">
        <v>0</v>
      </c>
      <c r="E95" s="697"/>
      <c r="F95" s="697">
        <v>0</v>
      </c>
      <c r="G95" s="697">
        <v>0</v>
      </c>
      <c r="H95" s="448">
        <v>0</v>
      </c>
      <c r="I95" s="697"/>
      <c r="J95" s="697"/>
      <c r="K95" s="697"/>
      <c r="L95" s="697"/>
      <c r="M95" s="697">
        <v>0</v>
      </c>
      <c r="N95" s="448">
        <v>0</v>
      </c>
      <c r="O95" s="697"/>
      <c r="P95" s="697">
        <v>0</v>
      </c>
      <c r="Q95" s="697">
        <v>0</v>
      </c>
      <c r="R95" s="697">
        <v>0</v>
      </c>
      <c r="S95" s="697">
        <v>0</v>
      </c>
      <c r="T95" s="697">
        <v>0</v>
      </c>
      <c r="U95" s="697">
        <v>0</v>
      </c>
      <c r="V95" s="697">
        <v>0</v>
      </c>
      <c r="W95" s="697">
        <v>0</v>
      </c>
    </row>
    <row r="96" spans="1:23" ht="13.8" thickBot="1">
      <c r="A96" s="444"/>
      <c r="B96" s="697">
        <v>0</v>
      </c>
      <c r="C96" s="697">
        <v>0</v>
      </c>
      <c r="D96" s="697">
        <v>0</v>
      </c>
      <c r="E96" s="697"/>
      <c r="F96" s="697">
        <v>0</v>
      </c>
      <c r="G96" s="697">
        <v>0</v>
      </c>
      <c r="H96" s="697">
        <v>0</v>
      </c>
      <c r="I96" s="697"/>
      <c r="J96" s="697"/>
      <c r="K96" s="697"/>
      <c r="L96" s="697"/>
      <c r="M96" s="697">
        <v>0</v>
      </c>
      <c r="N96" s="697">
        <v>0</v>
      </c>
      <c r="O96" s="697"/>
      <c r="P96" s="697">
        <v>0</v>
      </c>
      <c r="Q96" s="697">
        <v>0</v>
      </c>
      <c r="R96" s="697">
        <v>0</v>
      </c>
      <c r="S96" s="697">
        <v>0</v>
      </c>
      <c r="T96" s="697">
        <v>0</v>
      </c>
      <c r="U96" s="697">
        <v>0</v>
      </c>
      <c r="V96" s="697">
        <v>0</v>
      </c>
      <c r="W96" s="697">
        <v>0</v>
      </c>
    </row>
    <row r="97" spans="1:23" ht="13.8" thickBot="1">
      <c r="A97" s="443" t="s">
        <v>412</v>
      </c>
      <c r="B97" s="698">
        <v>-750.99900000000002</v>
      </c>
      <c r="C97" s="698">
        <v>3892.9169999999999</v>
      </c>
      <c r="D97" s="698">
        <v>4643.9170000000004</v>
      </c>
      <c r="E97" s="699"/>
      <c r="F97" s="698">
        <v>-750.99900000000002</v>
      </c>
      <c r="G97" s="698">
        <v>3892.9169999999999</v>
      </c>
      <c r="H97" s="698">
        <v>4643.9170000000004</v>
      </c>
      <c r="I97" s="699"/>
      <c r="J97" s="698">
        <f>SUM(J91:J94)</f>
        <v>-132.18399999999974</v>
      </c>
      <c r="K97" s="698">
        <f>SUM(K91:K94)</f>
        <v>30.713000000000079</v>
      </c>
      <c r="L97" s="698">
        <f>SUM(L91:L94)</f>
        <v>586.40200000000004</v>
      </c>
      <c r="M97" s="698">
        <f t="shared" ref="M97:N97" si="141">SUM(M91:M94)</f>
        <v>2209.9870000000001</v>
      </c>
      <c r="N97" s="698">
        <f t="shared" si="141"/>
        <v>4643.9169999999986</v>
      </c>
      <c r="O97" s="699"/>
      <c r="P97" s="698">
        <v>-11225.602000000001</v>
      </c>
      <c r="Q97" s="698">
        <v>3467.9079999999999</v>
      </c>
      <c r="R97" s="698">
        <v>11016.194</v>
      </c>
      <c r="S97" s="698">
        <v>0</v>
      </c>
      <c r="T97" s="698">
        <v>-766.93200000000002</v>
      </c>
      <c r="U97" s="698">
        <v>1516.7190000000001</v>
      </c>
      <c r="V97" s="698">
        <v>171.209</v>
      </c>
      <c r="W97" s="698">
        <v>920.99599999999998</v>
      </c>
    </row>
    <row r="98" spans="1:23">
      <c r="A98" s="362"/>
      <c r="B98" s="342"/>
      <c r="C98" s="342"/>
      <c r="D98" s="342"/>
      <c r="E98" s="342"/>
      <c r="F98" s="342"/>
      <c r="G98" s="342"/>
      <c r="H98" s="342"/>
      <c r="I98" s="342"/>
      <c r="J98" s="342"/>
      <c r="K98" s="342"/>
      <c r="L98" s="342"/>
      <c r="M98" s="342"/>
      <c r="N98" s="342"/>
      <c r="O98" s="342"/>
      <c r="P98" s="342"/>
      <c r="Q98" s="342"/>
    </row>
    <row r="99" spans="1:23">
      <c r="L99" s="351">
        <v>355</v>
      </c>
      <c r="M99" s="447">
        <f>(H61+H62)-L99</f>
        <v>-355</v>
      </c>
    </row>
    <row r="101" spans="1:23">
      <c r="N101" s="351">
        <f>N72*1000</f>
        <v>867622.00000000303</v>
      </c>
      <c r="O101" s="351">
        <f t="shared" ref="O101:U101" si="142">O72*1000</f>
        <v>-2667942.9999999991</v>
      </c>
      <c r="P101" s="351">
        <f t="shared" si="142"/>
        <v>-3094564.9999999879</v>
      </c>
      <c r="Q101" s="351">
        <f t="shared" si="142"/>
        <v>1001907.0000000137</v>
      </c>
      <c r="R101" s="351">
        <f t="shared" si="142"/>
        <v>734400.99999999802</v>
      </c>
      <c r="S101" s="351">
        <f t="shared" si="142"/>
        <v>-2416734.9999999935</v>
      </c>
      <c r="T101" s="351">
        <f t="shared" si="142"/>
        <v>1243974.9999999986</v>
      </c>
      <c r="U101" s="351">
        <f t="shared" si="142"/>
        <v>-2599945.9999999944</v>
      </c>
    </row>
    <row r="107" spans="1:23">
      <c r="P107" s="351">
        <f>600/6</f>
        <v>100</v>
      </c>
    </row>
    <row r="108" spans="1:23">
      <c r="P108" s="351">
        <f>400/6</f>
        <v>66.666666666666671</v>
      </c>
    </row>
    <row r="109" spans="1:23">
      <c r="P109" s="351">
        <f>1000/6</f>
        <v>166.66666666666666</v>
      </c>
    </row>
  </sheetData>
  <phoneticPr fontId="8" type="noConversion"/>
  <pageMargins left="0.19685039370078741" right="0.19685039370078741" top="0.70866141732283472" bottom="0.51181102362204722" header="0.51181102362204722" footer="0.39370078740157483"/>
  <pageSetup paperSize="9" scale="5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83"/>
  <sheetViews>
    <sheetView workbookViewId="0">
      <pane xSplit="6" ySplit="3" topLeftCell="P40" activePane="bottomRight" state="frozen"/>
      <selection activeCell="D16" sqref="D16"/>
      <selection pane="topRight" activeCell="D16" sqref="D16"/>
      <selection pane="bottomLeft" activeCell="D16" sqref="D16"/>
      <selection pane="bottomRight" activeCell="D22" sqref="D22"/>
    </sheetView>
  </sheetViews>
  <sheetFormatPr defaultColWidth="9.109375" defaultRowHeight="13.2"/>
  <cols>
    <col min="1" max="1" width="32.5546875" style="1015" bestFit="1" customWidth="1"/>
    <col min="2" max="2" width="16.44140625" style="1015" customWidth="1"/>
    <col min="3" max="3" width="18.109375" style="1015" customWidth="1"/>
    <col min="4" max="4" width="20.5546875" style="1015" customWidth="1"/>
    <col min="5" max="5" width="21.109375" style="1015" customWidth="1"/>
    <col min="6" max="6" width="15.88671875" style="1015" bestFit="1" customWidth="1"/>
    <col min="7" max="7" width="25.33203125" style="1015" customWidth="1"/>
    <col min="8" max="18" width="8.109375" style="1015" customWidth="1"/>
    <col min="19" max="19" width="11.33203125" style="1015" bestFit="1" customWidth="1"/>
    <col min="20" max="21" width="11.33203125" style="1015" customWidth="1"/>
    <col min="22" max="22" width="4.5546875" style="1015" bestFit="1" customWidth="1"/>
    <col min="23" max="23" width="4.6640625" style="1015" bestFit="1" customWidth="1"/>
    <col min="24" max="24" width="5.33203125" style="1015" customWidth="1"/>
    <col min="25" max="33" width="5.5546875" style="1015" bestFit="1" customWidth="1"/>
    <col min="34" max="34" width="10.88671875" style="1015" bestFit="1" customWidth="1"/>
    <col min="35" max="35" width="10.88671875" style="1015" customWidth="1"/>
    <col min="36" max="36" width="11.109375" style="1015" customWidth="1"/>
    <col min="37" max="38" width="4" style="1015" customWidth="1"/>
    <col min="39" max="39" width="5.5546875" style="1015" bestFit="1" customWidth="1"/>
    <col min="40" max="40" width="4" style="1015" customWidth="1"/>
    <col min="41" max="41" width="9.6640625" style="1015" customWidth="1"/>
    <col min="42" max="43" width="4" style="1015" customWidth="1"/>
    <col min="44" max="47" width="5" style="1015" customWidth="1"/>
    <col min="48" max="48" width="11.6640625" style="1015" bestFit="1" customWidth="1"/>
    <col min="49" max="16384" width="9.109375" style="1015"/>
  </cols>
  <sheetData>
    <row r="1" spans="1:41">
      <c r="V1" s="1992"/>
      <c r="W1" s="1015" t="s">
        <v>1354</v>
      </c>
    </row>
    <row r="2" spans="1:41" ht="13.8" thickBot="1">
      <c r="A2" s="1186"/>
      <c r="B2" s="1960" t="s">
        <v>240</v>
      </c>
      <c r="C2" s="1960" t="s">
        <v>241</v>
      </c>
      <c r="D2" s="1960" t="s">
        <v>242</v>
      </c>
      <c r="E2" s="1960" t="s">
        <v>243</v>
      </c>
      <c r="F2" s="1960" t="s">
        <v>244</v>
      </c>
      <c r="G2" s="1960" t="s">
        <v>245</v>
      </c>
      <c r="H2" s="1960" t="s">
        <v>246</v>
      </c>
      <c r="I2" s="1960" t="s">
        <v>1314</v>
      </c>
      <c r="J2" s="1960" t="s">
        <v>1315</v>
      </c>
      <c r="K2" s="1960" t="s">
        <v>1316</v>
      </c>
      <c r="L2" s="1960" t="s">
        <v>1317</v>
      </c>
      <c r="M2" s="1960" t="s">
        <v>1318</v>
      </c>
      <c r="N2" s="1960" t="s">
        <v>1319</v>
      </c>
      <c r="O2" s="1960" t="s">
        <v>1320</v>
      </c>
      <c r="P2" s="1960" t="s">
        <v>1321</v>
      </c>
      <c r="Q2" s="1960" t="s">
        <v>1322</v>
      </c>
      <c r="R2" s="1961" t="s">
        <v>1323</v>
      </c>
    </row>
    <row r="3" spans="1:41" ht="20.100000000000001" customHeight="1" thickTop="1" thickBot="1">
      <c r="A3" s="1962" t="s">
        <v>1324</v>
      </c>
      <c r="B3" s="1963" t="s">
        <v>1325</v>
      </c>
      <c r="C3" s="1964" t="s">
        <v>1326</v>
      </c>
      <c r="D3" s="1964" t="s">
        <v>1327</v>
      </c>
      <c r="E3" s="1964" t="s">
        <v>1328</v>
      </c>
      <c r="F3" s="1965" t="s">
        <v>1329</v>
      </c>
      <c r="G3" s="1966" t="s">
        <v>1330</v>
      </c>
      <c r="H3" s="1966" t="s">
        <v>1331</v>
      </c>
      <c r="I3" s="1966" t="s">
        <v>1332</v>
      </c>
      <c r="J3" s="1966" t="s">
        <v>1333</v>
      </c>
      <c r="K3" s="1966" t="s">
        <v>1334</v>
      </c>
      <c r="L3" s="1966" t="s">
        <v>1335</v>
      </c>
      <c r="M3" s="1966" t="s">
        <v>1336</v>
      </c>
      <c r="N3" s="1966" t="s">
        <v>1337</v>
      </c>
      <c r="O3" s="1966" t="s">
        <v>1338</v>
      </c>
      <c r="P3" s="1966" t="s">
        <v>1339</v>
      </c>
      <c r="Q3" s="1966" t="s">
        <v>1340</v>
      </c>
      <c r="R3" s="1967" t="s">
        <v>1341</v>
      </c>
      <c r="S3" s="1968" t="s">
        <v>1079</v>
      </c>
      <c r="T3" s="1968" t="s">
        <v>1288</v>
      </c>
      <c r="U3" s="1968" t="s">
        <v>77</v>
      </c>
      <c r="V3" s="1966" t="s">
        <v>420</v>
      </c>
      <c r="W3" s="1966" t="s">
        <v>421</v>
      </c>
      <c r="X3" s="1966" t="s">
        <v>422</v>
      </c>
      <c r="Y3" s="1966" t="s">
        <v>423</v>
      </c>
      <c r="Z3" s="1966" t="s">
        <v>424</v>
      </c>
      <c r="AA3" s="1966" t="s">
        <v>425</v>
      </c>
      <c r="AB3" s="1966" t="s">
        <v>426</v>
      </c>
      <c r="AC3" s="1966" t="s">
        <v>427</v>
      </c>
      <c r="AD3" s="1966" t="s">
        <v>428</v>
      </c>
      <c r="AE3" s="1966" t="s">
        <v>429</v>
      </c>
      <c r="AF3" s="1966" t="s">
        <v>430</v>
      </c>
      <c r="AG3" s="1967" t="s">
        <v>431</v>
      </c>
      <c r="AH3" s="1968" t="s">
        <v>1077</v>
      </c>
      <c r="AI3" s="1969" t="s">
        <v>1342</v>
      </c>
      <c r="AJ3" s="1969" t="s">
        <v>834</v>
      </c>
    </row>
    <row r="4" spans="1:41">
      <c r="A4" s="1970" t="s">
        <v>364</v>
      </c>
      <c r="B4" s="1971" t="s">
        <v>1343</v>
      </c>
      <c r="C4" s="1971" t="s">
        <v>30</v>
      </c>
      <c r="D4" s="1971" t="s">
        <v>862</v>
      </c>
      <c r="E4" s="1971" t="s">
        <v>1344</v>
      </c>
      <c r="F4" s="1972">
        <f t="shared" ref="F4:F16" si="0">SUM(G4:R4)</f>
        <v>2560</v>
      </c>
      <c r="G4" s="1973">
        <v>165.66666666666666</v>
      </c>
      <c r="H4" s="1973">
        <v>170.16666666666666</v>
      </c>
      <c r="I4" s="1973">
        <v>170.16666666666666</v>
      </c>
      <c r="J4" s="1973">
        <v>227.88888888888891</v>
      </c>
      <c r="K4" s="1973">
        <v>207.38888888888891</v>
      </c>
      <c r="L4" s="1973">
        <v>230.88888888888891</v>
      </c>
      <c r="M4" s="1973">
        <v>230.88888888888891</v>
      </c>
      <c r="N4" s="1973">
        <v>236.38888888888891</v>
      </c>
      <c r="O4" s="1973">
        <v>227.88888888888891</v>
      </c>
      <c r="P4" s="1973">
        <v>230.88888888888891</v>
      </c>
      <c r="Q4" s="1973">
        <v>230.88888888888891</v>
      </c>
      <c r="R4" s="1973">
        <v>230.88888888888891</v>
      </c>
      <c r="S4" s="1974">
        <f>SUM(G4:H4)</f>
        <v>335.83333333333331</v>
      </c>
      <c r="T4" s="1974">
        <f>AH4-S4</f>
        <v>274.16666666666669</v>
      </c>
      <c r="U4" s="1974">
        <f>SUM(G4:R4)</f>
        <v>2560</v>
      </c>
      <c r="V4" s="1975">
        <v>306</v>
      </c>
      <c r="W4" s="1973">
        <f>610-V4</f>
        <v>304</v>
      </c>
      <c r="X4" s="1973">
        <v>143</v>
      </c>
      <c r="Y4" s="1973">
        <v>200</v>
      </c>
      <c r="Z4" s="1973">
        <v>180</v>
      </c>
      <c r="AA4" s="1990">
        <v>203</v>
      </c>
      <c r="AB4" s="1990">
        <v>204</v>
      </c>
      <c r="AC4" s="1990">
        <v>209</v>
      </c>
      <c r="AD4" s="1990">
        <v>200</v>
      </c>
      <c r="AE4" s="1990">
        <v>204</v>
      </c>
      <c r="AF4" s="1990">
        <v>203</v>
      </c>
      <c r="AG4" s="1990">
        <v>204</v>
      </c>
      <c r="AH4" s="1974">
        <f>SUM(V4:W4)</f>
        <v>610</v>
      </c>
      <c r="AI4" s="1974">
        <f>AJ4-U4</f>
        <v>0</v>
      </c>
      <c r="AJ4" s="1974">
        <f>SUM(V4:AG4)</f>
        <v>2560</v>
      </c>
      <c r="AM4" s="2003">
        <v>2560</v>
      </c>
      <c r="AO4" s="1974">
        <f>AM4-AJ4</f>
        <v>0</v>
      </c>
    </row>
    <row r="5" spans="1:41" ht="14.4">
      <c r="A5" s="1970" t="s">
        <v>364</v>
      </c>
      <c r="B5" s="1976" t="s">
        <v>1343</v>
      </c>
      <c r="C5" s="1971" t="s">
        <v>30</v>
      </c>
      <c r="D5" s="1976" t="s">
        <v>1345</v>
      </c>
      <c r="E5" s="1971" t="s">
        <v>1344</v>
      </c>
      <c r="F5" s="1977">
        <f t="shared" si="0"/>
        <v>6537.8720000000012</v>
      </c>
      <c r="G5" s="1978">
        <v>203.33333333333331</v>
      </c>
      <c r="H5" s="1978">
        <v>223.33333333333343</v>
      </c>
      <c r="I5" s="1978">
        <v>243.33333333333337</v>
      </c>
      <c r="J5" s="1978">
        <v>639.76177777777775</v>
      </c>
      <c r="K5" s="1978">
        <v>659.76377777777793</v>
      </c>
      <c r="L5" s="1978">
        <v>639.76377777777782</v>
      </c>
      <c r="M5" s="1978">
        <v>649.76377777777782</v>
      </c>
      <c r="N5" s="1978">
        <v>659.76377777777782</v>
      </c>
      <c r="O5" s="1978">
        <v>609.76377777777782</v>
      </c>
      <c r="P5" s="1978">
        <v>669.76377777777782</v>
      </c>
      <c r="Q5" s="1978">
        <v>669.76377777777782</v>
      </c>
      <c r="R5" s="1978">
        <v>669.76377777777793</v>
      </c>
      <c r="S5" s="1974">
        <f t="shared" ref="S5:S17" si="1">SUM(G5:H5)</f>
        <v>426.66666666666674</v>
      </c>
      <c r="T5" s="1974">
        <f t="shared" ref="T5:T17" si="2">AH5-S5</f>
        <v>121.33333333333326</v>
      </c>
      <c r="U5" s="1974">
        <f t="shared" ref="U5:U17" si="3">SUM(G5:R5)</f>
        <v>6537.8720000000012</v>
      </c>
      <c r="V5" s="1979">
        <v>313</v>
      </c>
      <c r="W5" s="1978">
        <v>235</v>
      </c>
      <c r="X5" s="2006">
        <v>257</v>
      </c>
      <c r="Y5" s="2006">
        <v>625</v>
      </c>
      <c r="Z5" s="2006">
        <v>645</v>
      </c>
      <c r="AA5" s="2006">
        <v>625</v>
      </c>
      <c r="AB5" s="2006">
        <v>635</v>
      </c>
      <c r="AC5" s="2006">
        <v>645</v>
      </c>
      <c r="AD5" s="2006">
        <v>595</v>
      </c>
      <c r="AE5" s="2006">
        <v>655</v>
      </c>
      <c r="AF5" s="2006">
        <v>655</v>
      </c>
      <c r="AG5" s="2006">
        <v>654</v>
      </c>
      <c r="AH5" s="1974">
        <f t="shared" ref="AH5:AH17" si="4">SUM(V5:W5)</f>
        <v>548</v>
      </c>
      <c r="AI5" s="1974">
        <f t="shared" ref="AI5:AI17" si="5">AJ5-U5</f>
        <v>1.1279999999987922</v>
      </c>
      <c r="AJ5" s="1974">
        <f t="shared" ref="AJ5:AJ17" si="6">SUM(V5:AG5)</f>
        <v>6539</v>
      </c>
      <c r="AM5" s="2004">
        <v>6539</v>
      </c>
      <c r="AO5" s="1974">
        <f t="shared" ref="AO5:AO17" si="7">AM5-AJ5</f>
        <v>0</v>
      </c>
    </row>
    <row r="6" spans="1:41">
      <c r="A6" s="1980" t="s">
        <v>1191</v>
      </c>
      <c r="B6" s="1976" t="s">
        <v>1343</v>
      </c>
      <c r="C6" s="1971" t="s">
        <v>30</v>
      </c>
      <c r="D6" s="1976" t="s">
        <v>1346</v>
      </c>
      <c r="E6" s="1971" t="s">
        <v>1344</v>
      </c>
      <c r="F6" s="1977">
        <f t="shared" si="0"/>
        <v>3776.0000000000005</v>
      </c>
      <c r="G6" s="1978">
        <v>0</v>
      </c>
      <c r="H6" s="1978">
        <v>0</v>
      </c>
      <c r="I6" s="1978">
        <v>0</v>
      </c>
      <c r="J6" s="1978">
        <v>419.55555555555554</v>
      </c>
      <c r="K6" s="1978">
        <v>419.55555555555554</v>
      </c>
      <c r="L6" s="1978">
        <v>419.55555555555554</v>
      </c>
      <c r="M6" s="1978">
        <v>419.55555555555554</v>
      </c>
      <c r="N6" s="1978">
        <v>419.55555555555554</v>
      </c>
      <c r="O6" s="1978">
        <v>419.55555555555554</v>
      </c>
      <c r="P6" s="1978">
        <v>419.55555555555554</v>
      </c>
      <c r="Q6" s="1978">
        <v>419.55555555555554</v>
      </c>
      <c r="R6" s="1978">
        <v>419.55555555555554</v>
      </c>
      <c r="S6" s="1974">
        <f t="shared" si="1"/>
        <v>0</v>
      </c>
      <c r="T6" s="1974">
        <f t="shared" si="2"/>
        <v>0</v>
      </c>
      <c r="U6" s="1974">
        <f t="shared" si="3"/>
        <v>3776.0000000000005</v>
      </c>
      <c r="V6" s="1978">
        <v>0</v>
      </c>
      <c r="W6" s="1978">
        <v>0</v>
      </c>
      <c r="X6" s="1978">
        <v>0</v>
      </c>
      <c r="Y6" s="1978">
        <v>419.55555555555554</v>
      </c>
      <c r="Z6" s="1978">
        <v>419.55555555555554</v>
      </c>
      <c r="AA6" s="1978">
        <v>419.55555555555554</v>
      </c>
      <c r="AB6" s="1978">
        <v>419.55555555555554</v>
      </c>
      <c r="AC6" s="1978">
        <v>419.55555555555554</v>
      </c>
      <c r="AD6" s="1978">
        <v>419.55555555555554</v>
      </c>
      <c r="AE6" s="1978">
        <v>419.55555555555554</v>
      </c>
      <c r="AF6" s="1978">
        <v>419.55555555555554</v>
      </c>
      <c r="AG6" s="1978">
        <v>419.55555555555554</v>
      </c>
      <c r="AH6" s="1974">
        <f t="shared" si="4"/>
        <v>0</v>
      </c>
      <c r="AI6" s="1974">
        <f t="shared" si="5"/>
        <v>0</v>
      </c>
      <c r="AJ6" s="1974">
        <f t="shared" si="6"/>
        <v>3776.0000000000005</v>
      </c>
      <c r="AM6" s="2004">
        <v>3776</v>
      </c>
      <c r="AO6" s="1974">
        <f t="shared" si="7"/>
        <v>0</v>
      </c>
    </row>
    <row r="7" spans="1:41">
      <c r="A7" s="1981" t="s">
        <v>1347</v>
      </c>
      <c r="B7" s="1976" t="s">
        <v>1348</v>
      </c>
      <c r="C7" s="1971" t="s">
        <v>30</v>
      </c>
      <c r="D7" s="1976" t="s">
        <v>1345</v>
      </c>
      <c r="E7" s="1971" t="s">
        <v>1344</v>
      </c>
      <c r="F7" s="1977">
        <f t="shared" si="0"/>
        <v>107.90799999999999</v>
      </c>
      <c r="G7" s="1978">
        <v>0</v>
      </c>
      <c r="H7" s="1978">
        <v>0</v>
      </c>
      <c r="I7" s="1978">
        <v>0</v>
      </c>
      <c r="J7" s="1978">
        <v>11.989777777777777</v>
      </c>
      <c r="K7" s="1978">
        <v>11.989777777777777</v>
      </c>
      <c r="L7" s="1978">
        <v>11.989777777777777</v>
      </c>
      <c r="M7" s="1978">
        <v>11.989777777777777</v>
      </c>
      <c r="N7" s="1978">
        <v>11.989777777777777</v>
      </c>
      <c r="O7" s="1978">
        <v>11.989777777777777</v>
      </c>
      <c r="P7" s="1978">
        <v>11.989777777777777</v>
      </c>
      <c r="Q7" s="1978">
        <v>11.989777777777777</v>
      </c>
      <c r="R7" s="1978">
        <v>11.989777777777777</v>
      </c>
      <c r="S7" s="1974">
        <f t="shared" si="1"/>
        <v>0</v>
      </c>
      <c r="T7" s="1974">
        <f t="shared" si="2"/>
        <v>0</v>
      </c>
      <c r="U7" s="1974">
        <f t="shared" si="3"/>
        <v>107.90799999999999</v>
      </c>
      <c r="V7" s="1978">
        <v>0</v>
      </c>
      <c r="W7" s="1978">
        <v>0</v>
      </c>
      <c r="X7" s="1978">
        <v>0</v>
      </c>
      <c r="Y7" s="1978">
        <v>11.989777777777777</v>
      </c>
      <c r="Z7" s="1978">
        <v>11.989777777777777</v>
      </c>
      <c r="AA7" s="1978">
        <v>11.989777777777777</v>
      </c>
      <c r="AB7" s="1978">
        <v>11.989777777777777</v>
      </c>
      <c r="AC7" s="1978">
        <v>11.989777777777777</v>
      </c>
      <c r="AD7" s="1978">
        <v>11.989777777777777</v>
      </c>
      <c r="AE7" s="1978">
        <v>11.989777777777777</v>
      </c>
      <c r="AF7" s="1978">
        <v>11.989777777777777</v>
      </c>
      <c r="AG7" s="1978">
        <v>11.989777777777777</v>
      </c>
      <c r="AH7" s="1974">
        <f t="shared" si="4"/>
        <v>0</v>
      </c>
      <c r="AI7" s="1974">
        <f t="shared" si="5"/>
        <v>0</v>
      </c>
      <c r="AJ7" s="1974">
        <f t="shared" si="6"/>
        <v>107.90799999999999</v>
      </c>
      <c r="AM7" s="2004">
        <v>108</v>
      </c>
      <c r="AO7" s="1974">
        <f t="shared" si="7"/>
        <v>9.200000000001296E-2</v>
      </c>
    </row>
    <row r="8" spans="1:41">
      <c r="A8" s="1981" t="s">
        <v>369</v>
      </c>
      <c r="B8" s="1976" t="s">
        <v>1343</v>
      </c>
      <c r="C8" s="1971" t="s">
        <v>30</v>
      </c>
      <c r="D8" s="1976" t="s">
        <v>1346</v>
      </c>
      <c r="E8" s="1971" t="s">
        <v>1344</v>
      </c>
      <c r="F8" s="1977">
        <f t="shared" si="0"/>
        <v>2557.2880531938081</v>
      </c>
      <c r="G8" s="1978">
        <v>0</v>
      </c>
      <c r="H8" s="1978">
        <v>0</v>
      </c>
      <c r="I8" s="1978">
        <v>0</v>
      </c>
      <c r="J8" s="1978">
        <v>284.14311702153429</v>
      </c>
      <c r="K8" s="1978">
        <v>284.14311702153429</v>
      </c>
      <c r="L8" s="1978">
        <v>284.14311702153429</v>
      </c>
      <c r="M8" s="1978">
        <v>284.14311702153429</v>
      </c>
      <c r="N8" s="1978">
        <v>284.14311702153429</v>
      </c>
      <c r="O8" s="1978">
        <v>284.14311702153429</v>
      </c>
      <c r="P8" s="1978">
        <v>284.14311702153429</v>
      </c>
      <c r="Q8" s="1978">
        <v>284.14311702153429</v>
      </c>
      <c r="R8" s="1978">
        <v>284.14311702153429</v>
      </c>
      <c r="S8" s="1974">
        <f t="shared" si="1"/>
        <v>0</v>
      </c>
      <c r="T8" s="1974">
        <f t="shared" si="2"/>
        <v>0</v>
      </c>
      <c r="U8" s="1974">
        <f t="shared" si="3"/>
        <v>2557.2880531938081</v>
      </c>
      <c r="V8" s="1978">
        <v>0</v>
      </c>
      <c r="W8" s="1978">
        <v>0</v>
      </c>
      <c r="X8" s="1978">
        <v>0</v>
      </c>
      <c r="Y8" s="1978">
        <v>284.14311702153429</v>
      </c>
      <c r="Z8" s="1978">
        <v>284.14311702153429</v>
      </c>
      <c r="AA8" s="1978">
        <v>284.14311702153429</v>
      </c>
      <c r="AB8" s="1978">
        <v>284.14311702153429</v>
      </c>
      <c r="AC8" s="1978">
        <v>284.14311702153429</v>
      </c>
      <c r="AD8" s="1978">
        <v>284.14311702153429</v>
      </c>
      <c r="AE8" s="1978">
        <v>284.14311702153429</v>
      </c>
      <c r="AF8" s="1978">
        <v>284.14311702153429</v>
      </c>
      <c r="AG8" s="1978">
        <v>284.14311702153429</v>
      </c>
      <c r="AH8" s="1974">
        <f t="shared" si="4"/>
        <v>0</v>
      </c>
      <c r="AI8" s="1974">
        <f t="shared" si="5"/>
        <v>0</v>
      </c>
      <c r="AJ8" s="1974">
        <f t="shared" si="6"/>
        <v>2557.2880531938081</v>
      </c>
      <c r="AM8" s="2004">
        <v>2557</v>
      </c>
      <c r="AO8" s="1974">
        <f t="shared" si="7"/>
        <v>-0.28805319380808214</v>
      </c>
    </row>
    <row r="9" spans="1:41">
      <c r="A9" s="1981" t="s">
        <v>369</v>
      </c>
      <c r="B9" s="1976" t="s">
        <v>1343</v>
      </c>
      <c r="C9" s="1971" t="s">
        <v>30</v>
      </c>
      <c r="D9" s="1976" t="s">
        <v>1349</v>
      </c>
      <c r="E9" s="1971" t="s">
        <v>1344</v>
      </c>
      <c r="F9" s="1977">
        <f t="shared" si="0"/>
        <v>284.15000000000003</v>
      </c>
      <c r="G9" s="1978">
        <v>0</v>
      </c>
      <c r="H9" s="1978">
        <v>0</v>
      </c>
      <c r="I9" s="1978">
        <v>0</v>
      </c>
      <c r="J9" s="1978">
        <v>0</v>
      </c>
      <c r="K9" s="1978">
        <v>0</v>
      </c>
      <c r="L9" s="1978">
        <v>0</v>
      </c>
      <c r="M9" s="1978">
        <v>47.358333333333334</v>
      </c>
      <c r="N9" s="1978">
        <v>47.358333333333334</v>
      </c>
      <c r="O9" s="1978">
        <v>47.358333333333334</v>
      </c>
      <c r="P9" s="1978">
        <v>47.358333333333334</v>
      </c>
      <c r="Q9" s="1978">
        <v>47.358333333333334</v>
      </c>
      <c r="R9" s="1978">
        <v>47.358333333333334</v>
      </c>
      <c r="S9" s="1974">
        <f t="shared" si="1"/>
        <v>0</v>
      </c>
      <c r="T9" s="1974">
        <f t="shared" si="2"/>
        <v>0</v>
      </c>
      <c r="U9" s="1974">
        <f t="shared" si="3"/>
        <v>284.15000000000003</v>
      </c>
      <c r="V9" s="1978">
        <v>0</v>
      </c>
      <c r="W9" s="1978">
        <v>0</v>
      </c>
      <c r="X9" s="1978">
        <v>0</v>
      </c>
      <c r="Y9" s="1978">
        <v>0</v>
      </c>
      <c r="Z9" s="1978">
        <v>0</v>
      </c>
      <c r="AA9" s="1978">
        <v>0</v>
      </c>
      <c r="AB9" s="1978">
        <v>47</v>
      </c>
      <c r="AC9" s="1978">
        <v>47.358333333333334</v>
      </c>
      <c r="AD9" s="1978">
        <v>47.358333333333334</v>
      </c>
      <c r="AE9" s="1978">
        <v>47.358333333333334</v>
      </c>
      <c r="AF9" s="1978">
        <v>47.358333333333334</v>
      </c>
      <c r="AG9" s="1978">
        <v>47.358333333333334</v>
      </c>
      <c r="AH9" s="1974">
        <f t="shared" si="4"/>
        <v>0</v>
      </c>
      <c r="AI9" s="1974">
        <f t="shared" si="5"/>
        <v>-0.35833333333334849</v>
      </c>
      <c r="AJ9" s="1974">
        <f t="shared" si="6"/>
        <v>283.79166666666669</v>
      </c>
      <c r="AM9" s="2004">
        <v>284</v>
      </c>
      <c r="AO9" s="1974">
        <f t="shared" si="7"/>
        <v>0.20833333333331439</v>
      </c>
    </row>
    <row r="10" spans="1:41">
      <c r="A10" s="1981" t="s">
        <v>1193</v>
      </c>
      <c r="B10" s="1976" t="s">
        <v>1348</v>
      </c>
      <c r="C10" s="1971" t="s">
        <v>30</v>
      </c>
      <c r="D10" s="1976" t="s">
        <v>1345</v>
      </c>
      <c r="E10" s="1971" t="s">
        <v>1344</v>
      </c>
      <c r="F10" s="1977">
        <f t="shared" si="0"/>
        <v>49.999999999999993</v>
      </c>
      <c r="G10" s="1978">
        <v>4.166666666666667</v>
      </c>
      <c r="H10" s="1978">
        <v>4.166666666666667</v>
      </c>
      <c r="I10" s="1978">
        <v>4.166666666666667</v>
      </c>
      <c r="J10" s="1978">
        <v>4.166666666666667</v>
      </c>
      <c r="K10" s="1978">
        <v>4.166666666666667</v>
      </c>
      <c r="L10" s="1978">
        <v>4.166666666666667</v>
      </c>
      <c r="M10" s="1978">
        <v>4.166666666666667</v>
      </c>
      <c r="N10" s="1978">
        <v>4.166666666666667</v>
      </c>
      <c r="O10" s="1978">
        <v>4.166666666666667</v>
      </c>
      <c r="P10" s="1978">
        <v>4.166666666666667</v>
      </c>
      <c r="Q10" s="1978">
        <v>4.166666666666667</v>
      </c>
      <c r="R10" s="1978">
        <v>4.166666666666667</v>
      </c>
      <c r="S10" s="1974">
        <f t="shared" si="1"/>
        <v>8.3333333333333339</v>
      </c>
      <c r="T10" s="1974">
        <f t="shared" si="2"/>
        <v>-0.16666666666666607</v>
      </c>
      <c r="U10" s="1974">
        <f t="shared" si="3"/>
        <v>49.999999999999993</v>
      </c>
      <c r="V10" s="1979">
        <v>4.166666666666667</v>
      </c>
      <c r="W10" s="1978">
        <v>4</v>
      </c>
      <c r="X10" s="1978">
        <v>4.166666666666667</v>
      </c>
      <c r="Y10" s="1978">
        <v>4.166666666666667</v>
      </c>
      <c r="Z10" s="1978">
        <v>4.166666666666667</v>
      </c>
      <c r="AA10" s="1978">
        <v>4.166666666666667</v>
      </c>
      <c r="AB10" s="1978">
        <v>4.166666666666667</v>
      </c>
      <c r="AC10" s="1978">
        <v>4.166666666666667</v>
      </c>
      <c r="AD10" s="1978">
        <v>4.166666666666667</v>
      </c>
      <c r="AE10" s="1978">
        <v>4.166666666666667</v>
      </c>
      <c r="AF10" s="1978">
        <v>4.166666666666667</v>
      </c>
      <c r="AG10" s="1978">
        <v>4.166666666666667</v>
      </c>
      <c r="AH10" s="1974">
        <f t="shared" si="4"/>
        <v>8.1666666666666679</v>
      </c>
      <c r="AI10" s="1974">
        <f t="shared" si="5"/>
        <v>-0.1666666666666643</v>
      </c>
      <c r="AJ10" s="1974">
        <f t="shared" si="6"/>
        <v>49.833333333333329</v>
      </c>
      <c r="AM10" s="2004">
        <v>50</v>
      </c>
      <c r="AO10" s="1974">
        <f t="shared" si="7"/>
        <v>0.1666666666666714</v>
      </c>
    </row>
    <row r="11" spans="1:41">
      <c r="A11" s="1981" t="s">
        <v>1194</v>
      </c>
      <c r="B11" s="1976" t="s">
        <v>1348</v>
      </c>
      <c r="C11" s="1971" t="s">
        <v>30</v>
      </c>
      <c r="D11" s="1976" t="s">
        <v>862</v>
      </c>
      <c r="E11" s="1971" t="s">
        <v>1344</v>
      </c>
      <c r="F11" s="1977">
        <f t="shared" si="0"/>
        <v>257.55</v>
      </c>
      <c r="G11" s="1978">
        <v>0</v>
      </c>
      <c r="H11" s="1978">
        <v>0</v>
      </c>
      <c r="I11" s="1978">
        <v>0</v>
      </c>
      <c r="J11" s="1978">
        <v>28.616666666666667</v>
      </c>
      <c r="K11" s="1978">
        <v>28.616666666666667</v>
      </c>
      <c r="L11" s="1978">
        <v>28.616666666666667</v>
      </c>
      <c r="M11" s="1978">
        <v>28.616666666666667</v>
      </c>
      <c r="N11" s="1978">
        <v>28.616666666666667</v>
      </c>
      <c r="O11" s="1978">
        <v>28.616666666666667</v>
      </c>
      <c r="P11" s="1978">
        <v>28.616666666666667</v>
      </c>
      <c r="Q11" s="1978">
        <v>28.616666666666667</v>
      </c>
      <c r="R11" s="1978">
        <v>28.616666666666667</v>
      </c>
      <c r="S11" s="1974">
        <f t="shared" si="1"/>
        <v>0</v>
      </c>
      <c r="T11" s="1974">
        <f t="shared" si="2"/>
        <v>0</v>
      </c>
      <c r="U11" s="1974">
        <f t="shared" si="3"/>
        <v>257.55</v>
      </c>
      <c r="V11" s="1978">
        <v>0</v>
      </c>
      <c r="W11" s="1978">
        <v>0</v>
      </c>
      <c r="X11" s="1978">
        <v>0</v>
      </c>
      <c r="Y11" s="1978">
        <v>28.616666666666667</v>
      </c>
      <c r="Z11" s="1978">
        <v>28.616666666666667</v>
      </c>
      <c r="AA11" s="1978">
        <v>28.616666666666667</v>
      </c>
      <c r="AB11" s="1978">
        <v>28.616666666666667</v>
      </c>
      <c r="AC11" s="1978">
        <v>28.616666666666667</v>
      </c>
      <c r="AD11" s="1978">
        <v>28.616666666666667</v>
      </c>
      <c r="AE11" s="1978">
        <v>28.616666666666667</v>
      </c>
      <c r="AF11" s="1978">
        <v>28.616666666666667</v>
      </c>
      <c r="AG11" s="1978">
        <v>28.616666666666667</v>
      </c>
      <c r="AH11" s="1974">
        <f t="shared" si="4"/>
        <v>0</v>
      </c>
      <c r="AI11" s="1974">
        <f t="shared" si="5"/>
        <v>0</v>
      </c>
      <c r="AJ11" s="1974">
        <f t="shared" si="6"/>
        <v>257.55</v>
      </c>
      <c r="AM11" s="2004">
        <v>258</v>
      </c>
      <c r="AO11" s="1974">
        <f t="shared" si="7"/>
        <v>0.44999999999998863</v>
      </c>
    </row>
    <row r="12" spans="1:41">
      <c r="A12" s="1981" t="s">
        <v>1194</v>
      </c>
      <c r="B12" s="1976" t="s">
        <v>1348</v>
      </c>
      <c r="C12" s="1971" t="s">
        <v>30</v>
      </c>
      <c r="D12" s="1976" t="s">
        <v>1345</v>
      </c>
      <c r="E12" s="1971" t="s">
        <v>1344</v>
      </c>
      <c r="F12" s="1977">
        <f t="shared" si="0"/>
        <v>3662.2874999999999</v>
      </c>
      <c r="G12" s="1978">
        <v>0</v>
      </c>
      <c r="H12" s="1978">
        <v>0</v>
      </c>
      <c r="I12" s="1978">
        <v>0</v>
      </c>
      <c r="J12" s="1978">
        <v>0</v>
      </c>
      <c r="K12" s="1978">
        <v>0</v>
      </c>
      <c r="L12" s="1978">
        <v>0</v>
      </c>
      <c r="M12" s="1978">
        <v>510.38158333333337</v>
      </c>
      <c r="N12" s="1978">
        <v>510.38158333333337</v>
      </c>
      <c r="O12" s="1978">
        <v>660.38158333333342</v>
      </c>
      <c r="P12" s="1978">
        <v>660.38058333333333</v>
      </c>
      <c r="Q12" s="1978">
        <v>660.38058333333333</v>
      </c>
      <c r="R12" s="1978">
        <v>660.38158333333342</v>
      </c>
      <c r="S12" s="1974">
        <f t="shared" si="1"/>
        <v>0</v>
      </c>
      <c r="T12" s="1974">
        <f t="shared" si="2"/>
        <v>0</v>
      </c>
      <c r="U12" s="1974">
        <f t="shared" si="3"/>
        <v>3662.2874999999999</v>
      </c>
      <c r="V12" s="1978">
        <v>0</v>
      </c>
      <c r="W12" s="1978">
        <v>0</v>
      </c>
      <c r="X12" s="1978">
        <v>0</v>
      </c>
      <c r="Y12" s="1978">
        <v>0</v>
      </c>
      <c r="Z12" s="1978">
        <v>0</v>
      </c>
      <c r="AA12" s="1978">
        <v>0</v>
      </c>
      <c r="AB12" s="1978">
        <v>510.38158333333337</v>
      </c>
      <c r="AC12" s="1978">
        <v>510.38158333333337</v>
      </c>
      <c r="AD12" s="1978">
        <v>660.38158333333342</v>
      </c>
      <c r="AE12" s="1978">
        <v>660.38058333333333</v>
      </c>
      <c r="AF12" s="1978">
        <v>660.38058333333333</v>
      </c>
      <c r="AG12" s="1978">
        <v>660.38158333333342</v>
      </c>
      <c r="AH12" s="1974">
        <f t="shared" si="4"/>
        <v>0</v>
      </c>
      <c r="AI12" s="1974">
        <f t="shared" si="5"/>
        <v>0</v>
      </c>
      <c r="AJ12" s="1974">
        <f t="shared" si="6"/>
        <v>3662.2874999999999</v>
      </c>
      <c r="AM12" s="2004">
        <v>3662</v>
      </c>
      <c r="AO12" s="1974">
        <f t="shared" si="7"/>
        <v>-0.28749999999990905</v>
      </c>
    </row>
    <row r="13" spans="1:41">
      <c r="A13" s="1981" t="s">
        <v>1194</v>
      </c>
      <c r="B13" s="1976" t="s">
        <v>1348</v>
      </c>
      <c r="C13" s="1971" t="s">
        <v>30</v>
      </c>
      <c r="D13" s="1976" t="s">
        <v>1349</v>
      </c>
      <c r="E13" s="1971" t="s">
        <v>1344</v>
      </c>
      <c r="F13" s="1977">
        <f t="shared" si="0"/>
        <v>3889.3035000000004</v>
      </c>
      <c r="G13" s="1978">
        <v>0</v>
      </c>
      <c r="H13" s="1978">
        <v>0</v>
      </c>
      <c r="I13" s="1978">
        <v>0</v>
      </c>
      <c r="J13" s="1978">
        <v>0</v>
      </c>
      <c r="K13" s="1978">
        <v>0</v>
      </c>
      <c r="L13" s="1978">
        <v>0</v>
      </c>
      <c r="M13" s="1978">
        <v>546.69275000000005</v>
      </c>
      <c r="N13" s="1978">
        <v>546.69275000000005</v>
      </c>
      <c r="O13" s="1978">
        <v>696.69275000000005</v>
      </c>
      <c r="P13" s="1978">
        <v>699.74175000000002</v>
      </c>
      <c r="Q13" s="1978">
        <v>699.74175000000002</v>
      </c>
      <c r="R13" s="1978">
        <v>699.74175000000002</v>
      </c>
      <c r="S13" s="1974">
        <f t="shared" si="1"/>
        <v>0</v>
      </c>
      <c r="T13" s="1974">
        <f t="shared" si="2"/>
        <v>0</v>
      </c>
      <c r="U13" s="1974">
        <f t="shared" si="3"/>
        <v>3889.3035000000004</v>
      </c>
      <c r="V13" s="1978">
        <v>0</v>
      </c>
      <c r="W13" s="1978">
        <v>0</v>
      </c>
      <c r="X13" s="1978">
        <v>0</v>
      </c>
      <c r="Y13" s="1978">
        <v>0</v>
      </c>
      <c r="Z13" s="1978">
        <v>0</v>
      </c>
      <c r="AA13" s="1978">
        <v>0</v>
      </c>
      <c r="AB13" s="1978">
        <v>546.69275000000005</v>
      </c>
      <c r="AC13" s="1978">
        <v>546.69275000000005</v>
      </c>
      <c r="AD13" s="1978">
        <v>696.69275000000005</v>
      </c>
      <c r="AE13" s="1978">
        <v>699.74175000000002</v>
      </c>
      <c r="AF13" s="1978">
        <v>699.74175000000002</v>
      </c>
      <c r="AG13" s="1978">
        <v>699.74175000000002</v>
      </c>
      <c r="AH13" s="1974">
        <f t="shared" si="4"/>
        <v>0</v>
      </c>
      <c r="AI13" s="1974">
        <f t="shared" si="5"/>
        <v>0</v>
      </c>
      <c r="AJ13" s="1974">
        <f t="shared" si="6"/>
        <v>3889.3035000000004</v>
      </c>
      <c r="AM13" s="2004">
        <v>3889</v>
      </c>
      <c r="AO13" s="1974">
        <f t="shared" si="7"/>
        <v>-0.3035000000004402</v>
      </c>
    </row>
    <row r="14" spans="1:41">
      <c r="A14" s="1981" t="s">
        <v>1195</v>
      </c>
      <c r="B14" s="1976" t="s">
        <v>1343</v>
      </c>
      <c r="C14" s="1971" t="s">
        <v>30</v>
      </c>
      <c r="D14" s="1976" t="s">
        <v>862</v>
      </c>
      <c r="E14" s="1971" t="s">
        <v>1344</v>
      </c>
      <c r="F14" s="1977">
        <f t="shared" si="0"/>
        <v>18.421500000000002</v>
      </c>
      <c r="G14" s="1978">
        <v>0</v>
      </c>
      <c r="H14" s="1978">
        <v>0</v>
      </c>
      <c r="I14" s="1978">
        <v>0</v>
      </c>
      <c r="J14" s="1978">
        <v>0</v>
      </c>
      <c r="K14" s="1978">
        <v>0</v>
      </c>
      <c r="L14" s="1978">
        <v>0</v>
      </c>
      <c r="M14" s="1978">
        <v>3.0702500000000001</v>
      </c>
      <c r="N14" s="1978">
        <v>3.0702500000000001</v>
      </c>
      <c r="O14" s="1978">
        <v>3.0702500000000001</v>
      </c>
      <c r="P14" s="1978">
        <v>3.0702500000000001</v>
      </c>
      <c r="Q14" s="1978">
        <v>3.0702500000000001</v>
      </c>
      <c r="R14" s="1978">
        <v>3.0702500000000001</v>
      </c>
      <c r="S14" s="1974">
        <f t="shared" si="1"/>
        <v>0</v>
      </c>
      <c r="T14" s="1974">
        <f t="shared" si="2"/>
        <v>0</v>
      </c>
      <c r="U14" s="1974">
        <f t="shared" si="3"/>
        <v>18.421500000000002</v>
      </c>
      <c r="V14" s="1978">
        <v>0</v>
      </c>
      <c r="W14" s="1978">
        <v>0</v>
      </c>
      <c r="X14" s="1978">
        <v>0</v>
      </c>
      <c r="Y14" s="1978">
        <v>0</v>
      </c>
      <c r="Z14" s="1978">
        <v>0</v>
      </c>
      <c r="AA14" s="1978">
        <v>0</v>
      </c>
      <c r="AB14" s="1978">
        <v>3.0702500000000001</v>
      </c>
      <c r="AC14" s="1978">
        <v>3.0702500000000001</v>
      </c>
      <c r="AD14" s="1978">
        <v>3.0702500000000001</v>
      </c>
      <c r="AE14" s="1978">
        <v>3.0702500000000001</v>
      </c>
      <c r="AF14" s="1978">
        <v>3.0702500000000001</v>
      </c>
      <c r="AG14" s="1978">
        <v>3.0702500000000001</v>
      </c>
      <c r="AH14" s="1974">
        <f t="shared" si="4"/>
        <v>0</v>
      </c>
      <c r="AI14" s="1974">
        <f t="shared" si="5"/>
        <v>0</v>
      </c>
      <c r="AJ14" s="1974">
        <f t="shared" si="6"/>
        <v>18.421500000000002</v>
      </c>
      <c r="AM14" s="2004">
        <v>18</v>
      </c>
      <c r="AO14" s="1974">
        <f t="shared" si="7"/>
        <v>-0.42150000000000176</v>
      </c>
    </row>
    <row r="15" spans="1:41">
      <c r="A15" s="1980" t="s">
        <v>919</v>
      </c>
      <c r="B15" s="1976" t="s">
        <v>1343</v>
      </c>
      <c r="C15" s="1971" t="s">
        <v>30</v>
      </c>
      <c r="D15" s="1976" t="s">
        <v>1346</v>
      </c>
      <c r="E15" s="1971" t="s">
        <v>1344</v>
      </c>
      <c r="F15" s="1977">
        <f t="shared" si="0"/>
        <v>315.76500000000004</v>
      </c>
      <c r="G15" s="1978">
        <v>13.813750000000001</v>
      </c>
      <c r="H15" s="1978">
        <v>13.813750000000001</v>
      </c>
      <c r="I15" s="1978">
        <v>13.813750000000001</v>
      </c>
      <c r="J15" s="1978">
        <v>13.813750000000001</v>
      </c>
      <c r="K15" s="1978">
        <v>13.813750000000001</v>
      </c>
      <c r="L15" s="1978">
        <v>13.813750000000001</v>
      </c>
      <c r="M15" s="1978">
        <v>38.813750000000006</v>
      </c>
      <c r="N15" s="1978">
        <v>38.813750000000006</v>
      </c>
      <c r="O15" s="1978">
        <v>38.813750000000006</v>
      </c>
      <c r="P15" s="1978">
        <v>38.813750000000006</v>
      </c>
      <c r="Q15" s="1978">
        <v>38.813750000000006</v>
      </c>
      <c r="R15" s="1978">
        <v>38.813750000000006</v>
      </c>
      <c r="S15" s="1974">
        <f t="shared" si="1"/>
        <v>27.627500000000001</v>
      </c>
      <c r="T15" s="1974">
        <f t="shared" si="2"/>
        <v>-21.627500000000001</v>
      </c>
      <c r="U15" s="1974">
        <f t="shared" si="3"/>
        <v>315.76500000000004</v>
      </c>
      <c r="V15" s="1979">
        <v>3</v>
      </c>
      <c r="W15" s="1978">
        <v>3</v>
      </c>
      <c r="X15" s="1978">
        <v>16</v>
      </c>
      <c r="Y15" s="1978">
        <v>16</v>
      </c>
      <c r="Z15" s="1978">
        <v>16</v>
      </c>
      <c r="AA15" s="1991">
        <v>29</v>
      </c>
      <c r="AB15" s="1978">
        <v>38.813750000000006</v>
      </c>
      <c r="AC15" s="1978">
        <v>38.813750000000006</v>
      </c>
      <c r="AD15" s="1978">
        <v>38.813750000000006</v>
      </c>
      <c r="AE15" s="1978">
        <v>38.813750000000006</v>
      </c>
      <c r="AF15" s="1978">
        <v>38.813750000000006</v>
      </c>
      <c r="AG15" s="1978">
        <v>38.813750000000006</v>
      </c>
      <c r="AH15" s="1974">
        <f t="shared" si="4"/>
        <v>6</v>
      </c>
      <c r="AI15" s="1974">
        <f t="shared" si="5"/>
        <v>0.11750000000000682</v>
      </c>
      <c r="AJ15" s="1974">
        <f t="shared" si="6"/>
        <v>315.88250000000005</v>
      </c>
      <c r="AM15" s="2004">
        <v>316</v>
      </c>
      <c r="AO15" s="1974">
        <f t="shared" si="7"/>
        <v>0.11749999999994998</v>
      </c>
    </row>
    <row r="16" spans="1:41">
      <c r="A16" s="1980" t="s">
        <v>919</v>
      </c>
      <c r="B16" s="1976" t="s">
        <v>1343</v>
      </c>
      <c r="C16" s="1971" t="s">
        <v>30</v>
      </c>
      <c r="D16" s="1976" t="s">
        <v>1349</v>
      </c>
      <c r="E16" s="1971" t="s">
        <v>1344</v>
      </c>
      <c r="F16" s="1977">
        <f t="shared" si="0"/>
        <v>499.99999999999994</v>
      </c>
      <c r="G16" s="1978">
        <v>0</v>
      </c>
      <c r="H16" s="1978">
        <v>0</v>
      </c>
      <c r="I16" s="1978">
        <v>0</v>
      </c>
      <c r="J16" s="1978">
        <v>0</v>
      </c>
      <c r="K16" s="1978">
        <v>0</v>
      </c>
      <c r="L16" s="1978">
        <v>0</v>
      </c>
      <c r="M16" s="1978">
        <v>83.333333333333329</v>
      </c>
      <c r="N16" s="1978">
        <v>83.333333333333329</v>
      </c>
      <c r="O16" s="1978">
        <v>83.333333333333329</v>
      </c>
      <c r="P16" s="1978">
        <v>83.333333333333329</v>
      </c>
      <c r="Q16" s="1978">
        <v>83.333333333333329</v>
      </c>
      <c r="R16" s="1978">
        <v>83.333333333333329</v>
      </c>
      <c r="S16" s="1974">
        <f t="shared" si="1"/>
        <v>0</v>
      </c>
      <c r="T16" s="1974">
        <f t="shared" si="2"/>
        <v>0</v>
      </c>
      <c r="U16" s="1974">
        <f t="shared" si="3"/>
        <v>499.99999999999994</v>
      </c>
      <c r="V16" s="1978">
        <v>0</v>
      </c>
      <c r="W16" s="1978">
        <v>0</v>
      </c>
      <c r="X16" s="1978">
        <v>0</v>
      </c>
      <c r="Y16" s="1978">
        <v>0</v>
      </c>
      <c r="Z16" s="1978">
        <v>0</v>
      </c>
      <c r="AA16" s="1978">
        <v>0</v>
      </c>
      <c r="AB16" s="1978">
        <v>83.333333333333329</v>
      </c>
      <c r="AC16" s="1978">
        <v>83.333333333333329</v>
      </c>
      <c r="AD16" s="1978">
        <v>83.333333333333329</v>
      </c>
      <c r="AE16" s="1978">
        <v>83.333333333333329</v>
      </c>
      <c r="AF16" s="1978">
        <v>83.333333333333329</v>
      </c>
      <c r="AG16" s="1978">
        <v>83.333333333333329</v>
      </c>
      <c r="AH16" s="1974">
        <f t="shared" si="4"/>
        <v>0</v>
      </c>
      <c r="AI16" s="1974">
        <f t="shared" si="5"/>
        <v>0</v>
      </c>
      <c r="AJ16" s="1974">
        <f t="shared" si="6"/>
        <v>499.99999999999994</v>
      </c>
      <c r="AM16" s="2004">
        <v>500</v>
      </c>
      <c r="AO16" s="1974">
        <f t="shared" si="7"/>
        <v>0</v>
      </c>
    </row>
    <row r="17" spans="1:41">
      <c r="A17" s="1970" t="s">
        <v>364</v>
      </c>
      <c r="B17" s="1982"/>
      <c r="C17" s="1971" t="s">
        <v>30</v>
      </c>
      <c r="D17" s="1971" t="s">
        <v>1345</v>
      </c>
      <c r="E17" s="1982"/>
      <c r="F17" s="1972">
        <f t="shared" ref="F17" si="8">SUM(G17:R17)</f>
        <v>587.12828796931251</v>
      </c>
      <c r="G17" s="1973">
        <v>134.39100767436872</v>
      </c>
      <c r="H17" s="1973">
        <v>100.301068319111</v>
      </c>
      <c r="I17" s="1973">
        <v>98.188853589944316</v>
      </c>
      <c r="J17" s="1973">
        <v>61.838443692944303</v>
      </c>
      <c r="K17" s="1973">
        <v>58.03990785961097</v>
      </c>
      <c r="L17" s="1973">
        <v>55.206113333333214</v>
      </c>
      <c r="M17" s="1973">
        <v>17.082848666666692</v>
      </c>
      <c r="N17" s="1973">
        <v>16.073218666666687</v>
      </c>
      <c r="O17" s="1973">
        <v>14.017209666666684</v>
      </c>
      <c r="P17" s="1973">
        <v>12.59309050000001</v>
      </c>
      <c r="Q17" s="1973">
        <v>10.651026</v>
      </c>
      <c r="R17" s="1983">
        <v>8.7454999999999998</v>
      </c>
      <c r="S17" s="1974">
        <f t="shared" si="1"/>
        <v>234.6920759934797</v>
      </c>
      <c r="T17" s="1974">
        <f t="shared" si="2"/>
        <v>-25.692075993479705</v>
      </c>
      <c r="U17" s="1974">
        <f t="shared" si="3"/>
        <v>587.12828796931251</v>
      </c>
      <c r="V17" s="1975">
        <v>110</v>
      </c>
      <c r="W17" s="1973">
        <v>99</v>
      </c>
      <c r="X17" s="1973">
        <v>101</v>
      </c>
      <c r="Y17" s="1973">
        <v>64</v>
      </c>
      <c r="Z17" s="1973">
        <v>61</v>
      </c>
      <c r="AA17" s="1973">
        <v>58</v>
      </c>
      <c r="AB17" s="1973">
        <v>20</v>
      </c>
      <c r="AC17" s="1973">
        <v>18</v>
      </c>
      <c r="AD17" s="1973">
        <v>17</v>
      </c>
      <c r="AE17" s="1973">
        <v>15</v>
      </c>
      <c r="AF17" s="1973">
        <v>13</v>
      </c>
      <c r="AG17" s="1983">
        <v>11</v>
      </c>
      <c r="AH17" s="1974">
        <f t="shared" si="4"/>
        <v>209</v>
      </c>
      <c r="AI17" s="1974">
        <f t="shared" si="5"/>
        <v>-0.12828796931250963</v>
      </c>
      <c r="AJ17" s="1974">
        <f t="shared" si="6"/>
        <v>587</v>
      </c>
      <c r="AM17" s="1015">
        <v>587</v>
      </c>
      <c r="AO17" s="1974">
        <f t="shared" si="7"/>
        <v>0</v>
      </c>
    </row>
    <row r="18" spans="1:41">
      <c r="G18" s="1974">
        <f>SUM(G4:G17)</f>
        <v>521.37142434103544</v>
      </c>
      <c r="H18" s="1974">
        <f t="shared" ref="H18:R18" si="9">SUM(H4:H17)</f>
        <v>511.78148498577781</v>
      </c>
      <c r="I18" s="1974">
        <f t="shared" si="9"/>
        <v>529.66927025661107</v>
      </c>
      <c r="J18" s="1974">
        <f t="shared" si="9"/>
        <v>1691.7746440478118</v>
      </c>
      <c r="K18" s="1974">
        <f t="shared" si="9"/>
        <v>1687.4781082144789</v>
      </c>
      <c r="L18" s="1974">
        <f t="shared" si="9"/>
        <v>1688.144313688201</v>
      </c>
      <c r="M18" s="1974">
        <f t="shared" si="9"/>
        <v>2875.8572990215353</v>
      </c>
      <c r="N18" s="1974">
        <f t="shared" si="9"/>
        <v>2890.3476690215352</v>
      </c>
      <c r="O18" s="1974">
        <f t="shared" si="9"/>
        <v>3129.7916600215349</v>
      </c>
      <c r="P18" s="1974">
        <f t="shared" si="9"/>
        <v>3194.4155408548681</v>
      </c>
      <c r="Q18" s="1974">
        <f t="shared" si="9"/>
        <v>3192.4734763548681</v>
      </c>
      <c r="R18" s="1974">
        <f t="shared" si="9"/>
        <v>3190.5689503548683</v>
      </c>
      <c r="S18" s="1974">
        <f>SUM(S4:S17)</f>
        <v>1033.1529093268132</v>
      </c>
      <c r="T18" s="1974">
        <f>SUM(T4:T17)</f>
        <v>348.01375733985356</v>
      </c>
      <c r="U18" s="1974">
        <f>SUM(U4:U17)</f>
        <v>25103.673841163123</v>
      </c>
      <c r="V18" s="1974">
        <f>SUM(V4:V17)</f>
        <v>736.16666666666663</v>
      </c>
      <c r="W18" s="1974">
        <f t="shared" ref="W18:AJ18" si="10">SUM(W4:W17)</f>
        <v>645</v>
      </c>
      <c r="X18" s="1974">
        <f t="shared" si="10"/>
        <v>521.16666666666674</v>
      </c>
      <c r="Y18" s="1974">
        <f t="shared" si="10"/>
        <v>1653.471783688201</v>
      </c>
      <c r="Z18" s="1974">
        <f t="shared" si="10"/>
        <v>1650.471783688201</v>
      </c>
      <c r="AA18" s="1974">
        <f t="shared" si="10"/>
        <v>1663.471783688201</v>
      </c>
      <c r="AB18" s="1974">
        <f t="shared" si="10"/>
        <v>2836.7634503548679</v>
      </c>
      <c r="AC18" s="1974">
        <f t="shared" si="10"/>
        <v>2850.1217836882015</v>
      </c>
      <c r="AD18" s="1974">
        <f t="shared" si="10"/>
        <v>3090.1217836882015</v>
      </c>
      <c r="AE18" s="1974">
        <f t="shared" si="10"/>
        <v>3155.1697836882013</v>
      </c>
      <c r="AF18" s="1974">
        <f t="shared" si="10"/>
        <v>3152.1697836882013</v>
      </c>
      <c r="AG18" s="1974">
        <f t="shared" si="10"/>
        <v>3150.1707836882015</v>
      </c>
      <c r="AH18" s="1974">
        <f t="shared" si="10"/>
        <v>1381.1666666666667</v>
      </c>
      <c r="AI18" s="1974">
        <f t="shared" si="10"/>
        <v>0.59221203068627659</v>
      </c>
      <c r="AJ18" s="1974">
        <f t="shared" si="10"/>
        <v>25104.266053193809</v>
      </c>
    </row>
    <row r="19" spans="1:41" ht="14.4">
      <c r="A19" s="1986" t="s">
        <v>1289</v>
      </c>
      <c r="B19" t="s">
        <v>1290</v>
      </c>
      <c r="C19" t="s">
        <v>1291</v>
      </c>
      <c r="D19" t="s">
        <v>1292</v>
      </c>
      <c r="E19" t="s">
        <v>1350</v>
      </c>
      <c r="F19" t="s">
        <v>1293</v>
      </c>
      <c r="G19" t="s">
        <v>1351</v>
      </c>
      <c r="J19" s="1974"/>
      <c r="M19" s="1974"/>
      <c r="O19" s="1974"/>
      <c r="P19" s="1974"/>
      <c r="W19" s="2005"/>
      <c r="X19" s="2005"/>
      <c r="Y19" s="2005"/>
      <c r="Z19" s="2005"/>
      <c r="AA19" s="2005"/>
      <c r="AB19" s="2005"/>
      <c r="AC19" s="2005"/>
      <c r="AD19" s="2005"/>
      <c r="AE19" s="2005"/>
      <c r="AF19" s="2005"/>
      <c r="AG19" s="2005"/>
      <c r="AJ19" s="2005"/>
    </row>
    <row r="20" spans="1:41">
      <c r="A20" s="1987" t="s">
        <v>364</v>
      </c>
      <c r="B20" s="1988"/>
      <c r="C20" s="1988"/>
      <c r="D20" s="1988"/>
      <c r="E20" s="1988"/>
      <c r="F20" s="1988"/>
      <c r="G20" s="1988"/>
    </row>
    <row r="21" spans="1:41">
      <c r="A21" s="1989" t="s">
        <v>862</v>
      </c>
      <c r="B21" s="1988">
        <v>335.83333333333331</v>
      </c>
      <c r="C21" s="1988">
        <v>610</v>
      </c>
      <c r="D21" s="1988">
        <v>274.16666666666669</v>
      </c>
      <c r="E21" s="1988">
        <v>2560</v>
      </c>
      <c r="F21" s="1988">
        <v>2560</v>
      </c>
      <c r="G21" s="1988">
        <v>0</v>
      </c>
    </row>
    <row r="22" spans="1:41">
      <c r="A22" s="1989" t="s">
        <v>1345</v>
      </c>
      <c r="B22" s="1988">
        <v>661.35874266014639</v>
      </c>
      <c r="C22" s="1988">
        <v>757</v>
      </c>
      <c r="D22" s="1988">
        <v>95.641257339853553</v>
      </c>
      <c r="E22" s="1988">
        <v>7125.0002879693138</v>
      </c>
      <c r="F22" s="1988">
        <v>7126</v>
      </c>
      <c r="G22" s="1988">
        <v>0.99971203068628256</v>
      </c>
      <c r="AA22" s="1974"/>
      <c r="AD22" s="1974"/>
      <c r="AE22" s="1974"/>
      <c r="AF22" s="1974"/>
      <c r="AG22" s="1974"/>
    </row>
    <row r="23" spans="1:41">
      <c r="A23" s="1987" t="s">
        <v>1191</v>
      </c>
      <c r="B23" s="1988"/>
      <c r="C23" s="1988"/>
      <c r="D23" s="1988"/>
      <c r="E23" s="1988"/>
      <c r="F23" s="1988"/>
      <c r="G23" s="1988"/>
    </row>
    <row r="24" spans="1:41">
      <c r="A24" s="1989" t="s">
        <v>1346</v>
      </c>
      <c r="B24" s="1988">
        <v>0</v>
      </c>
      <c r="C24" s="1988">
        <v>0</v>
      </c>
      <c r="D24" s="1988">
        <v>0</v>
      </c>
      <c r="E24" s="1988">
        <v>3776.0000000000005</v>
      </c>
      <c r="F24" s="1988">
        <v>3776.0000000000005</v>
      </c>
      <c r="G24" s="1988">
        <v>0</v>
      </c>
    </row>
    <row r="25" spans="1:41">
      <c r="A25" s="1987" t="s">
        <v>1347</v>
      </c>
      <c r="B25" s="1988"/>
      <c r="C25" s="1988"/>
      <c r="D25" s="1988"/>
      <c r="E25" s="1988"/>
      <c r="F25" s="1988"/>
      <c r="G25" s="1988"/>
      <c r="Y25" s="1974"/>
      <c r="Z25" s="1974"/>
      <c r="AA25" s="1974"/>
      <c r="AB25" s="1974"/>
      <c r="AC25" s="1974"/>
      <c r="AD25" s="1974"/>
      <c r="AE25" s="1974"/>
      <c r="AF25" s="1974"/>
      <c r="AG25" s="1974"/>
    </row>
    <row r="26" spans="1:41">
      <c r="A26" s="1989" t="s">
        <v>1345</v>
      </c>
      <c r="B26" s="1988">
        <v>0</v>
      </c>
      <c r="C26" s="1988">
        <v>0</v>
      </c>
      <c r="D26" s="1988">
        <v>0</v>
      </c>
      <c r="E26" s="1988">
        <v>107.90799999999999</v>
      </c>
      <c r="F26" s="1988">
        <v>107.90799999999999</v>
      </c>
      <c r="G26" s="1988">
        <v>0</v>
      </c>
    </row>
    <row r="27" spans="1:41">
      <c r="A27" s="1987" t="s">
        <v>369</v>
      </c>
      <c r="B27" s="1988"/>
      <c r="C27" s="1988"/>
      <c r="D27" s="1988"/>
      <c r="E27" s="1988"/>
      <c r="F27" s="1988"/>
      <c r="G27" s="1988"/>
      <c r="AA27" s="1974"/>
      <c r="AE27" s="1974"/>
      <c r="AF27" s="1974"/>
      <c r="AG27" s="1974"/>
    </row>
    <row r="28" spans="1:41">
      <c r="A28" s="1989" t="s">
        <v>1346</v>
      </c>
      <c r="B28" s="1988">
        <v>0</v>
      </c>
      <c r="C28" s="1988">
        <v>0</v>
      </c>
      <c r="D28" s="1988">
        <v>0</v>
      </c>
      <c r="E28" s="1988">
        <v>2557.2880531938081</v>
      </c>
      <c r="F28" s="1988">
        <v>2557.2880531938081</v>
      </c>
      <c r="G28" s="1988">
        <v>0</v>
      </c>
    </row>
    <row r="29" spans="1:41">
      <c r="A29" s="1989" t="s">
        <v>1349</v>
      </c>
      <c r="B29" s="1988">
        <v>0</v>
      </c>
      <c r="C29" s="1988">
        <v>0</v>
      </c>
      <c r="D29" s="1988">
        <v>0</v>
      </c>
      <c r="E29" s="1988">
        <v>284.15000000000003</v>
      </c>
      <c r="F29" s="1988">
        <v>283.79166666666669</v>
      </c>
      <c r="G29" s="1988">
        <v>-0.35833333333334849</v>
      </c>
    </row>
    <row r="30" spans="1:41">
      <c r="A30" s="1987" t="s">
        <v>1193</v>
      </c>
      <c r="B30" s="1988"/>
      <c r="C30" s="1988"/>
      <c r="D30" s="1988"/>
      <c r="E30" s="1988"/>
      <c r="F30" s="1988"/>
      <c r="G30" s="1988"/>
    </row>
    <row r="31" spans="1:41">
      <c r="A31" s="1989" t="s">
        <v>1345</v>
      </c>
      <c r="B31" s="1988">
        <v>8.3333333333333339</v>
      </c>
      <c r="C31" s="1988">
        <v>8.1666666666666679</v>
      </c>
      <c r="D31" s="1988">
        <v>-0.16666666666666607</v>
      </c>
      <c r="E31" s="1988">
        <v>49.999999999999993</v>
      </c>
      <c r="F31" s="1988">
        <v>49.833333333333329</v>
      </c>
      <c r="G31" s="1988">
        <v>-0.1666666666666643</v>
      </c>
    </row>
    <row r="32" spans="1:41">
      <c r="A32" s="1987" t="s">
        <v>1194</v>
      </c>
      <c r="B32" s="1988"/>
      <c r="C32" s="1988"/>
      <c r="D32" s="1988"/>
      <c r="E32" s="1988"/>
      <c r="F32" s="1988"/>
      <c r="G32" s="1988"/>
    </row>
    <row r="33" spans="1:8">
      <c r="A33" s="1989" t="s">
        <v>862</v>
      </c>
      <c r="B33" s="1988">
        <v>0</v>
      </c>
      <c r="C33" s="1988">
        <v>0</v>
      </c>
      <c r="D33" s="1988">
        <v>0</v>
      </c>
      <c r="E33" s="1988">
        <v>257.55</v>
      </c>
      <c r="F33" s="1988">
        <v>257.55</v>
      </c>
      <c r="G33" s="1988">
        <v>0</v>
      </c>
    </row>
    <row r="34" spans="1:8">
      <c r="A34" s="1989" t="s">
        <v>1349</v>
      </c>
      <c r="B34" s="1988">
        <v>0</v>
      </c>
      <c r="C34" s="1988">
        <v>0</v>
      </c>
      <c r="D34" s="1988">
        <v>0</v>
      </c>
      <c r="E34" s="1988">
        <v>3889.3035000000004</v>
      </c>
      <c r="F34" s="1988">
        <v>3889.3035000000004</v>
      </c>
      <c r="G34" s="1988">
        <v>0</v>
      </c>
    </row>
    <row r="35" spans="1:8">
      <c r="A35" s="1989" t="s">
        <v>1345</v>
      </c>
      <c r="B35" s="1988">
        <v>0</v>
      </c>
      <c r="C35" s="1988">
        <v>0</v>
      </c>
      <c r="D35" s="1988">
        <v>0</v>
      </c>
      <c r="E35" s="1988">
        <v>3662.2874999999999</v>
      </c>
      <c r="F35" s="1988">
        <v>3662.2874999999999</v>
      </c>
      <c r="G35" s="1988">
        <v>0</v>
      </c>
    </row>
    <row r="36" spans="1:8">
      <c r="A36" s="1987" t="s">
        <v>1195</v>
      </c>
      <c r="B36" s="1988"/>
      <c r="C36" s="1988"/>
      <c r="D36" s="1988"/>
      <c r="E36" s="1988"/>
      <c r="F36" s="1988"/>
      <c r="G36" s="1988"/>
    </row>
    <row r="37" spans="1:8">
      <c r="A37" s="1989" t="s">
        <v>862</v>
      </c>
      <c r="B37" s="1988">
        <v>0</v>
      </c>
      <c r="C37" s="1988">
        <v>0</v>
      </c>
      <c r="D37" s="1988">
        <v>0</v>
      </c>
      <c r="E37" s="1988">
        <v>18.421500000000002</v>
      </c>
      <c r="F37" s="1988">
        <v>18.421500000000002</v>
      </c>
      <c r="G37" s="1988">
        <v>0</v>
      </c>
    </row>
    <row r="38" spans="1:8">
      <c r="A38" s="1987" t="s">
        <v>919</v>
      </c>
      <c r="B38" s="1988"/>
      <c r="C38" s="1988"/>
      <c r="D38" s="1988"/>
      <c r="E38" s="1988"/>
      <c r="F38" s="1988"/>
      <c r="G38" s="1988"/>
    </row>
    <row r="39" spans="1:8">
      <c r="A39" s="1989" t="s">
        <v>1346</v>
      </c>
      <c r="B39" s="1988">
        <v>27.627500000000001</v>
      </c>
      <c r="C39" s="1988">
        <v>6</v>
      </c>
      <c r="D39" s="1988">
        <v>-21.627500000000001</v>
      </c>
      <c r="E39" s="1988">
        <v>315.76500000000004</v>
      </c>
      <c r="F39" s="1988">
        <v>315.88250000000005</v>
      </c>
      <c r="G39" s="1988">
        <v>0.11750000000000682</v>
      </c>
    </row>
    <row r="40" spans="1:8">
      <c r="A40" s="1989" t="s">
        <v>1349</v>
      </c>
      <c r="B40" s="1988">
        <v>0</v>
      </c>
      <c r="C40" s="1988">
        <v>0</v>
      </c>
      <c r="D40" s="1988">
        <v>0</v>
      </c>
      <c r="E40" s="1988">
        <v>499.99999999999994</v>
      </c>
      <c r="F40" s="1988">
        <v>499.99999999999994</v>
      </c>
      <c r="G40" s="1988">
        <v>0</v>
      </c>
    </row>
    <row r="41" spans="1:8">
      <c r="A41" s="1987" t="s">
        <v>1031</v>
      </c>
      <c r="B41" s="1988">
        <v>1033.152909326813</v>
      </c>
      <c r="C41" s="1988">
        <v>1381.1666666666667</v>
      </c>
      <c r="D41" s="1988">
        <v>348.01375733985356</v>
      </c>
      <c r="E41" s="1988">
        <v>25103.67384116312</v>
      </c>
      <c r="F41" s="1988">
        <v>25104.266053193805</v>
      </c>
      <c r="G41" s="1988">
        <v>0.59221203068627659</v>
      </c>
    </row>
    <row r="44" spans="1:8">
      <c r="A44" s="1015" t="s">
        <v>1287</v>
      </c>
      <c r="C44" s="1034" t="s">
        <v>721</v>
      </c>
      <c r="D44" s="1015" t="s">
        <v>834</v>
      </c>
      <c r="E44" s="1034" t="s">
        <v>723</v>
      </c>
      <c r="F44" s="1034" t="s">
        <v>721</v>
      </c>
      <c r="G44" s="1015" t="s">
        <v>834</v>
      </c>
      <c r="H44" s="1034" t="s">
        <v>723</v>
      </c>
    </row>
    <row r="45" spans="1:8">
      <c r="A45" s="433" t="s">
        <v>1190</v>
      </c>
      <c r="B45" s="1034" t="s">
        <v>862</v>
      </c>
      <c r="C45" s="1978">
        <f t="shared" ref="C45:H46" si="11">B21</f>
        <v>335.83333333333331</v>
      </c>
      <c r="D45" s="1978">
        <f t="shared" si="11"/>
        <v>610</v>
      </c>
      <c r="E45" s="1978">
        <f t="shared" si="11"/>
        <v>274.16666666666669</v>
      </c>
      <c r="F45" s="1978">
        <f t="shared" si="11"/>
        <v>2560</v>
      </c>
      <c r="G45" s="1978">
        <f t="shared" si="11"/>
        <v>2560</v>
      </c>
      <c r="H45" s="1978">
        <f t="shared" si="11"/>
        <v>0</v>
      </c>
    </row>
    <row r="46" spans="1:8">
      <c r="A46" s="433" t="s">
        <v>1190</v>
      </c>
      <c r="B46" s="1034" t="s">
        <v>864</v>
      </c>
      <c r="C46" s="1978">
        <f t="shared" si="11"/>
        <v>661.35874266014639</v>
      </c>
      <c r="D46" s="1978">
        <f t="shared" si="11"/>
        <v>757</v>
      </c>
      <c r="E46" s="1978">
        <f t="shared" si="11"/>
        <v>95.641257339853553</v>
      </c>
      <c r="F46" s="1978">
        <f t="shared" si="11"/>
        <v>7125.0002879693138</v>
      </c>
      <c r="G46" s="1978">
        <f t="shared" si="11"/>
        <v>7126</v>
      </c>
      <c r="H46" s="1978">
        <f t="shared" si="11"/>
        <v>0.99971203068628256</v>
      </c>
    </row>
    <row r="47" spans="1:8">
      <c r="A47" s="433" t="s">
        <v>1191</v>
      </c>
      <c r="B47" s="1034" t="s">
        <v>1352</v>
      </c>
      <c r="C47" s="1978">
        <f t="shared" ref="C47:H47" si="12">B24</f>
        <v>0</v>
      </c>
      <c r="D47" s="1978">
        <f t="shared" si="12"/>
        <v>0</v>
      </c>
      <c r="E47" s="1978">
        <f t="shared" si="12"/>
        <v>0</v>
      </c>
      <c r="F47" s="1978">
        <f t="shared" si="12"/>
        <v>3776.0000000000005</v>
      </c>
      <c r="G47" s="1978">
        <f t="shared" si="12"/>
        <v>3776.0000000000005</v>
      </c>
      <c r="H47" s="1978">
        <f t="shared" si="12"/>
        <v>0</v>
      </c>
    </row>
    <row r="48" spans="1:8">
      <c r="A48" s="433" t="s">
        <v>1192</v>
      </c>
      <c r="B48" s="1984" t="s">
        <v>864</v>
      </c>
      <c r="C48" s="1978">
        <f t="shared" ref="C48:H48" si="13">B26</f>
        <v>0</v>
      </c>
      <c r="D48" s="1978">
        <f t="shared" si="13"/>
        <v>0</v>
      </c>
      <c r="E48" s="1978">
        <f t="shared" si="13"/>
        <v>0</v>
      </c>
      <c r="F48" s="1978">
        <f t="shared" si="13"/>
        <v>107.90799999999999</v>
      </c>
      <c r="G48" s="1978">
        <f t="shared" si="13"/>
        <v>107.90799999999999</v>
      </c>
      <c r="H48" s="1978">
        <f t="shared" si="13"/>
        <v>0</v>
      </c>
    </row>
    <row r="49" spans="1:8">
      <c r="A49" s="433" t="s">
        <v>369</v>
      </c>
      <c r="B49" s="1984" t="s">
        <v>1352</v>
      </c>
      <c r="C49" s="1978">
        <f t="shared" ref="C49:H50" si="14">B28</f>
        <v>0</v>
      </c>
      <c r="D49" s="1978">
        <f t="shared" si="14"/>
        <v>0</v>
      </c>
      <c r="E49" s="1978">
        <f t="shared" si="14"/>
        <v>0</v>
      </c>
      <c r="F49" s="1978">
        <f t="shared" si="14"/>
        <v>2557.2880531938081</v>
      </c>
      <c r="G49" s="1978">
        <f t="shared" si="14"/>
        <v>2557.2880531938081</v>
      </c>
      <c r="H49" s="1978">
        <f t="shared" si="14"/>
        <v>0</v>
      </c>
    </row>
    <row r="50" spans="1:8">
      <c r="A50" s="433" t="s">
        <v>369</v>
      </c>
      <c r="B50" s="1984" t="s">
        <v>1353</v>
      </c>
      <c r="C50" s="1978">
        <f t="shared" si="14"/>
        <v>0</v>
      </c>
      <c r="D50" s="1978">
        <f t="shared" si="14"/>
        <v>0</v>
      </c>
      <c r="E50" s="1978">
        <f t="shared" si="14"/>
        <v>0</v>
      </c>
      <c r="F50" s="1978">
        <f t="shared" si="14"/>
        <v>284.15000000000003</v>
      </c>
      <c r="G50" s="1978">
        <f t="shared" si="14"/>
        <v>283.79166666666669</v>
      </c>
      <c r="H50" s="1978">
        <f t="shared" si="14"/>
        <v>-0.35833333333334849</v>
      </c>
    </row>
    <row r="51" spans="1:8">
      <c r="A51" s="433" t="s">
        <v>1193</v>
      </c>
      <c r="B51" s="1984" t="s">
        <v>864</v>
      </c>
      <c r="C51" s="1978">
        <f t="shared" ref="C51:H51" si="15">B31</f>
        <v>8.3333333333333339</v>
      </c>
      <c r="D51" s="1978">
        <f t="shared" si="15"/>
        <v>8.1666666666666679</v>
      </c>
      <c r="E51" s="1978">
        <f t="shared" si="15"/>
        <v>-0.16666666666666607</v>
      </c>
      <c r="F51" s="1978">
        <f t="shared" si="15"/>
        <v>49.999999999999993</v>
      </c>
      <c r="G51" s="1978">
        <f t="shared" si="15"/>
        <v>49.833333333333329</v>
      </c>
      <c r="H51" s="1978">
        <f t="shared" si="15"/>
        <v>-0.1666666666666643</v>
      </c>
    </row>
    <row r="52" spans="1:8">
      <c r="A52" s="433" t="s">
        <v>1194</v>
      </c>
      <c r="B52" s="1984" t="s">
        <v>862</v>
      </c>
      <c r="C52" s="1978">
        <f t="shared" ref="C52:H54" si="16">B33</f>
        <v>0</v>
      </c>
      <c r="D52" s="1978">
        <f t="shared" si="16"/>
        <v>0</v>
      </c>
      <c r="E52" s="1978">
        <f t="shared" si="16"/>
        <v>0</v>
      </c>
      <c r="F52" s="1978">
        <f t="shared" si="16"/>
        <v>257.55</v>
      </c>
      <c r="G52" s="1978">
        <f t="shared" si="16"/>
        <v>257.55</v>
      </c>
      <c r="H52" s="1978">
        <f t="shared" si="16"/>
        <v>0</v>
      </c>
    </row>
    <row r="53" spans="1:8">
      <c r="A53" s="433" t="s">
        <v>1194</v>
      </c>
      <c r="B53" s="1984" t="s">
        <v>1353</v>
      </c>
      <c r="C53" s="1978">
        <f t="shared" si="16"/>
        <v>0</v>
      </c>
      <c r="D53" s="1978">
        <f t="shared" si="16"/>
        <v>0</v>
      </c>
      <c r="E53" s="1978">
        <f t="shared" si="16"/>
        <v>0</v>
      </c>
      <c r="F53" s="1978">
        <f t="shared" si="16"/>
        <v>3889.3035000000004</v>
      </c>
      <c r="G53" s="1978">
        <f t="shared" si="16"/>
        <v>3889.3035000000004</v>
      </c>
      <c r="H53" s="1978">
        <f t="shared" si="16"/>
        <v>0</v>
      </c>
    </row>
    <row r="54" spans="1:8">
      <c r="A54" s="433" t="s">
        <v>1194</v>
      </c>
      <c r="B54" s="1984" t="s">
        <v>864</v>
      </c>
      <c r="C54" s="1978">
        <f t="shared" si="16"/>
        <v>0</v>
      </c>
      <c r="D54" s="1978">
        <f t="shared" si="16"/>
        <v>0</v>
      </c>
      <c r="E54" s="1978">
        <f t="shared" si="16"/>
        <v>0</v>
      </c>
      <c r="F54" s="1978">
        <f t="shared" si="16"/>
        <v>3662.2874999999999</v>
      </c>
      <c r="G54" s="1978">
        <f t="shared" si="16"/>
        <v>3662.2874999999999</v>
      </c>
      <c r="H54" s="1978">
        <f t="shared" si="16"/>
        <v>0</v>
      </c>
    </row>
    <row r="55" spans="1:8">
      <c r="A55" s="433" t="s">
        <v>1195</v>
      </c>
      <c r="B55" s="1984" t="s">
        <v>862</v>
      </c>
      <c r="C55" s="1978">
        <f t="shared" ref="C55:H55" si="17">B37</f>
        <v>0</v>
      </c>
      <c r="D55" s="1978">
        <f t="shared" si="17"/>
        <v>0</v>
      </c>
      <c r="E55" s="1978">
        <f t="shared" si="17"/>
        <v>0</v>
      </c>
      <c r="F55" s="1978">
        <f t="shared" si="17"/>
        <v>18.421500000000002</v>
      </c>
      <c r="G55" s="1978">
        <f t="shared" si="17"/>
        <v>18.421500000000002</v>
      </c>
      <c r="H55" s="1978">
        <f t="shared" si="17"/>
        <v>0</v>
      </c>
    </row>
    <row r="56" spans="1:8">
      <c r="A56" s="433" t="s">
        <v>919</v>
      </c>
      <c r="B56" s="1984" t="s">
        <v>1352</v>
      </c>
      <c r="C56" s="1978">
        <f t="shared" ref="C56:H57" si="18">B39</f>
        <v>27.627500000000001</v>
      </c>
      <c r="D56" s="1978">
        <f t="shared" si="18"/>
        <v>6</v>
      </c>
      <c r="E56" s="1978">
        <f t="shared" si="18"/>
        <v>-21.627500000000001</v>
      </c>
      <c r="F56" s="1978">
        <f t="shared" si="18"/>
        <v>315.76500000000004</v>
      </c>
      <c r="G56" s="1978">
        <f t="shared" si="18"/>
        <v>315.88250000000005</v>
      </c>
      <c r="H56" s="1978">
        <f t="shared" si="18"/>
        <v>0.11750000000000682</v>
      </c>
    </row>
    <row r="57" spans="1:8">
      <c r="A57" s="433" t="s">
        <v>919</v>
      </c>
      <c r="B57" s="1984" t="s">
        <v>1353</v>
      </c>
      <c r="C57" s="1978">
        <f t="shared" si="18"/>
        <v>0</v>
      </c>
      <c r="D57" s="1978">
        <f t="shared" si="18"/>
        <v>0</v>
      </c>
      <c r="E57" s="1978">
        <f t="shared" si="18"/>
        <v>0</v>
      </c>
      <c r="F57" s="1978">
        <f t="shared" si="18"/>
        <v>499.99999999999994</v>
      </c>
      <c r="G57" s="1978">
        <f t="shared" si="18"/>
        <v>499.99999999999994</v>
      </c>
      <c r="H57" s="1978">
        <f t="shared" si="18"/>
        <v>0</v>
      </c>
    </row>
    <row r="59" spans="1:8">
      <c r="D59" s="937" t="s">
        <v>899</v>
      </c>
      <c r="E59" s="937" t="s">
        <v>900</v>
      </c>
      <c r="F59" s="937" t="s">
        <v>1060</v>
      </c>
    </row>
    <row r="60" spans="1:8">
      <c r="B60" s="433" t="s">
        <v>1190</v>
      </c>
      <c r="C60" s="1034" t="s">
        <v>862</v>
      </c>
      <c r="D60" s="787">
        <f>IF(G45&gt;F45,F45,G45)</f>
        <v>2560</v>
      </c>
      <c r="E60" s="1993">
        <f>IF(G45&gt;F45,H45,0)</f>
        <v>0</v>
      </c>
      <c r="F60" s="1993">
        <f>IF(G45&lt;F45,-H45,0)</f>
        <v>0</v>
      </c>
    </row>
    <row r="61" spans="1:8">
      <c r="B61" s="433" t="s">
        <v>1190</v>
      </c>
      <c r="C61" s="1034" t="s">
        <v>864</v>
      </c>
      <c r="D61" s="787">
        <f t="shared" ref="D61:D72" si="19">IF(G46&gt;F46,F46,G46)</f>
        <v>7125.0002879693138</v>
      </c>
      <c r="E61" s="1993">
        <f t="shared" ref="E61:E72" si="20">IF(G46&gt;F46,H46,0)</f>
        <v>0.99971203068628256</v>
      </c>
      <c r="F61" s="1993">
        <f t="shared" ref="F61:F72" si="21">IF(G46&lt;F46,-H46,0)</f>
        <v>0</v>
      </c>
    </row>
    <row r="62" spans="1:8">
      <c r="B62" s="433" t="s">
        <v>1191</v>
      </c>
      <c r="C62" s="1034" t="s">
        <v>1352</v>
      </c>
      <c r="D62" s="787">
        <f t="shared" si="19"/>
        <v>3776.0000000000005</v>
      </c>
      <c r="E62" s="1993">
        <f t="shared" si="20"/>
        <v>0</v>
      </c>
      <c r="F62" s="1993">
        <f t="shared" si="21"/>
        <v>0</v>
      </c>
    </row>
    <row r="63" spans="1:8">
      <c r="B63" s="433" t="s">
        <v>1192</v>
      </c>
      <c r="C63" s="1984" t="s">
        <v>864</v>
      </c>
      <c r="D63" s="787">
        <f t="shared" si="19"/>
        <v>107.90799999999999</v>
      </c>
      <c r="E63" s="1993">
        <f t="shared" si="20"/>
        <v>0</v>
      </c>
      <c r="F63" s="1993">
        <f t="shared" si="21"/>
        <v>0</v>
      </c>
    </row>
    <row r="64" spans="1:8">
      <c r="B64" s="433" t="s">
        <v>369</v>
      </c>
      <c r="C64" s="1984" t="s">
        <v>1352</v>
      </c>
      <c r="D64" s="787">
        <f t="shared" si="19"/>
        <v>2557.2880531938081</v>
      </c>
      <c r="E64" s="1993">
        <f t="shared" si="20"/>
        <v>0</v>
      </c>
      <c r="F64" s="1993">
        <f t="shared" si="21"/>
        <v>0</v>
      </c>
    </row>
    <row r="65" spans="2:6">
      <c r="B65" s="433" t="s">
        <v>369</v>
      </c>
      <c r="C65" s="1984" t="s">
        <v>1353</v>
      </c>
      <c r="D65" s="787">
        <f t="shared" si="19"/>
        <v>283.79166666666669</v>
      </c>
      <c r="E65" s="1993">
        <f t="shared" si="20"/>
        <v>0</v>
      </c>
      <c r="F65" s="1993">
        <f t="shared" si="21"/>
        <v>0.35833333333334849</v>
      </c>
    </row>
    <row r="66" spans="2:6">
      <c r="B66" s="433" t="s">
        <v>1193</v>
      </c>
      <c r="C66" s="1984" t="s">
        <v>864</v>
      </c>
      <c r="D66" s="787">
        <f t="shared" si="19"/>
        <v>49.833333333333329</v>
      </c>
      <c r="E66" s="1993">
        <f t="shared" si="20"/>
        <v>0</v>
      </c>
      <c r="F66" s="1993">
        <f t="shared" si="21"/>
        <v>0.1666666666666643</v>
      </c>
    </row>
    <row r="67" spans="2:6">
      <c r="B67" s="433" t="s">
        <v>1194</v>
      </c>
      <c r="C67" s="1984" t="s">
        <v>862</v>
      </c>
      <c r="D67" s="787">
        <f t="shared" si="19"/>
        <v>257.55</v>
      </c>
      <c r="E67" s="1993">
        <f t="shared" si="20"/>
        <v>0</v>
      </c>
      <c r="F67" s="1993">
        <f t="shared" si="21"/>
        <v>0</v>
      </c>
    </row>
    <row r="68" spans="2:6">
      <c r="B68" s="433" t="s">
        <v>1194</v>
      </c>
      <c r="C68" s="1984" t="s">
        <v>1353</v>
      </c>
      <c r="D68" s="787">
        <f t="shared" si="19"/>
        <v>3889.3035000000004</v>
      </c>
      <c r="E68" s="1993">
        <f t="shared" si="20"/>
        <v>0</v>
      </c>
      <c r="F68" s="1993">
        <f t="shared" si="21"/>
        <v>0</v>
      </c>
    </row>
    <row r="69" spans="2:6">
      <c r="B69" s="433" t="s">
        <v>1194</v>
      </c>
      <c r="C69" s="1984" t="s">
        <v>864</v>
      </c>
      <c r="D69" s="787">
        <f t="shared" si="19"/>
        <v>3662.2874999999999</v>
      </c>
      <c r="E69" s="1993">
        <f t="shared" si="20"/>
        <v>0</v>
      </c>
      <c r="F69" s="1993">
        <f t="shared" si="21"/>
        <v>0</v>
      </c>
    </row>
    <row r="70" spans="2:6">
      <c r="B70" s="433" t="s">
        <v>1195</v>
      </c>
      <c r="C70" s="1984" t="s">
        <v>862</v>
      </c>
      <c r="D70" s="787">
        <f t="shared" si="19"/>
        <v>18.421500000000002</v>
      </c>
      <c r="E70" s="1993">
        <f t="shared" si="20"/>
        <v>0</v>
      </c>
      <c r="F70" s="1993">
        <f t="shared" si="21"/>
        <v>0</v>
      </c>
    </row>
    <row r="71" spans="2:6">
      <c r="B71" s="433" t="s">
        <v>919</v>
      </c>
      <c r="C71" s="1984" t="s">
        <v>1352</v>
      </c>
      <c r="D71" s="787">
        <f t="shared" si="19"/>
        <v>315.76500000000004</v>
      </c>
      <c r="E71" s="1993">
        <f t="shared" si="20"/>
        <v>0.11750000000000682</v>
      </c>
      <c r="F71" s="1993">
        <f t="shared" si="21"/>
        <v>0</v>
      </c>
    </row>
    <row r="72" spans="2:6">
      <c r="B72" s="433" t="s">
        <v>919</v>
      </c>
      <c r="C72" s="1984" t="s">
        <v>1353</v>
      </c>
      <c r="D72" s="787">
        <f t="shared" si="19"/>
        <v>499.99999999999994</v>
      </c>
      <c r="E72" s="1993">
        <f t="shared" si="20"/>
        <v>0</v>
      </c>
      <c r="F72" s="1993">
        <f t="shared" si="21"/>
        <v>0</v>
      </c>
    </row>
    <row r="73" spans="2:6">
      <c r="D73" s="1985">
        <f>SUM(D60:D72)+1</f>
        <v>25104.148841163118</v>
      </c>
      <c r="E73" s="1985">
        <f>SUM(E60:E72)-1</f>
        <v>0.11721203068628938</v>
      </c>
      <c r="F73" s="1985">
        <f>SUM(F60:F72)-1</f>
        <v>-0.47499999999998721</v>
      </c>
    </row>
    <row r="77" spans="2:6">
      <c r="C77" s="438" t="s">
        <v>452</v>
      </c>
      <c r="D77" s="422"/>
    </row>
    <row r="78" spans="2:6">
      <c r="C78" s="935" t="s">
        <v>899</v>
      </c>
      <c r="D78" s="936">
        <f>D73</f>
        <v>25104.148841163118</v>
      </c>
      <c r="E78" s="1015" t="s">
        <v>1368</v>
      </c>
      <c r="F78" s="2002">
        <f>12989090.3/1000</f>
        <v>12989.0903</v>
      </c>
    </row>
    <row r="79" spans="2:6">
      <c r="C79" s="935" t="s">
        <v>900</v>
      </c>
      <c r="D79" s="936">
        <f>E73</f>
        <v>0.11721203068628938</v>
      </c>
      <c r="E79" s="1015" t="s">
        <v>1369</v>
      </c>
      <c r="F79" s="2002">
        <f>3769343.6/1000</f>
        <v>3769.3436000000002</v>
      </c>
    </row>
    <row r="80" spans="2:6">
      <c r="C80" s="935" t="s">
        <v>1060</v>
      </c>
      <c r="D80" s="936">
        <f>F73</f>
        <v>-0.47499999999998721</v>
      </c>
      <c r="E80" s="1015" t="s">
        <v>1370</v>
      </c>
      <c r="F80" s="2002">
        <v>8345</v>
      </c>
    </row>
    <row r="81" spans="6:6">
      <c r="F81" s="1015">
        <f>SUM(F78:F80)</f>
        <v>25103.4339</v>
      </c>
    </row>
    <row r="82" spans="6:6">
      <c r="F82" s="1015">
        <f>25104-F81</f>
        <v>0.56610000000000582</v>
      </c>
    </row>
    <row r="83" spans="6:6">
      <c r="F83" s="1015">
        <f>F80+F82</f>
        <v>8345.5661</v>
      </c>
    </row>
  </sheetData>
  <dataValidations count="6">
    <dataValidation type="list" allowBlank="1" showInputMessage="1" showErrorMessage="1" errorTitle="Invalid Data Entered" error="Must be Unidentified, Opportunity, Plans in Progress, Fully Developed" sqref="B4:B16">
      <formula1>"Unidentified, Opportunity, Plans in Progress, Fully Developed"</formula1>
    </dataValidation>
    <dataValidation type="list" allowBlank="1" showInputMessage="1" showErrorMessage="1" errorTitle="Invalid Data Entered" error="Must be R,NR" sqref="C4:C17">
      <formula1>"R,NR"</formula1>
    </dataValidation>
    <dataValidation type="list" allowBlank="1" showInputMessage="1" showErrorMessage="1" errorTitle="Invalid Data Entered" error="Must be Savings - Pay (Skill Mix), Savings - Pay (WTE reductions), Savings Non Pay, Income" sqref="D4:D17">
      <formula1>"Savings - Pay (Skill Mix), Savings - Pay (WTE reductions), Savings Non Pay, Income"</formula1>
    </dataValidation>
    <dataValidation type="list" allowBlank="1" showInputMessage="1" showErrorMessage="1" errorTitle="Invalid Data Entered" error="Must be H,M,L" sqref="E4:E16">
      <formula1>"H,M,L"</formula1>
    </dataValidation>
    <dataValidation type="whole" allowBlank="1" showErrorMessage="1" errorTitle="Decimal Entry Error" error="Decimal entry not allowed - please enter a whole number only" sqref="G4:R17 V4:AG17 AM4:AM16">
      <formula1>-9999999999</formula1>
      <formula2>9999999999</formula2>
    </dataValidation>
    <dataValidation type="decimal" allowBlank="1" showErrorMessage="1" errorTitle="Number Only" error="Error : This cell can only accept a numeric value with a max of 12 digits." sqref="F4:F17">
      <formula1>-1000000000000</formula1>
      <formula2>1000000000000</formula2>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28"/>
    <pageSetUpPr fitToPage="1"/>
  </sheetPr>
  <dimension ref="A1:AN285"/>
  <sheetViews>
    <sheetView showGridLines="0" zoomScale="85" zoomScaleNormal="90" workbookViewId="0">
      <selection activeCell="A4" sqref="A4"/>
    </sheetView>
  </sheetViews>
  <sheetFormatPr defaultColWidth="9.109375" defaultRowHeight="13.2"/>
  <cols>
    <col min="1" max="1" width="33.88671875" style="1469" bestFit="1" customWidth="1"/>
    <col min="2" max="3" width="11" style="1469" bestFit="1" customWidth="1"/>
    <col min="4" max="5" width="9.88671875" style="1469" bestFit="1" customWidth="1"/>
    <col min="6" max="6" width="11" style="1469" bestFit="1" customWidth="1"/>
    <col min="7" max="7" width="11.5546875" style="1469" bestFit="1" customWidth="1"/>
    <col min="8" max="8" width="6.88671875" style="1469" bestFit="1" customWidth="1"/>
    <col min="9" max="9" width="20.33203125" style="1469" bestFit="1" customWidth="1"/>
    <col min="10" max="10" width="11.33203125" style="1469" customWidth="1"/>
    <col min="11" max="11" width="9" style="1469" customWidth="1"/>
    <col min="12" max="12" width="21.109375" style="1469" bestFit="1" customWidth="1"/>
    <col min="13" max="13" width="48.5546875" style="1470" bestFit="1" customWidth="1"/>
    <col min="14" max="16" width="13.33203125" style="1469" customWidth="1"/>
    <col min="17" max="17" width="12.44140625" style="1469" customWidth="1"/>
    <col min="18" max="18" width="20.44140625" style="1469" customWidth="1"/>
    <col min="19" max="19" width="9.109375" style="1469"/>
    <col min="20" max="20" width="13" style="1469" bestFit="1" customWidth="1"/>
    <col min="21" max="22" width="13.109375" style="1469" bestFit="1" customWidth="1"/>
    <col min="23" max="30" width="9.109375" style="1469"/>
    <col min="31" max="31" width="33.44140625" style="1469" customWidth="1"/>
    <col min="32" max="16384" width="9.109375" style="1469"/>
  </cols>
  <sheetData>
    <row r="1" spans="1:40">
      <c r="A1" s="244" t="s">
        <v>453</v>
      </c>
    </row>
    <row r="3" spans="1:40">
      <c r="A3" s="671" t="s">
        <v>938</v>
      </c>
      <c r="B3" s="672">
        <v>42461</v>
      </c>
      <c r="C3" s="672">
        <v>42491</v>
      </c>
      <c r="D3" s="672">
        <v>42522</v>
      </c>
      <c r="E3" s="672">
        <v>42552</v>
      </c>
      <c r="F3" s="672">
        <v>42583</v>
      </c>
      <c r="G3" s="672">
        <v>42614</v>
      </c>
      <c r="H3" s="672">
        <v>42644</v>
      </c>
      <c r="I3" s="672">
        <v>42675</v>
      </c>
      <c r="J3" s="672">
        <v>42705</v>
      </c>
      <c r="K3" s="672">
        <v>42736</v>
      </c>
      <c r="L3" s="672">
        <v>42767</v>
      </c>
      <c r="M3" s="672">
        <v>42795</v>
      </c>
      <c r="N3" s="420" t="s">
        <v>827</v>
      </c>
      <c r="O3" s="672"/>
      <c r="P3" s="672"/>
    </row>
    <row r="4" spans="1:40">
      <c r="A4" s="1469" t="s">
        <v>721</v>
      </c>
      <c r="B4" s="1471">
        <f>'IncomeandExpenditure Data'!X69</f>
        <v>2917.851999999999</v>
      </c>
      <c r="C4" s="1471">
        <f>'IncomeandExpenditure Data'!Y69</f>
        <v>2932.7390000000014</v>
      </c>
      <c r="D4" s="1471">
        <f>'IncomeandExpenditure Data'!Z69</f>
        <v>2945.6010000000024</v>
      </c>
      <c r="E4" s="1471">
        <f>'IncomeandExpenditure Data'!AA69</f>
        <v>1611.2800000000061</v>
      </c>
      <c r="F4" s="1471">
        <f>'IncomeandExpenditure Data'!AB69</f>
        <v>1746.0000000000146</v>
      </c>
      <c r="G4" s="1471">
        <f>'IncomeandExpenditure Data'!AC69</f>
        <v>1910.922999999988</v>
      </c>
      <c r="H4" s="1471">
        <f>'IncomeandExpenditure Data'!AD69</f>
        <v>319.63100000000122</v>
      </c>
      <c r="I4" s="1471">
        <f>'IncomeandExpenditure Data'!AE69</f>
        <v>536.31899999999587</v>
      </c>
      <c r="J4" s="1471">
        <f>'IncomeandExpenditure Data'!AF69</f>
        <v>272.0879999999961</v>
      </c>
      <c r="K4" s="1471">
        <f>'IncomeandExpenditure Data'!AG69</f>
        <v>187.44099999999162</v>
      </c>
      <c r="L4" s="1471">
        <f>'IncomeandExpenditure Data'!AH69</f>
        <v>198.21100000001024</v>
      </c>
      <c r="M4" s="1471">
        <f>'IncomeandExpenditure Data'!AI69</f>
        <v>-7.8920000000071013</v>
      </c>
      <c r="N4" s="673">
        <f>SUM(B4:M4)</f>
        <v>15570.192999999999</v>
      </c>
      <c r="O4" s="1471"/>
      <c r="P4" s="1471"/>
    </row>
    <row r="5" spans="1:40">
      <c r="A5" s="1469" t="s">
        <v>922</v>
      </c>
      <c r="B5" s="1471">
        <f>'IncomeandExpenditure Data'!J69</f>
        <v>4702.8399999999974</v>
      </c>
      <c r="C5" s="1471">
        <f>'IncomeandExpenditure Data'!K69</f>
        <v>6385.8990000000076</v>
      </c>
      <c r="D5" s="1471">
        <f>'IncomeandExpenditure Data'!L69</f>
        <v>4869.2059999999983</v>
      </c>
      <c r="E5" s="1471">
        <f>'IncomeandExpenditure Data'!M69</f>
        <v>-122.47100000000501</v>
      </c>
      <c r="F5" s="1471">
        <f>'IncomeandExpenditure Data'!N69</f>
        <v>2404.622000000003</v>
      </c>
      <c r="G5" s="1471">
        <f>'IncomeandExpenditure Data'!O69</f>
        <v>2609.0570000000007</v>
      </c>
      <c r="H5" s="1471">
        <f>'IncomeandExpenditure Data'!P69</f>
        <v>-2594.5649999999878</v>
      </c>
      <c r="I5" s="1471">
        <f>'IncomeandExpenditure Data'!Q69</f>
        <v>1251.9070000000138</v>
      </c>
      <c r="J5" s="1471">
        <f>'IncomeandExpenditure Data'!R69</f>
        <v>984.40099999999802</v>
      </c>
      <c r="K5" s="1471">
        <f>'IncomeandExpenditure Data'!S69</f>
        <v>-2759.7349999999933</v>
      </c>
      <c r="L5" s="1471">
        <f>'IncomeandExpenditure Data'!T69</f>
        <v>810.97499999999854</v>
      </c>
      <c r="M5" s="1471">
        <f>'IncomeandExpenditure Data'!U69</f>
        <v>-2971.9459999999945</v>
      </c>
      <c r="N5" s="673">
        <f>SUM(B5:M5)</f>
        <v>15570.190000000037</v>
      </c>
      <c r="O5" s="1471"/>
      <c r="P5" s="1471"/>
    </row>
    <row r="6" spans="1:40">
      <c r="B6" s="1471"/>
      <c r="C6" s="1471"/>
      <c r="D6" s="1471"/>
      <c r="E6" s="1471"/>
      <c r="F6" s="1471"/>
      <c r="G6" s="1471"/>
      <c r="H6" s="1471"/>
      <c r="I6" s="1471"/>
      <c r="J6" s="1471"/>
      <c r="K6" s="1471"/>
      <c r="L6" s="1471"/>
      <c r="M6" s="1472"/>
      <c r="N6" s="1471"/>
      <c r="O6" s="1471"/>
      <c r="P6" s="1471"/>
    </row>
    <row r="7" spans="1:40">
      <c r="B7" s="1471"/>
      <c r="C7" s="1471"/>
      <c r="D7" s="1471"/>
      <c r="E7" s="1471"/>
      <c r="F7" s="1471"/>
      <c r="G7" s="1471"/>
      <c r="H7" s="1471"/>
      <c r="I7" s="1471"/>
      <c r="J7" s="1471"/>
      <c r="K7" s="1471"/>
      <c r="L7" s="1471"/>
      <c r="M7" s="1472"/>
      <c r="N7" s="1471"/>
      <c r="O7" s="1473"/>
      <c r="P7" s="1471"/>
    </row>
    <row r="8" spans="1:40">
      <c r="A8" s="671" t="s">
        <v>50</v>
      </c>
      <c r="B8" s="672">
        <v>42461</v>
      </c>
      <c r="C8" s="672">
        <v>42491</v>
      </c>
      <c r="D8" s="672">
        <v>42522</v>
      </c>
      <c r="E8" s="672">
        <v>42552</v>
      </c>
      <c r="F8" s="672">
        <v>42583</v>
      </c>
      <c r="G8" s="672">
        <v>42614</v>
      </c>
      <c r="H8" s="672">
        <v>42644</v>
      </c>
      <c r="I8" s="672">
        <v>42675</v>
      </c>
      <c r="J8" s="672">
        <v>42705</v>
      </c>
      <c r="K8" s="672">
        <v>42736</v>
      </c>
      <c r="L8" s="672">
        <v>42767</v>
      </c>
      <c r="M8" s="672">
        <v>42795</v>
      </c>
      <c r="N8" s="420" t="s">
        <v>827</v>
      </c>
      <c r="O8" s="1473"/>
      <c r="P8" s="1471"/>
    </row>
    <row r="9" spans="1:40">
      <c r="A9" s="1469" t="s">
        <v>721</v>
      </c>
      <c r="B9" s="1471">
        <f>-'IncomeandExpenditure Data'!X23</f>
        <v>45741</v>
      </c>
      <c r="C9" s="1471">
        <f>-'IncomeandExpenditure Data'!Y23</f>
        <v>45720.998999999996</v>
      </c>
      <c r="D9" s="1471">
        <f>-'IncomeandExpenditure Data'!Z23</f>
        <v>45753.998999999996</v>
      </c>
      <c r="E9" s="1471">
        <f>-'IncomeandExpenditure Data'!AA23</f>
        <v>45809.999999999993</v>
      </c>
      <c r="F9" s="1471">
        <f>-'IncomeandExpenditure Data'!AB23</f>
        <v>45794.999999999985</v>
      </c>
      <c r="G9" s="1471">
        <f>-'IncomeandExpenditure Data'!AC23</f>
        <v>45819.089000000007</v>
      </c>
      <c r="H9" s="1471">
        <f>-'IncomeandExpenditure Data'!AD23</f>
        <v>45814.098999999995</v>
      </c>
      <c r="I9" s="1471">
        <f>-'IncomeandExpenditure Data'!AE23</f>
        <v>45829.099000000002</v>
      </c>
      <c r="J9" s="1471">
        <f>-'IncomeandExpenditure Data'!AF23</f>
        <v>45831.000999999997</v>
      </c>
      <c r="K9" s="1471">
        <f>-'IncomeandExpenditure Data'!AG23</f>
        <v>45834.001000000004</v>
      </c>
      <c r="L9" s="1471">
        <f>-'IncomeandExpenditure Data'!AH23</f>
        <v>45834.000999999989</v>
      </c>
      <c r="M9" s="1472">
        <f>-'IncomeandExpenditure Data'!AI23</f>
        <v>45853.999000000003</v>
      </c>
      <c r="N9" s="673">
        <f>SUM(B9:M9)</f>
        <v>549636.28699999989</v>
      </c>
      <c r="O9" s="1473"/>
      <c r="P9" s="1471"/>
    </row>
    <row r="10" spans="1:40">
      <c r="A10" s="1469" t="s">
        <v>922</v>
      </c>
      <c r="B10" s="1471">
        <f>-'IncomeandExpenditure Data'!J23</f>
        <v>44229.398999999998</v>
      </c>
      <c r="C10" s="1471">
        <f>-'IncomeandExpenditure Data'!K23</f>
        <v>44057.762999999992</v>
      </c>
      <c r="D10" s="1471">
        <f>-'IncomeandExpenditure Data'!L23</f>
        <v>44699.227999999996</v>
      </c>
      <c r="E10" s="1471">
        <f>-'IncomeandExpenditure Data'!M23</f>
        <v>48505.536</v>
      </c>
      <c r="F10" s="1471">
        <f>-'IncomeandExpenditure Data'!N23</f>
        <v>44925.517999999996</v>
      </c>
      <c r="G10" s="1471">
        <f>-'IncomeandExpenditure Data'!O23</f>
        <v>44952.371999999996</v>
      </c>
      <c r="H10" s="1471">
        <f>-'IncomeandExpenditure Data'!P23</f>
        <v>48482.137999999992</v>
      </c>
      <c r="I10" s="1471">
        <f>-'IncomeandExpenditure Data'!Q23</f>
        <v>44905.725999999988</v>
      </c>
      <c r="J10" s="1471">
        <f>-'IncomeandExpenditure Data'!R23</f>
        <v>44942.616000000002</v>
      </c>
      <c r="K10" s="1471">
        <f>-'IncomeandExpenditure Data'!S23</f>
        <v>48561.389999999992</v>
      </c>
      <c r="L10" s="1471">
        <f>-'IncomeandExpenditure Data'!T23</f>
        <v>44967.491000000002</v>
      </c>
      <c r="M10" s="1472">
        <f>-'IncomeandExpenditure Data'!U23</f>
        <v>48623.800999999999</v>
      </c>
      <c r="N10" s="673">
        <f>SUM(B10:M10)</f>
        <v>551852.97799999989</v>
      </c>
      <c r="O10" s="1473"/>
      <c r="P10" s="1471"/>
      <c r="AE10" s="244"/>
      <c r="AF10" s="419"/>
      <c r="AG10" s="419"/>
      <c r="AH10" s="419"/>
      <c r="AI10" s="310"/>
      <c r="AJ10" s="419"/>
      <c r="AK10" s="419"/>
      <c r="AL10" s="419"/>
      <c r="AM10" s="419"/>
      <c r="AN10" s="419"/>
    </row>
    <row r="11" spans="1:40">
      <c r="B11" s="1471"/>
      <c r="C11" s="1471"/>
      <c r="D11" s="1471"/>
      <c r="E11" s="1471"/>
      <c r="F11" s="1471"/>
      <c r="G11" s="1471"/>
      <c r="H11" s="1471"/>
      <c r="I11" s="1471"/>
      <c r="J11" s="1471"/>
      <c r="K11" s="1471"/>
      <c r="L11" s="1471"/>
      <c r="M11" s="1472"/>
      <c r="N11" s="1474"/>
      <c r="O11" s="1473"/>
      <c r="P11" s="1471"/>
    </row>
    <row r="12" spans="1:40">
      <c r="B12" s="1471"/>
      <c r="C12" s="1471"/>
      <c r="D12" s="1471"/>
      <c r="E12" s="1471"/>
      <c r="F12" s="1471"/>
      <c r="G12" s="1471"/>
      <c r="H12" s="1471"/>
      <c r="I12" s="1471"/>
      <c r="J12" s="1471"/>
      <c r="K12" s="1471"/>
      <c r="L12" s="1471"/>
      <c r="M12" s="1472"/>
      <c r="N12" s="1474"/>
      <c r="O12" s="1473"/>
      <c r="P12" s="1471"/>
    </row>
    <row r="13" spans="1:40">
      <c r="B13" s="1471"/>
      <c r="C13" s="1471"/>
      <c r="D13" s="1471"/>
      <c r="E13" s="1471"/>
      <c r="F13" s="1471"/>
      <c r="G13" s="1471"/>
      <c r="H13" s="1471"/>
      <c r="I13" s="1471"/>
      <c r="J13" s="1471"/>
      <c r="K13" s="1471"/>
      <c r="L13" s="1471"/>
      <c r="M13" s="1472"/>
      <c r="N13" s="1474"/>
      <c r="O13" s="1473"/>
      <c r="P13" s="1471"/>
    </row>
    <row r="14" spans="1:40">
      <c r="A14" s="671" t="s">
        <v>214</v>
      </c>
      <c r="B14" s="672">
        <v>42461</v>
      </c>
      <c r="C14" s="672">
        <v>42491</v>
      </c>
      <c r="D14" s="672">
        <v>42522</v>
      </c>
      <c r="E14" s="672">
        <v>42552</v>
      </c>
      <c r="F14" s="672">
        <v>42583</v>
      </c>
      <c r="G14" s="672">
        <v>42614</v>
      </c>
      <c r="H14" s="672">
        <v>42644</v>
      </c>
      <c r="I14" s="672">
        <v>42675</v>
      </c>
      <c r="J14" s="672">
        <v>42705</v>
      </c>
      <c r="K14" s="672">
        <v>42736</v>
      </c>
      <c r="L14" s="672">
        <v>42767</v>
      </c>
      <c r="M14" s="672">
        <v>42795</v>
      </c>
      <c r="N14" s="420" t="s">
        <v>827</v>
      </c>
      <c r="O14" s="1473"/>
      <c r="P14" s="1471"/>
    </row>
    <row r="15" spans="1:40">
      <c r="A15" s="1469" t="s">
        <v>721</v>
      </c>
      <c r="B15" s="1471">
        <f>'IncomeandExpenditure Data'!X52</f>
        <v>45843.851999999999</v>
      </c>
      <c r="C15" s="1471">
        <f>'IncomeandExpenditure Data'!Y52</f>
        <v>45829.737999999998</v>
      </c>
      <c r="D15" s="1471">
        <f>'IncomeandExpenditure Data'!Z52</f>
        <v>45881.599999999999</v>
      </c>
      <c r="E15" s="1471">
        <f>'IncomeandExpenditure Data'!AA52</f>
        <v>44578.28</v>
      </c>
      <c r="F15" s="1471">
        <f>'IncomeandExpenditure Data'!AB52</f>
        <v>44688</v>
      </c>
      <c r="G15" s="1471">
        <f>'IncomeandExpenditure Data'!AC52</f>
        <v>44545.011999999995</v>
      </c>
      <c r="H15" s="1471">
        <f>'IncomeandExpenditure Data'!AD52</f>
        <v>43636.729999999996</v>
      </c>
      <c r="I15" s="1471">
        <f>'IncomeandExpenditure Data'!AE52</f>
        <v>43531.417999999998</v>
      </c>
      <c r="J15" s="1471">
        <f>'IncomeandExpenditure Data'!AF52</f>
        <v>43247.088999999993</v>
      </c>
      <c r="K15" s="1471">
        <f>'IncomeandExpenditure Data'!AG52</f>
        <v>43224.441999999995</v>
      </c>
      <c r="L15" s="1471">
        <f>'IncomeandExpenditure Data'!AH52</f>
        <v>43221.212</v>
      </c>
      <c r="M15" s="1471">
        <f>'IncomeandExpenditure Data'!AI52</f>
        <v>43249.102999999996</v>
      </c>
      <c r="N15" s="673">
        <f>SUM(B15:M15)</f>
        <v>531476.47599999991</v>
      </c>
      <c r="O15" s="1473"/>
      <c r="P15" s="1471"/>
    </row>
    <row r="16" spans="1:40">
      <c r="A16" s="1469" t="s">
        <v>922</v>
      </c>
      <c r="B16" s="1471">
        <f>'IncomeandExpenditure Data'!J52</f>
        <v>46356.441999999995</v>
      </c>
      <c r="C16" s="1471">
        <f>'IncomeandExpenditure Data'!K52</f>
        <v>47622.233</v>
      </c>
      <c r="D16" s="1471">
        <f>'IncomeandExpenditure Data'!L52</f>
        <v>46720.433999999994</v>
      </c>
      <c r="E16" s="1471">
        <f>'IncomeandExpenditure Data'!M52</f>
        <v>45558.064999999995</v>
      </c>
      <c r="F16" s="1471">
        <f>'IncomeandExpenditure Data'!N52</f>
        <v>44441.14</v>
      </c>
      <c r="G16" s="1471">
        <f>'IncomeandExpenditure Data'!O52</f>
        <v>44395.428999999996</v>
      </c>
      <c r="H16" s="1471">
        <f>'IncomeandExpenditure Data'!P52</f>
        <v>43391.573000000004</v>
      </c>
      <c r="I16" s="1471">
        <f>'IncomeandExpenditure Data'!Q52</f>
        <v>43325.633000000002</v>
      </c>
      <c r="J16" s="1471">
        <f>'IncomeandExpenditure Data'!R52</f>
        <v>43069.017</v>
      </c>
      <c r="K16" s="1471">
        <f>'IncomeandExpenditure Data'!S52</f>
        <v>43003.654999999999</v>
      </c>
      <c r="L16" s="1471">
        <f>'IncomeandExpenditure Data'!T52</f>
        <v>42966.466</v>
      </c>
      <c r="M16" s="1472">
        <f>'IncomeandExpenditure Data'!U52</f>
        <v>43054.851000000002</v>
      </c>
      <c r="N16" s="673">
        <f>SUM(B16:M16)</f>
        <v>533904.93800000008</v>
      </c>
      <c r="O16" s="1473"/>
      <c r="P16" s="1471"/>
    </row>
    <row r="17" spans="1:16">
      <c r="B17" s="1471"/>
      <c r="C17" s="1471"/>
      <c r="D17" s="1471"/>
      <c r="E17" s="1471"/>
      <c r="F17" s="1471"/>
      <c r="G17" s="1471"/>
      <c r="H17" s="1471"/>
      <c r="I17" s="1471"/>
      <c r="J17" s="1471"/>
      <c r="K17" s="1471"/>
      <c r="L17" s="1471"/>
      <c r="M17" s="1472"/>
      <c r="N17" s="1471"/>
      <c r="O17" s="1473"/>
      <c r="P17" s="1471"/>
    </row>
    <row r="18" spans="1:16">
      <c r="B18" s="1471"/>
      <c r="C18" s="1471"/>
      <c r="D18" s="1471"/>
      <c r="E18" s="1471"/>
      <c r="F18" s="1471"/>
      <c r="G18" s="1471"/>
      <c r="H18" s="1471"/>
      <c r="I18" s="1471"/>
      <c r="J18" s="1471"/>
      <c r="K18" s="1471"/>
      <c r="L18" s="1471"/>
      <c r="M18" s="1472"/>
      <c r="N18" s="1471"/>
      <c r="O18" s="1473"/>
      <c r="P18" s="1471"/>
    </row>
    <row r="19" spans="1:16">
      <c r="A19" s="671" t="s">
        <v>863</v>
      </c>
      <c r="B19" s="672">
        <v>42461</v>
      </c>
      <c r="C19" s="672">
        <v>42491</v>
      </c>
      <c r="D19" s="672">
        <v>42522</v>
      </c>
      <c r="E19" s="672">
        <v>42552</v>
      </c>
      <c r="F19" s="672">
        <v>42583</v>
      </c>
      <c r="G19" s="672">
        <v>42614</v>
      </c>
      <c r="H19" s="672">
        <v>42644</v>
      </c>
      <c r="I19" s="672">
        <v>42675</v>
      </c>
      <c r="J19" s="672">
        <v>42705</v>
      </c>
      <c r="K19" s="672">
        <v>42736</v>
      </c>
      <c r="L19" s="672">
        <v>42767</v>
      </c>
      <c r="M19" s="672">
        <v>42795</v>
      </c>
      <c r="N19" s="420" t="s">
        <v>827</v>
      </c>
      <c r="O19" s="1473"/>
      <c r="P19" s="1471"/>
    </row>
    <row r="20" spans="1:16">
      <c r="A20" s="1469" t="s">
        <v>721</v>
      </c>
      <c r="B20" s="1471">
        <f>'IncomeandExpenditure Data'!X33</f>
        <v>28808.021000000001</v>
      </c>
      <c r="C20" s="1471">
        <f>'IncomeandExpenditure Data'!Y33</f>
        <v>28809.982</v>
      </c>
      <c r="D20" s="1471">
        <f>'IncomeandExpenditure Data'!Z33</f>
        <v>28868.976000000002</v>
      </c>
      <c r="E20" s="1471">
        <f>'IncomeandExpenditure Data'!AA33</f>
        <v>27924.214999999997</v>
      </c>
      <c r="F20" s="1471">
        <f>'IncomeandExpenditure Data'!AB33</f>
        <v>28112.024999999998</v>
      </c>
      <c r="G20" s="1471">
        <f>'IncomeandExpenditure Data'!AC33</f>
        <v>28101.262999999999</v>
      </c>
      <c r="H20" s="1471">
        <f>'IncomeandExpenditure Data'!AD33</f>
        <v>27382.703999999998</v>
      </c>
      <c r="I20" s="1471">
        <f>'IncomeandExpenditure Data'!AE33</f>
        <v>27365.017999999996</v>
      </c>
      <c r="J20" s="1471">
        <f>'IncomeandExpenditure Data'!AF33</f>
        <v>27232.19</v>
      </c>
      <c r="K20" s="1471">
        <f>'IncomeandExpenditure Data'!AG33</f>
        <v>27224.693999999996</v>
      </c>
      <c r="L20" s="1471">
        <f>'IncomeandExpenditure Data'!AH33</f>
        <v>27224.690999999995</v>
      </c>
      <c r="M20" s="1471">
        <f>'IncomeandExpenditure Data'!AI33</f>
        <v>27225.354999999996</v>
      </c>
      <c r="N20" s="673">
        <f>SUM(B20:M20)</f>
        <v>334279.13399999996</v>
      </c>
      <c r="O20" s="1473"/>
      <c r="P20" s="1471"/>
    </row>
    <row r="21" spans="1:16">
      <c r="A21" s="1469" t="s">
        <v>922</v>
      </c>
      <c r="B21" s="1471">
        <f>'IncomeandExpenditure Data'!J33</f>
        <v>28967.795999999998</v>
      </c>
      <c r="C21" s="1471">
        <f>'IncomeandExpenditure Data'!K33</f>
        <v>28624.75</v>
      </c>
      <c r="D21" s="1471">
        <f>'IncomeandExpenditure Data'!L33</f>
        <v>28829.019999999997</v>
      </c>
      <c r="E21" s="1471">
        <f>'IncomeandExpenditure Data'!M33</f>
        <v>28054.020999999997</v>
      </c>
      <c r="F21" s="1471">
        <f>'IncomeandExpenditure Data'!N33</f>
        <v>28037.699999999997</v>
      </c>
      <c r="G21" s="1471">
        <f>'IncomeandExpenditure Data'!O33</f>
        <v>28074.220999999998</v>
      </c>
      <c r="H21" s="1471">
        <f>'IncomeandExpenditure Data'!P33</f>
        <v>27373.332000000002</v>
      </c>
      <c r="I21" s="1471">
        <f>'IncomeandExpenditure Data'!Q33</f>
        <v>27373.799000000003</v>
      </c>
      <c r="J21" s="1471">
        <f>'IncomeandExpenditure Data'!R33</f>
        <v>27245.419000000002</v>
      </c>
      <c r="K21" s="1471">
        <f>'IncomeandExpenditure Data'!S33</f>
        <v>27243.010999999999</v>
      </c>
      <c r="L21" s="1471">
        <f>'IncomeandExpenditure Data'!T33</f>
        <v>27242.999</v>
      </c>
      <c r="M21" s="1471">
        <f>'IncomeandExpenditure Data'!U33</f>
        <v>27275.219000000001</v>
      </c>
      <c r="N21" s="673">
        <f>SUM(B21:M21)</f>
        <v>334341.28699999995</v>
      </c>
      <c r="O21" s="1473"/>
      <c r="P21" s="1471"/>
    </row>
    <row r="22" spans="1:16">
      <c r="B22" s="1471"/>
      <c r="C22" s="1471"/>
      <c r="D22" s="1471"/>
      <c r="E22" s="1471"/>
      <c r="F22" s="1471"/>
      <c r="G22" s="1471"/>
      <c r="H22" s="1471"/>
      <c r="I22" s="1471"/>
      <c r="J22" s="1471"/>
      <c r="K22" s="1471"/>
      <c r="L22" s="1471"/>
      <c r="M22" s="1472"/>
      <c r="N22" s="1471"/>
      <c r="O22" s="1473"/>
      <c r="P22" s="1471"/>
    </row>
    <row r="23" spans="1:16">
      <c r="B23" s="1471"/>
      <c r="C23" s="1471"/>
      <c r="D23" s="1471"/>
      <c r="E23" s="1471"/>
      <c r="F23" s="1471"/>
      <c r="G23" s="1471"/>
      <c r="H23" s="1471"/>
      <c r="I23" s="1471"/>
      <c r="J23" s="1471"/>
      <c r="K23" s="1471"/>
      <c r="L23" s="1471"/>
      <c r="M23" s="1472"/>
      <c r="N23" s="1471"/>
      <c r="O23" s="1473"/>
      <c r="P23" s="1471"/>
    </row>
    <row r="24" spans="1:16">
      <c r="A24" s="671" t="s">
        <v>864</v>
      </c>
      <c r="B24" s="672">
        <v>42461</v>
      </c>
      <c r="C24" s="672">
        <v>42491</v>
      </c>
      <c r="D24" s="672">
        <v>42522</v>
      </c>
      <c r="E24" s="672">
        <v>42552</v>
      </c>
      <c r="F24" s="672">
        <v>42583</v>
      </c>
      <c r="G24" s="672">
        <v>42614</v>
      </c>
      <c r="H24" s="672">
        <v>42644</v>
      </c>
      <c r="I24" s="672">
        <v>42675</v>
      </c>
      <c r="J24" s="672">
        <v>42705</v>
      </c>
      <c r="K24" s="672">
        <v>42736</v>
      </c>
      <c r="L24" s="672">
        <v>42767</v>
      </c>
      <c r="M24" s="672">
        <v>42795</v>
      </c>
      <c r="N24" s="420" t="s">
        <v>827</v>
      </c>
      <c r="O24" s="1473"/>
      <c r="P24" s="1471"/>
    </row>
    <row r="25" spans="1:16">
      <c r="A25" s="1469" t="s">
        <v>721</v>
      </c>
      <c r="B25" s="1471">
        <f>'IncomeandExpenditure Data'!X47</f>
        <v>17035.830999999998</v>
      </c>
      <c r="C25" s="1471">
        <f>'IncomeandExpenditure Data'!Y47</f>
        <v>17019.756000000001</v>
      </c>
      <c r="D25" s="1471">
        <f>'IncomeandExpenditure Data'!Z47</f>
        <v>17012.623999999996</v>
      </c>
      <c r="E25" s="1471">
        <f>'IncomeandExpenditure Data'!AA47</f>
        <v>16654.064999999999</v>
      </c>
      <c r="F25" s="1471">
        <f>'IncomeandExpenditure Data'!AB47</f>
        <v>16575.974999999999</v>
      </c>
      <c r="G25" s="1471">
        <f>'IncomeandExpenditure Data'!AC47</f>
        <v>16443.748999999996</v>
      </c>
      <c r="H25" s="1471">
        <f>'IncomeandExpenditure Data'!AD47</f>
        <v>16254.026</v>
      </c>
      <c r="I25" s="1471">
        <f>'IncomeandExpenditure Data'!AE47</f>
        <v>16166.400000000001</v>
      </c>
      <c r="J25" s="1471">
        <f>'IncomeandExpenditure Data'!AF47</f>
        <v>16014.898999999998</v>
      </c>
      <c r="K25" s="1471">
        <f>'IncomeandExpenditure Data'!AG47</f>
        <v>15999.747999999998</v>
      </c>
      <c r="L25" s="1471">
        <f>'IncomeandExpenditure Data'!AH47</f>
        <v>15996.521000000001</v>
      </c>
      <c r="M25" s="1471">
        <f>'IncomeandExpenditure Data'!AI47</f>
        <v>16023.748000000001</v>
      </c>
      <c r="N25" s="673">
        <f>SUM(B25:M25)</f>
        <v>197197.34199999998</v>
      </c>
      <c r="O25" s="1473"/>
      <c r="P25" s="1471"/>
    </row>
    <row r="26" spans="1:16">
      <c r="A26" s="1469" t="s">
        <v>922</v>
      </c>
      <c r="B26" s="1471">
        <f>'IncomeandExpenditure Data'!J47</f>
        <v>17388.646000000001</v>
      </c>
      <c r="C26" s="1471">
        <f>'IncomeandExpenditure Data'!K47</f>
        <v>18997.483</v>
      </c>
      <c r="D26" s="1471">
        <f>'IncomeandExpenditure Data'!L47</f>
        <v>17891.413999999997</v>
      </c>
      <c r="E26" s="1471">
        <f>'IncomeandExpenditure Data'!M47</f>
        <v>17504.043999999998</v>
      </c>
      <c r="F26" s="1471">
        <f>'IncomeandExpenditure Data'!N47</f>
        <v>16403.439999999999</v>
      </c>
      <c r="G26" s="1471">
        <f>'IncomeandExpenditure Data'!O47</f>
        <v>16321.208000000001</v>
      </c>
      <c r="H26" s="1471">
        <f>'IncomeandExpenditure Data'!P47</f>
        <v>16018.241000000002</v>
      </c>
      <c r="I26" s="1471">
        <f>'IncomeandExpenditure Data'!Q47</f>
        <v>15951.834000000001</v>
      </c>
      <c r="J26" s="1471">
        <f>'IncomeandExpenditure Data'!R47</f>
        <v>15823.597999999996</v>
      </c>
      <c r="K26" s="1471">
        <f>'IncomeandExpenditure Data'!S47</f>
        <v>15760.643999999998</v>
      </c>
      <c r="L26" s="1471">
        <f>'IncomeandExpenditure Data'!T47</f>
        <v>15723.466999999999</v>
      </c>
      <c r="M26" s="1471">
        <f>'IncomeandExpenditure Data'!U47</f>
        <v>15779.632</v>
      </c>
      <c r="N26" s="673">
        <f>SUM(B26:M26)</f>
        <v>199563.65100000001</v>
      </c>
      <c r="O26" s="1473"/>
      <c r="P26" s="1471"/>
    </row>
    <row r="27" spans="1:16">
      <c r="B27" s="1471"/>
      <c r="C27" s="1471"/>
      <c r="D27" s="1471"/>
      <c r="E27" s="1471"/>
      <c r="F27" s="1471"/>
      <c r="G27" s="1471"/>
      <c r="H27" s="1471"/>
      <c r="I27" s="1471"/>
      <c r="J27" s="1471"/>
      <c r="K27" s="1471"/>
      <c r="L27" s="1471"/>
      <c r="M27" s="1472"/>
      <c r="N27" s="1471"/>
      <c r="O27" s="1473"/>
      <c r="P27" s="1471"/>
    </row>
    <row r="28" spans="1:16">
      <c r="B28" s="1471"/>
      <c r="C28" s="1471"/>
      <c r="D28" s="1471"/>
      <c r="E28" s="1471"/>
      <c r="F28" s="1471"/>
      <c r="G28" s="1471"/>
      <c r="H28" s="1471"/>
      <c r="I28" s="1471"/>
      <c r="J28" s="1471"/>
      <c r="K28" s="1471"/>
      <c r="L28" s="1471"/>
      <c r="M28" s="1472"/>
      <c r="N28" s="1471"/>
      <c r="O28" s="1473"/>
      <c r="P28" s="1471"/>
    </row>
    <row r="29" spans="1:16">
      <c r="A29" s="671" t="s">
        <v>947</v>
      </c>
      <c r="B29" s="672">
        <v>42461</v>
      </c>
      <c r="C29" s="672">
        <v>42491</v>
      </c>
      <c r="D29" s="672">
        <v>42522</v>
      </c>
      <c r="E29" s="672">
        <v>42552</v>
      </c>
      <c r="F29" s="672">
        <v>42583</v>
      </c>
      <c r="G29" s="672">
        <v>42614</v>
      </c>
      <c r="H29" s="672">
        <v>42644</v>
      </c>
      <c r="I29" s="672">
        <v>42675</v>
      </c>
      <c r="J29" s="672">
        <v>42705</v>
      </c>
      <c r="K29" s="672">
        <v>42736</v>
      </c>
      <c r="L29" s="672">
        <v>42767</v>
      </c>
      <c r="M29" s="672">
        <v>42795</v>
      </c>
      <c r="N29" s="420" t="s">
        <v>827</v>
      </c>
      <c r="O29" s="1473"/>
      <c r="P29" s="1471"/>
    </row>
    <row r="30" spans="1:16">
      <c r="A30" s="1469" t="s">
        <v>721</v>
      </c>
      <c r="B30" s="1471">
        <f>'Monthly workings for CIPs'!G18</f>
        <v>521.37142434103544</v>
      </c>
      <c r="C30" s="1471">
        <f>'Monthly workings for CIPs'!H18</f>
        <v>511.78148498577781</v>
      </c>
      <c r="D30" s="1471">
        <f>'Monthly workings for CIPs'!I18</f>
        <v>529.66927025661107</v>
      </c>
      <c r="E30" s="1471">
        <f>'Monthly workings for CIPs'!J18</f>
        <v>1691.7746440478118</v>
      </c>
      <c r="F30" s="1471">
        <f>'Monthly workings for CIPs'!K18</f>
        <v>1687.4781082144789</v>
      </c>
      <c r="G30" s="1471">
        <f>'Monthly workings for CIPs'!L18</f>
        <v>1688.144313688201</v>
      </c>
      <c r="H30" s="1471">
        <f>'Monthly workings for CIPs'!M18</f>
        <v>2875.8572990215353</v>
      </c>
      <c r="I30" s="1471">
        <f>'Monthly workings for CIPs'!N18</f>
        <v>2890.3476690215352</v>
      </c>
      <c r="J30" s="1471">
        <f>'Monthly workings for CIPs'!O18</f>
        <v>3129.7916600215349</v>
      </c>
      <c r="K30" s="1471">
        <f>'Monthly workings for CIPs'!P18</f>
        <v>3194.4155408548681</v>
      </c>
      <c r="L30" s="1471">
        <f>'Monthly workings for CIPs'!Q18</f>
        <v>3192.4734763548681</v>
      </c>
      <c r="M30" s="1471">
        <f>'Monthly workings for CIPs'!R18</f>
        <v>3190.5689503548683</v>
      </c>
      <c r="N30" s="673">
        <f>SUM(B30:M30)</f>
        <v>25103.673841163127</v>
      </c>
      <c r="O30" s="1473"/>
      <c r="P30" s="1471"/>
    </row>
    <row r="31" spans="1:16">
      <c r="A31" s="1469" t="s">
        <v>922</v>
      </c>
      <c r="B31" s="1471">
        <f>'Monthly workings for CIPs'!V18</f>
        <v>736.16666666666663</v>
      </c>
      <c r="C31" s="1471">
        <f>'Monthly workings for CIPs'!W18</f>
        <v>645</v>
      </c>
      <c r="D31" s="1471">
        <f>'Monthly workings for CIPs'!X18</f>
        <v>521.16666666666674</v>
      </c>
      <c r="E31" s="1471">
        <f>'Monthly workings for CIPs'!Y18</f>
        <v>1653.471783688201</v>
      </c>
      <c r="F31" s="1471">
        <f>'Monthly workings for CIPs'!Z18</f>
        <v>1650.471783688201</v>
      </c>
      <c r="G31" s="1471">
        <f>'Monthly workings for CIPs'!AA18</f>
        <v>1663.471783688201</v>
      </c>
      <c r="H31" s="1471">
        <f>'Monthly workings for CIPs'!AB18</f>
        <v>2836.7634503548679</v>
      </c>
      <c r="I31" s="1471">
        <f>'Monthly workings for CIPs'!AC18</f>
        <v>2850.1217836882015</v>
      </c>
      <c r="J31" s="1471">
        <f>'Monthly workings for CIPs'!AD18</f>
        <v>3090.1217836882015</v>
      </c>
      <c r="K31" s="1471">
        <f>'Monthly workings for CIPs'!AE18</f>
        <v>3155.1697836882013</v>
      </c>
      <c r="L31" s="1471">
        <f>'Monthly workings for CIPs'!AF18</f>
        <v>3152.1697836882013</v>
      </c>
      <c r="M31" s="1471">
        <f>'Monthly workings for CIPs'!AG18</f>
        <v>3150.1707836882015</v>
      </c>
      <c r="N31" s="673">
        <f>SUM(B31:M31)</f>
        <v>25104.266053193813</v>
      </c>
      <c r="O31" s="1473"/>
      <c r="P31" s="1471"/>
    </row>
    <row r="32" spans="1:16">
      <c r="B32" s="1471"/>
      <c r="C32" s="1471"/>
      <c r="D32" s="1471"/>
      <c r="E32" s="1471"/>
      <c r="F32" s="1471"/>
      <c r="G32" s="1471"/>
      <c r="H32" s="1471"/>
      <c r="I32" s="1471"/>
      <c r="J32" s="1471"/>
      <c r="K32" s="1471"/>
      <c r="L32" s="1471"/>
      <c r="M32" s="1472"/>
      <c r="N32" s="1471"/>
      <c r="O32" s="1473"/>
      <c r="P32" s="1471"/>
    </row>
    <row r="33" spans="1:33">
      <c r="O33" s="1475"/>
    </row>
    <row r="36" spans="1:33">
      <c r="A36" s="244" t="s">
        <v>454</v>
      </c>
      <c r="I36" s="244" t="s">
        <v>1089</v>
      </c>
    </row>
    <row r="37" spans="1:33">
      <c r="A37" s="244"/>
      <c r="I37" s="1547" t="s">
        <v>361</v>
      </c>
      <c r="J37" s="1552" t="str">
        <f>IF(C51=0,"OK","NOT OK")</f>
        <v>OK</v>
      </c>
    </row>
    <row r="38" spans="1:33">
      <c r="A38" s="1476"/>
      <c r="B38" s="1477"/>
      <c r="C38" s="1477"/>
      <c r="D38" s="1477"/>
      <c r="E38" s="1477"/>
      <c r="F38" s="1477"/>
      <c r="G38" s="1477"/>
      <c r="H38" s="1477"/>
      <c r="I38" s="1548" t="s">
        <v>1007</v>
      </c>
      <c r="J38" s="1553" t="str">
        <f>IF(C66=0,"OK","NOT OK")</f>
        <v>OK</v>
      </c>
    </row>
    <row r="39" spans="1:33">
      <c r="A39" s="1485" t="s">
        <v>361</v>
      </c>
      <c r="B39" s="1486"/>
      <c r="C39" s="1486"/>
      <c r="D39" s="1486"/>
      <c r="E39" s="1486"/>
      <c r="F39" s="1486"/>
      <c r="G39" s="1487"/>
      <c r="H39" s="1477"/>
      <c r="I39" s="1549" t="s">
        <v>1008</v>
      </c>
      <c r="J39" s="1553" t="str">
        <f>IF(C81=0,"OK","NOT OK")</f>
        <v>OK</v>
      </c>
      <c r="L39" s="2373" t="s">
        <v>1088</v>
      </c>
      <c r="M39" s="2373"/>
      <c r="N39" s="2373"/>
      <c r="O39" s="2373"/>
      <c r="P39" s="2373"/>
    </row>
    <row r="40" spans="1:33">
      <c r="A40" s="1488"/>
      <c r="B40" s="1489"/>
      <c r="C40" s="1489"/>
      <c r="D40" s="1489"/>
      <c r="E40" s="1489"/>
      <c r="F40" s="1489"/>
      <c r="G40" s="1490"/>
      <c r="H40" s="1477"/>
      <c r="I40" s="1549" t="s">
        <v>1010</v>
      </c>
      <c r="J40" s="1553" t="str">
        <f>IF(C96=0,"OK","NOT OK")</f>
        <v>OK</v>
      </c>
    </row>
    <row r="41" spans="1:33" ht="15">
      <c r="A41" s="1491"/>
      <c r="B41" s="1492" t="s">
        <v>664</v>
      </c>
      <c r="C41" s="1492" t="s">
        <v>665</v>
      </c>
      <c r="D41" s="1492" t="s">
        <v>666</v>
      </c>
      <c r="E41" s="1492" t="s">
        <v>667</v>
      </c>
      <c r="F41" s="1492" t="s">
        <v>668</v>
      </c>
      <c r="G41" s="1493" t="s">
        <v>669</v>
      </c>
      <c r="H41" s="244"/>
      <c r="I41" s="1549" t="s">
        <v>385</v>
      </c>
      <c r="J41" s="1553" t="str">
        <f>IF(C111=0,"OK","NOT OK")</f>
        <v>OK</v>
      </c>
      <c r="L41" s="1631"/>
      <c r="M41" s="1631"/>
      <c r="N41" s="1632" t="s">
        <v>450</v>
      </c>
      <c r="O41" s="1632" t="s">
        <v>629</v>
      </c>
      <c r="P41" s="1632" t="s">
        <v>630</v>
      </c>
      <c r="R41" s="1462"/>
      <c r="S41" s="1462"/>
      <c r="T41" s="923"/>
      <c r="U41" s="923"/>
      <c r="V41" s="923"/>
      <c r="W41" s="923"/>
      <c r="X41" s="923"/>
      <c r="Y41" s="1479"/>
      <c r="Z41" s="1479"/>
      <c r="AA41" s="1462"/>
      <c r="AB41" s="1462"/>
      <c r="AC41" s="923"/>
      <c r="AD41" s="923"/>
      <c r="AE41" s="923"/>
      <c r="AF41" s="923"/>
      <c r="AG41" s="923"/>
    </row>
    <row r="42" spans="1:33">
      <c r="A42" s="1494"/>
      <c r="B42" s="1475"/>
      <c r="C42" s="1475"/>
      <c r="D42" s="1495"/>
      <c r="E42" s="1495"/>
      <c r="F42" s="1475"/>
      <c r="G42" s="1496"/>
      <c r="I42" s="1549" t="s">
        <v>1011</v>
      </c>
      <c r="J42" s="1553" t="str">
        <f>IF(C141=0,"OK","NOT OK")</f>
        <v>OK</v>
      </c>
      <c r="L42" s="1632" t="s">
        <v>554</v>
      </c>
      <c r="M42" s="1632" t="s">
        <v>554</v>
      </c>
      <c r="N42" s="1633" t="s">
        <v>1102</v>
      </c>
      <c r="O42" s="1633" t="s">
        <v>1102</v>
      </c>
      <c r="P42" s="1633" t="s">
        <v>1102</v>
      </c>
      <c r="R42" s="923"/>
      <c r="S42" s="923"/>
      <c r="T42" s="1463"/>
      <c r="U42" s="1463"/>
      <c r="V42" s="1463"/>
      <c r="W42" s="1463"/>
      <c r="X42" s="1463"/>
      <c r="Y42" s="1479"/>
      <c r="Z42" s="1479"/>
      <c r="AA42" s="923"/>
      <c r="AB42" s="923"/>
      <c r="AC42" s="1463"/>
      <c r="AD42" s="1463"/>
      <c r="AE42" s="1463"/>
      <c r="AF42" s="1463"/>
      <c r="AG42" s="1463"/>
    </row>
    <row r="43" spans="1:33">
      <c r="A43" s="1497" t="s">
        <v>721</v>
      </c>
      <c r="B43" s="1498"/>
      <c r="C43" s="1498"/>
      <c r="D43" s="1498"/>
      <c r="E43" s="1498"/>
      <c r="F43" s="1499">
        <f>G43</f>
        <v>2878222</v>
      </c>
      <c r="G43" s="1500">
        <f>-N44</f>
        <v>2878222</v>
      </c>
      <c r="H43" s="1478"/>
      <c r="I43" s="1549" t="s">
        <v>1012</v>
      </c>
      <c r="J43" s="1553" t="str">
        <f>IF(C163=0,"OK","NOT OK")</f>
        <v>OK</v>
      </c>
      <c r="L43" s="1632" t="s">
        <v>554</v>
      </c>
      <c r="M43" s="1632" t="s">
        <v>554</v>
      </c>
      <c r="N43" s="1633" t="s">
        <v>413</v>
      </c>
      <c r="O43" s="1633" t="s">
        <v>722</v>
      </c>
      <c r="P43" s="1633" t="s">
        <v>40</v>
      </c>
      <c r="R43" s="923"/>
      <c r="S43" s="923"/>
      <c r="T43" s="1463"/>
      <c r="U43" s="1463"/>
      <c r="V43" s="1463"/>
      <c r="W43" s="1463"/>
      <c r="X43" s="1463"/>
      <c r="Y43" s="1479"/>
      <c r="Z43" s="1479"/>
      <c r="AA43" s="923"/>
      <c r="AB43" s="923"/>
      <c r="AC43" s="1463"/>
      <c r="AD43" s="1463"/>
      <c r="AE43" s="1463"/>
      <c r="AF43" s="1463"/>
      <c r="AG43" s="1463"/>
    </row>
    <row r="44" spans="1:33">
      <c r="A44" s="1501" t="s">
        <v>862</v>
      </c>
      <c r="B44" s="1498">
        <f>SUM(B43,E43:F43)-D44</f>
        <v>775877</v>
      </c>
      <c r="C44" s="1498"/>
      <c r="D44" s="1498">
        <f>-MIN(G44,0)</f>
        <v>2102345</v>
      </c>
      <c r="E44" s="1498">
        <f>MAX(G44,0)</f>
        <v>0</v>
      </c>
      <c r="F44" s="1498"/>
      <c r="G44" s="1500">
        <f>-P45</f>
        <v>-2102345</v>
      </c>
      <c r="H44" s="1478"/>
      <c r="I44" s="1550" t="s">
        <v>1013</v>
      </c>
      <c r="J44" s="1553" t="str">
        <f>IF(C180=0,"OK","NOT OK")</f>
        <v>OK</v>
      </c>
      <c r="L44" s="1632" t="s">
        <v>908</v>
      </c>
      <c r="M44" s="1632" t="s">
        <v>631</v>
      </c>
      <c r="N44" s="1634">
        <v>-2878222</v>
      </c>
      <c r="O44" s="1635">
        <v>271138</v>
      </c>
      <c r="P44" s="1635">
        <v>3149360</v>
      </c>
      <c r="Q44" s="675"/>
      <c r="R44" s="923"/>
      <c r="S44" s="923"/>
      <c r="T44" s="1464"/>
      <c r="U44" s="1464"/>
      <c r="V44" s="1464"/>
      <c r="W44" s="924"/>
      <c r="X44" s="925"/>
      <c r="Y44" s="1479"/>
      <c r="Z44" s="1479"/>
      <c r="AA44" s="923"/>
      <c r="AB44" s="923"/>
      <c r="AC44" s="924"/>
      <c r="AD44" s="924"/>
      <c r="AE44" s="925"/>
      <c r="AF44" s="924"/>
      <c r="AG44" s="925"/>
    </row>
    <row r="45" spans="1:33">
      <c r="A45" s="1497" t="s">
        <v>863</v>
      </c>
      <c r="B45" s="1498">
        <f>SUM(B44,E44:F44)-D45</f>
        <v>284318</v>
      </c>
      <c r="C45" s="1498"/>
      <c r="D45" s="1498">
        <f>-MIN(G45,0)</f>
        <v>491559</v>
      </c>
      <c r="E45" s="1498">
        <f>MAX(G45,0)</f>
        <v>0</v>
      </c>
      <c r="F45" s="1498"/>
      <c r="G45" s="1500">
        <f>-P46</f>
        <v>-491559</v>
      </c>
      <c r="H45" s="1478"/>
      <c r="I45" s="1550" t="s">
        <v>1014</v>
      </c>
      <c r="J45" s="1553" t="str">
        <f>IF(C202=0,"OK","NOT OK")</f>
        <v>OK</v>
      </c>
      <c r="L45" s="1632" t="s">
        <v>908</v>
      </c>
      <c r="M45" s="1632" t="s">
        <v>1023</v>
      </c>
      <c r="N45" s="1634">
        <v>-20781837</v>
      </c>
      <c r="O45" s="1634">
        <v>-18679492</v>
      </c>
      <c r="P45" s="1635">
        <v>2102345</v>
      </c>
      <c r="Q45" s="675"/>
      <c r="R45" s="923"/>
      <c r="S45" s="923"/>
      <c r="T45" s="1464"/>
      <c r="U45" s="1464"/>
      <c r="V45" s="1464"/>
      <c r="W45" s="924"/>
      <c r="X45" s="924"/>
      <c r="Y45" s="1479"/>
      <c r="Z45" s="1479"/>
      <c r="AA45" s="923"/>
      <c r="AB45" s="923"/>
      <c r="AC45" s="924"/>
      <c r="AD45" s="924"/>
      <c r="AE45" s="924"/>
      <c r="AF45" s="924"/>
      <c r="AG45" s="924"/>
    </row>
    <row r="46" spans="1:33">
      <c r="A46" s="1497" t="s">
        <v>864</v>
      </c>
      <c r="B46" s="1498">
        <f>SUM(B45,E45:F45)-D46</f>
        <v>-318188</v>
      </c>
      <c r="C46" s="1498"/>
      <c r="D46" s="1498">
        <f>-MIN(G46,0)</f>
        <v>602506</v>
      </c>
      <c r="E46" s="1498">
        <f>MAX(G46,0)</f>
        <v>0</v>
      </c>
      <c r="F46" s="1498"/>
      <c r="G46" s="1500">
        <f>-P47-G47</f>
        <v>-602506</v>
      </c>
      <c r="H46" s="1478"/>
      <c r="I46" s="1551" t="s">
        <v>633</v>
      </c>
      <c r="J46" s="1554" t="e">
        <f>IF(C223=0,"OK","NOT OK")</f>
        <v>#REF!</v>
      </c>
      <c r="L46" s="1632" t="s">
        <v>908</v>
      </c>
      <c r="M46" s="1632" t="s">
        <v>1024</v>
      </c>
      <c r="N46" s="1635">
        <v>11295148</v>
      </c>
      <c r="O46" s="1635">
        <v>11786707</v>
      </c>
      <c r="P46" s="1635">
        <v>491559</v>
      </c>
      <c r="Q46" s="675"/>
      <c r="R46" s="923"/>
      <c r="S46" s="923"/>
      <c r="T46" s="1464"/>
      <c r="U46" s="1464"/>
      <c r="V46" s="1464"/>
      <c r="W46" s="925"/>
      <c r="X46" s="925"/>
      <c r="Y46" s="1479"/>
      <c r="Z46" s="1479"/>
      <c r="AA46" s="923"/>
      <c r="AB46" s="923"/>
      <c r="AC46" s="925"/>
      <c r="AD46" s="925"/>
      <c r="AE46" s="925"/>
      <c r="AF46" s="925"/>
      <c r="AG46" s="925"/>
    </row>
    <row r="47" spans="1:33">
      <c r="A47" s="1497" t="s">
        <v>670</v>
      </c>
      <c r="B47" s="1498">
        <f>SUM(B46,E46:F46)-D47</f>
        <v>-318188</v>
      </c>
      <c r="C47" s="1498"/>
      <c r="D47" s="1498">
        <f>-MIN(G47,0)</f>
        <v>0</v>
      </c>
      <c r="E47" s="1498">
        <f>MAX(G47,0)</f>
        <v>26275</v>
      </c>
      <c r="F47" s="1498"/>
      <c r="G47" s="1500">
        <f>-P48</f>
        <v>26275</v>
      </c>
      <c r="H47" s="1478"/>
      <c r="I47" s="1546"/>
      <c r="J47" s="1545"/>
      <c r="L47" s="1632" t="s">
        <v>908</v>
      </c>
      <c r="M47" s="1632" t="s">
        <v>1025</v>
      </c>
      <c r="N47" s="1635">
        <v>5121534</v>
      </c>
      <c r="O47" s="1635">
        <v>5697766</v>
      </c>
      <c r="P47" s="1635">
        <v>576231</v>
      </c>
      <c r="Q47" s="675"/>
      <c r="R47" s="923"/>
      <c r="S47" s="923"/>
      <c r="T47" s="1464"/>
      <c r="U47" s="1464"/>
      <c r="V47" s="1464"/>
      <c r="W47" s="925"/>
      <c r="X47" s="925"/>
      <c r="Y47" s="1479"/>
      <c r="Z47" s="1479"/>
      <c r="AA47" s="923"/>
      <c r="AB47" s="923"/>
      <c r="AC47" s="925"/>
      <c r="AD47" s="925"/>
      <c r="AE47" s="925"/>
      <c r="AF47" s="925"/>
      <c r="AG47" s="925"/>
    </row>
    <row r="48" spans="1:33">
      <c r="A48" s="1501" t="s">
        <v>35</v>
      </c>
      <c r="B48" s="1498">
        <f>SUM(B47,E47:F47)-D48</f>
        <v>-291913</v>
      </c>
      <c r="C48" s="1498"/>
      <c r="D48" s="1498">
        <f>-MIN(G48,0)</f>
        <v>0</v>
      </c>
      <c r="E48" s="1498">
        <f>MAX(G48,0)</f>
        <v>20776</v>
      </c>
      <c r="F48" s="1498"/>
      <c r="G48" s="1500">
        <f>-P49</f>
        <v>20776</v>
      </c>
      <c r="H48" s="1478"/>
      <c r="I48" s="1498"/>
      <c r="J48" s="1475"/>
      <c r="L48" s="1632" t="s">
        <v>908</v>
      </c>
      <c r="M48" s="1632" t="s">
        <v>543</v>
      </c>
      <c r="N48" s="1793">
        <v>26275</v>
      </c>
      <c r="O48" s="1635">
        <v>0</v>
      </c>
      <c r="P48" s="1634">
        <v>-26275</v>
      </c>
      <c r="Q48" s="675"/>
      <c r="R48" s="923"/>
      <c r="S48" s="923"/>
      <c r="T48" s="1464"/>
      <c r="U48" s="1464"/>
      <c r="V48" s="1464"/>
      <c r="W48" s="1465"/>
      <c r="X48" s="925"/>
      <c r="Y48" s="1479"/>
      <c r="Z48" s="1479"/>
      <c r="AA48" s="923"/>
      <c r="AB48" s="923"/>
      <c r="AC48" s="924"/>
      <c r="AD48" s="926"/>
      <c r="AE48" s="925"/>
      <c r="AF48" s="1465"/>
      <c r="AG48" s="925"/>
    </row>
    <row r="49" spans="1:33">
      <c r="A49" s="1501" t="s">
        <v>722</v>
      </c>
      <c r="B49" s="1475"/>
      <c r="C49" s="1499">
        <f>SUM(B48,E48:F48)-D49</f>
        <v>-271137</v>
      </c>
      <c r="D49" s="1498"/>
      <c r="E49" s="1498"/>
      <c r="F49" s="1498"/>
      <c r="G49" s="1490"/>
      <c r="H49" s="1478"/>
      <c r="I49" s="1478"/>
      <c r="L49" s="1632" t="s">
        <v>908</v>
      </c>
      <c r="M49" s="1632" t="s">
        <v>1026</v>
      </c>
      <c r="N49" s="1635">
        <v>1486933</v>
      </c>
      <c r="O49" s="1635">
        <v>1466157</v>
      </c>
      <c r="P49" s="1634">
        <v>-20776</v>
      </c>
      <c r="Q49" s="675"/>
      <c r="R49" s="923"/>
      <c r="S49" s="923"/>
      <c r="T49" s="1464"/>
      <c r="U49" s="1464"/>
      <c r="V49" s="1464"/>
      <c r="W49" s="925"/>
      <c r="X49" s="924"/>
      <c r="Y49" s="1479"/>
      <c r="Z49" s="1479"/>
      <c r="AA49" s="923"/>
      <c r="AB49" s="923"/>
      <c r="AC49" s="925"/>
      <c r="AD49" s="925"/>
      <c r="AE49" s="924"/>
      <c r="AF49" s="925"/>
      <c r="AG49" s="924"/>
    </row>
    <row r="50" spans="1:33">
      <c r="A50" s="1503"/>
      <c r="B50" s="1504"/>
      <c r="C50" s="1504"/>
      <c r="D50" s="1504"/>
      <c r="E50" s="1504"/>
      <c r="F50" s="1504"/>
      <c r="G50" s="1505"/>
      <c r="H50" s="1477"/>
      <c r="I50" s="1478"/>
      <c r="L50" s="1632" t="s">
        <v>908</v>
      </c>
      <c r="M50" s="1632" t="s">
        <v>1027</v>
      </c>
      <c r="N50" s="1635">
        <v>0</v>
      </c>
      <c r="O50" s="1635">
        <v>0</v>
      </c>
      <c r="P50" s="1635">
        <v>0</v>
      </c>
      <c r="Q50" s="675"/>
      <c r="R50" s="923"/>
      <c r="S50" s="923"/>
      <c r="T50" s="1464"/>
      <c r="U50" s="1464"/>
      <c r="V50" s="1464"/>
      <c r="W50" s="1466"/>
      <c r="X50" s="925"/>
      <c r="Y50" s="1479"/>
      <c r="Z50" s="1479"/>
      <c r="AA50" s="923"/>
      <c r="AB50" s="923"/>
      <c r="AC50" s="924"/>
      <c r="AD50" s="925"/>
      <c r="AE50" s="925"/>
      <c r="AF50" s="1466"/>
      <c r="AG50" s="925"/>
    </row>
    <row r="51" spans="1:33" ht="26.4">
      <c r="A51" s="1543" t="s">
        <v>671</v>
      </c>
      <c r="B51" s="1544"/>
      <c r="C51" s="1544">
        <f>SUM(G43:G48)-C49</f>
        <v>0</v>
      </c>
      <c r="D51" s="1542" t="str">
        <f>IF(C51=0,"OK","NOT OK")</f>
        <v>OK</v>
      </c>
      <c r="E51" s="1506"/>
      <c r="F51" s="1506"/>
      <c r="G51" s="1507"/>
      <c r="H51" s="1477"/>
      <c r="I51" s="1478"/>
      <c r="L51" s="1632" t="s">
        <v>908</v>
      </c>
      <c r="M51" s="1632" t="s">
        <v>1028</v>
      </c>
      <c r="N51" s="1635">
        <v>0</v>
      </c>
      <c r="O51" s="1635">
        <v>0</v>
      </c>
      <c r="P51" s="1635">
        <v>0</v>
      </c>
      <c r="Q51" s="675"/>
      <c r="R51" s="923"/>
      <c r="S51" s="923"/>
      <c r="T51" s="1464"/>
      <c r="U51" s="1464"/>
      <c r="V51" s="1464"/>
      <c r="W51" s="925"/>
      <c r="X51" s="925"/>
      <c r="Y51" s="1479"/>
      <c r="Z51" s="1479"/>
      <c r="AA51" s="923"/>
      <c r="AB51" s="923"/>
      <c r="AC51" s="925"/>
      <c r="AD51" s="925"/>
      <c r="AE51" s="925"/>
      <c r="AF51" s="925"/>
      <c r="AG51" s="925"/>
    </row>
    <row r="52" spans="1:33" ht="26.4">
      <c r="A52" s="1476"/>
      <c r="B52" s="1477"/>
      <c r="C52" s="1477"/>
      <c r="D52" s="1477"/>
      <c r="E52" s="1477"/>
      <c r="F52" s="1477"/>
      <c r="G52" s="1477"/>
      <c r="H52" s="1477"/>
      <c r="I52" s="1478"/>
      <c r="L52" s="1632" t="s">
        <v>908</v>
      </c>
      <c r="M52" s="1632" t="s">
        <v>1029</v>
      </c>
      <c r="N52" s="1635">
        <v>26275</v>
      </c>
      <c r="O52" s="1635">
        <v>0</v>
      </c>
      <c r="P52" s="1634">
        <v>-26275</v>
      </c>
      <c r="Q52" s="675"/>
      <c r="R52" s="923"/>
      <c r="S52" s="923"/>
      <c r="T52" s="1464"/>
      <c r="U52" s="1464"/>
      <c r="V52" s="1464"/>
      <c r="W52" s="1466"/>
      <c r="X52" s="925"/>
      <c r="Y52" s="1479"/>
      <c r="Z52" s="1479"/>
      <c r="AA52" s="923"/>
      <c r="AB52" s="923"/>
      <c r="AC52" s="924"/>
      <c r="AD52" s="925"/>
      <c r="AE52" s="925"/>
      <c r="AF52" s="1466"/>
      <c r="AG52" s="925"/>
    </row>
    <row r="53" spans="1:33">
      <c r="A53" s="1480"/>
      <c r="B53" s="1478"/>
      <c r="C53" s="1478"/>
      <c r="D53" s="1478"/>
      <c r="E53" s="1478"/>
      <c r="F53" s="1478"/>
      <c r="G53" s="1478"/>
      <c r="H53" s="1477"/>
      <c r="I53" s="1478"/>
      <c r="L53" s="1632" t="s">
        <v>908</v>
      </c>
      <c r="M53" s="1632" t="s">
        <v>544</v>
      </c>
      <c r="N53" s="1793">
        <v>0</v>
      </c>
      <c r="O53" s="1635">
        <v>0</v>
      </c>
      <c r="P53" s="1635">
        <v>0</v>
      </c>
      <c r="Q53" s="675"/>
      <c r="R53" s="923"/>
      <c r="S53" s="923"/>
      <c r="T53" s="1464"/>
      <c r="U53" s="1464"/>
      <c r="V53" s="1464"/>
      <c r="W53" s="1465"/>
      <c r="X53" s="1466"/>
      <c r="Y53" s="1479"/>
      <c r="Z53" s="1479"/>
      <c r="AA53" s="923"/>
      <c r="AB53" s="923"/>
      <c r="AC53" s="926"/>
      <c r="AD53" s="926"/>
      <c r="AE53" s="925"/>
      <c r="AF53" s="1465"/>
      <c r="AG53" s="1466"/>
    </row>
    <row r="54" spans="1:33">
      <c r="A54" s="1508" t="s">
        <v>1007</v>
      </c>
      <c r="B54" s="1509"/>
      <c r="C54" s="1509"/>
      <c r="D54" s="1509"/>
      <c r="E54" s="1509"/>
      <c r="F54" s="1509"/>
      <c r="G54" s="1510"/>
      <c r="H54" s="1477"/>
      <c r="I54" s="1478"/>
      <c r="L54" s="1632" t="s">
        <v>909</v>
      </c>
      <c r="M54" s="1632" t="s">
        <v>631</v>
      </c>
      <c r="N54" s="1636">
        <v>-743922</v>
      </c>
      <c r="O54" s="1636">
        <v>-24425</v>
      </c>
      <c r="P54" s="1637">
        <v>719498</v>
      </c>
      <c r="Q54" s="675"/>
      <c r="R54" s="923"/>
      <c r="S54" s="923"/>
      <c r="T54" s="1464"/>
      <c r="U54" s="1464"/>
      <c r="V54" s="1464"/>
      <c r="W54" s="924"/>
      <c r="X54" s="925"/>
      <c r="Y54" s="1479"/>
      <c r="Z54" s="1479"/>
      <c r="AA54" s="923"/>
      <c r="AB54" s="923"/>
      <c r="AC54" s="924"/>
      <c r="AD54" s="924"/>
      <c r="AE54" s="925"/>
      <c r="AF54" s="924"/>
      <c r="AG54" s="925"/>
    </row>
    <row r="55" spans="1:33">
      <c r="A55" s="1511"/>
      <c r="B55" s="1498"/>
      <c r="C55" s="1498"/>
      <c r="D55" s="1498"/>
      <c r="E55" s="1498"/>
      <c r="F55" s="1498"/>
      <c r="G55" s="1512"/>
      <c r="H55" s="1478"/>
      <c r="I55" s="1478"/>
      <c r="L55" s="1632" t="s">
        <v>909</v>
      </c>
      <c r="M55" s="1632" t="s">
        <v>1023</v>
      </c>
      <c r="N55" s="1636">
        <v>-16079204</v>
      </c>
      <c r="O55" s="1636">
        <v>-15803623</v>
      </c>
      <c r="P55" s="1637">
        <v>275581</v>
      </c>
      <c r="Q55" s="675"/>
      <c r="R55" s="923"/>
      <c r="S55" s="923"/>
      <c r="T55" s="1464"/>
      <c r="U55" s="1464"/>
      <c r="V55" s="1464"/>
      <c r="W55" s="924"/>
      <c r="X55" s="925"/>
      <c r="Y55" s="1479"/>
      <c r="Z55" s="1479"/>
      <c r="AA55" s="923"/>
      <c r="AB55" s="923"/>
      <c r="AC55" s="924"/>
      <c r="AD55" s="924"/>
      <c r="AE55" s="925"/>
      <c r="AF55" s="924"/>
      <c r="AG55" s="925"/>
    </row>
    <row r="56" spans="1:33">
      <c r="A56" s="1491"/>
      <c r="B56" s="1492" t="s">
        <v>664</v>
      </c>
      <c r="C56" s="1492" t="s">
        <v>665</v>
      </c>
      <c r="D56" s="1492" t="s">
        <v>666</v>
      </c>
      <c r="E56" s="1492" t="s">
        <v>667</v>
      </c>
      <c r="F56" s="1492" t="s">
        <v>668</v>
      </c>
      <c r="G56" s="1493" t="s">
        <v>669</v>
      </c>
      <c r="H56" s="1478"/>
      <c r="I56" s="1478"/>
      <c r="L56" s="1632" t="s">
        <v>909</v>
      </c>
      <c r="M56" s="1632" t="s">
        <v>1024</v>
      </c>
      <c r="N56" s="1637">
        <v>11117569</v>
      </c>
      <c r="O56" s="1637">
        <v>11262911</v>
      </c>
      <c r="P56" s="1637">
        <v>145343</v>
      </c>
      <c r="Q56" s="675"/>
      <c r="R56" s="923"/>
      <c r="S56" s="923"/>
      <c r="T56" s="1464"/>
      <c r="U56" s="1464"/>
      <c r="V56" s="1464"/>
      <c r="W56" s="925"/>
      <c r="X56" s="925"/>
      <c r="Y56" s="1479"/>
      <c r="Z56" s="1479"/>
      <c r="AA56" s="923"/>
      <c r="AB56" s="923"/>
      <c r="AC56" s="925"/>
      <c r="AD56" s="925"/>
      <c r="AE56" s="925"/>
      <c r="AF56" s="925"/>
      <c r="AG56" s="925"/>
    </row>
    <row r="57" spans="1:33">
      <c r="A57" s="1494"/>
      <c r="B57" s="1475"/>
      <c r="C57" s="1475"/>
      <c r="D57" s="1495"/>
      <c r="E57" s="1495"/>
      <c r="F57" s="1475"/>
      <c r="G57" s="1496"/>
      <c r="H57" s="1478"/>
      <c r="I57" s="1478"/>
      <c r="L57" s="1632" t="s">
        <v>909</v>
      </c>
      <c r="M57" s="1632" t="s">
        <v>1025</v>
      </c>
      <c r="N57" s="1637">
        <v>2494588</v>
      </c>
      <c r="O57" s="1637">
        <v>2630252</v>
      </c>
      <c r="P57" s="1637">
        <v>135664</v>
      </c>
      <c r="Q57" s="675"/>
      <c r="R57" s="923"/>
      <c r="S57" s="923"/>
      <c r="T57" s="1464"/>
      <c r="U57" s="1464"/>
      <c r="V57" s="1464"/>
      <c r="W57" s="925"/>
      <c r="X57" s="925"/>
      <c r="Y57" s="1479"/>
      <c r="Z57" s="1479"/>
      <c r="AA57" s="923"/>
      <c r="AB57" s="923"/>
      <c r="AC57" s="925"/>
      <c r="AD57" s="925"/>
      <c r="AE57" s="925"/>
      <c r="AF57" s="925"/>
      <c r="AG57" s="925"/>
    </row>
    <row r="58" spans="1:33">
      <c r="A58" s="1497" t="s">
        <v>721</v>
      </c>
      <c r="B58" s="1498"/>
      <c r="C58" s="1498"/>
      <c r="D58" s="1498"/>
      <c r="E58" s="1498"/>
      <c r="F58" s="1499">
        <f>G58</f>
        <v>743922</v>
      </c>
      <c r="G58" s="1500">
        <f>-N54</f>
        <v>743922</v>
      </c>
      <c r="H58" s="1478"/>
      <c r="I58" s="1478"/>
      <c r="L58" s="1632" t="s">
        <v>909</v>
      </c>
      <c r="M58" s="1632" t="s">
        <v>543</v>
      </c>
      <c r="N58" s="1794">
        <v>0</v>
      </c>
      <c r="O58" s="1637">
        <v>0</v>
      </c>
      <c r="P58" s="1637">
        <v>0</v>
      </c>
      <c r="Q58" s="675"/>
      <c r="R58" s="923"/>
      <c r="S58" s="923"/>
      <c r="T58" s="1464"/>
      <c r="U58" s="1464"/>
      <c r="V58" s="1464"/>
      <c r="W58" s="1465"/>
      <c r="X58" s="925"/>
      <c r="Y58" s="1479"/>
      <c r="Z58" s="1479"/>
      <c r="AA58" s="923"/>
      <c r="AB58" s="923"/>
      <c r="AC58" s="924"/>
      <c r="AD58" s="926"/>
      <c r="AE58" s="925"/>
      <c r="AF58" s="1465"/>
      <c r="AG58" s="925"/>
    </row>
    <row r="59" spans="1:33">
      <c r="A59" s="1501" t="s">
        <v>862</v>
      </c>
      <c r="B59" s="1498">
        <f>SUM(B58,E58:F58)-D59</f>
        <v>468341</v>
      </c>
      <c r="C59" s="1498"/>
      <c r="D59" s="1498">
        <f>-MIN(G59,0)</f>
        <v>275581</v>
      </c>
      <c r="E59" s="1498">
        <f>MAX(G59,0)</f>
        <v>0</v>
      </c>
      <c r="F59" s="1498"/>
      <c r="G59" s="1500">
        <f>-P55</f>
        <v>-275581</v>
      </c>
      <c r="H59" s="1478"/>
      <c r="I59" s="1478"/>
      <c r="L59" s="1632" t="s">
        <v>909</v>
      </c>
      <c r="M59" s="1632" t="s">
        <v>1026</v>
      </c>
      <c r="N59" s="1637">
        <v>1723125</v>
      </c>
      <c r="O59" s="1637">
        <v>1886035</v>
      </c>
      <c r="P59" s="1637">
        <v>162910</v>
      </c>
      <c r="Q59" s="675"/>
      <c r="R59" s="923"/>
      <c r="S59" s="923"/>
      <c r="T59" s="1464"/>
      <c r="U59" s="1464"/>
      <c r="V59" s="1464"/>
      <c r="W59" s="925"/>
      <c r="X59" s="925"/>
      <c r="Y59" s="1479"/>
      <c r="Z59" s="1479"/>
      <c r="AA59" s="923"/>
      <c r="AB59" s="923"/>
      <c r="AC59" s="925"/>
      <c r="AD59" s="925"/>
      <c r="AE59" s="925"/>
      <c r="AF59" s="925"/>
      <c r="AG59" s="925"/>
    </row>
    <row r="60" spans="1:33">
      <c r="A60" s="1497" t="s">
        <v>863</v>
      </c>
      <c r="B60" s="1498">
        <f>SUM(B59,E59:F59)-D60</f>
        <v>322998</v>
      </c>
      <c r="C60" s="1498"/>
      <c r="D60" s="1498">
        <f>-MIN(G60,0)</f>
        <v>145343</v>
      </c>
      <c r="E60" s="1498">
        <f>MAX(G60,0)</f>
        <v>0</v>
      </c>
      <c r="F60" s="1498"/>
      <c r="G60" s="1500">
        <f>-P56-G62</f>
        <v>-145343</v>
      </c>
      <c r="H60" s="1478"/>
      <c r="I60" s="1478"/>
      <c r="L60" s="1632" t="s">
        <v>909</v>
      </c>
      <c r="M60" s="1632" t="s">
        <v>1027</v>
      </c>
      <c r="N60" s="1637">
        <v>0</v>
      </c>
      <c r="O60" s="1637">
        <v>0</v>
      </c>
      <c r="P60" s="1637">
        <v>0</v>
      </c>
      <c r="Q60" s="675"/>
      <c r="R60" s="923"/>
      <c r="S60" s="923"/>
      <c r="T60" s="1464"/>
      <c r="U60" s="1464"/>
      <c r="V60" s="1464"/>
      <c r="W60" s="1466"/>
      <c r="X60" s="925"/>
      <c r="Y60" s="1479"/>
      <c r="Z60" s="1479"/>
      <c r="AA60" s="923"/>
      <c r="AB60" s="923"/>
      <c r="AC60" s="924"/>
      <c r="AD60" s="925"/>
      <c r="AE60" s="925"/>
      <c r="AF60" s="1466"/>
      <c r="AG60" s="925"/>
    </row>
    <row r="61" spans="1:33" ht="26.4">
      <c r="A61" s="1497" t="s">
        <v>864</v>
      </c>
      <c r="B61" s="1498">
        <f>SUM(B60,E60:F60)-D61</f>
        <v>187334</v>
      </c>
      <c r="C61" s="1498"/>
      <c r="D61" s="1498">
        <f>-MIN(G61,0)</f>
        <v>135664</v>
      </c>
      <c r="E61" s="1498">
        <f>MAX(G61,0)</f>
        <v>0</v>
      </c>
      <c r="F61" s="1498"/>
      <c r="G61" s="1500">
        <f>-P57</f>
        <v>-135664</v>
      </c>
      <c r="H61" s="1478"/>
      <c r="I61" s="1478"/>
      <c r="L61" s="1632" t="s">
        <v>909</v>
      </c>
      <c r="M61" s="1632" t="s">
        <v>1028</v>
      </c>
      <c r="N61" s="1637">
        <v>0</v>
      </c>
      <c r="O61" s="1637">
        <v>0</v>
      </c>
      <c r="P61" s="1637">
        <v>0</v>
      </c>
      <c r="Q61" s="675"/>
      <c r="R61" s="923"/>
      <c r="S61" s="923"/>
      <c r="T61" s="1464"/>
      <c r="U61" s="1464"/>
      <c r="V61" s="1464"/>
      <c r="W61" s="1466"/>
      <c r="X61" s="925"/>
      <c r="Y61" s="1479"/>
      <c r="Z61" s="1479"/>
      <c r="AA61" s="923"/>
      <c r="AB61" s="923"/>
      <c r="AC61" s="924"/>
      <c r="AD61" s="925"/>
      <c r="AE61" s="925"/>
      <c r="AF61" s="1466"/>
      <c r="AG61" s="925"/>
    </row>
    <row r="62" spans="1:33" ht="26.4">
      <c r="A62" s="1497" t="s">
        <v>360</v>
      </c>
      <c r="B62" s="1498">
        <f>SUM(B61,E61:F61)-D62</f>
        <v>187334</v>
      </c>
      <c r="C62" s="1498"/>
      <c r="D62" s="1498">
        <f>-MIN(G62,0)</f>
        <v>0</v>
      </c>
      <c r="E62" s="1498">
        <f>MAX(G62,0)</f>
        <v>0</v>
      </c>
      <c r="F62" s="1498"/>
      <c r="G62" s="1500">
        <f>-P58</f>
        <v>0</v>
      </c>
      <c r="H62" s="1478"/>
      <c r="I62" s="1478"/>
      <c r="L62" s="1632" t="s">
        <v>909</v>
      </c>
      <c r="M62" s="1632" t="s">
        <v>1029</v>
      </c>
      <c r="N62" s="1637">
        <v>0</v>
      </c>
      <c r="O62" s="1637">
        <v>0</v>
      </c>
      <c r="P62" s="1637">
        <v>0</v>
      </c>
      <c r="Q62" s="675"/>
      <c r="R62" s="923"/>
      <c r="S62" s="923"/>
      <c r="T62" s="1464"/>
      <c r="U62" s="1464"/>
      <c r="V62" s="1464"/>
      <c r="W62" s="1466"/>
      <c r="X62" s="925"/>
      <c r="Y62" s="1479"/>
      <c r="Z62" s="1479"/>
      <c r="AA62" s="923"/>
      <c r="AB62" s="923"/>
      <c r="AC62" s="924"/>
      <c r="AD62" s="925"/>
      <c r="AE62" s="925"/>
      <c r="AF62" s="1466"/>
      <c r="AG62" s="925"/>
    </row>
    <row r="63" spans="1:33">
      <c r="A63" s="1501" t="s">
        <v>35</v>
      </c>
      <c r="B63" s="1498">
        <f>SUM(B62,E62:F62)-D63</f>
        <v>24424</v>
      </c>
      <c r="C63" s="1498"/>
      <c r="D63" s="1498">
        <f>-MIN(G63,0)</f>
        <v>162910</v>
      </c>
      <c r="E63" s="1498">
        <f>MAX(G63,0)</f>
        <v>0</v>
      </c>
      <c r="F63" s="1498"/>
      <c r="G63" s="1500">
        <f>-P59</f>
        <v>-162910</v>
      </c>
      <c r="H63" s="1478"/>
      <c r="I63" s="1478"/>
      <c r="L63" s="1632" t="s">
        <v>909</v>
      </c>
      <c r="M63" s="1632" t="s">
        <v>544</v>
      </c>
      <c r="N63" s="1794">
        <v>0</v>
      </c>
      <c r="O63" s="1637">
        <v>0</v>
      </c>
      <c r="P63" s="1637">
        <v>0</v>
      </c>
      <c r="Q63" s="675"/>
      <c r="R63" s="923"/>
      <c r="S63" s="923"/>
      <c r="T63" s="1464"/>
      <c r="U63" s="1464"/>
      <c r="V63" s="1464"/>
      <c r="W63" s="1465"/>
      <c r="X63" s="1466"/>
      <c r="Y63" s="1479"/>
      <c r="Z63" s="1479"/>
      <c r="AA63" s="923"/>
      <c r="AB63" s="923"/>
      <c r="AC63" s="926"/>
      <c r="AD63" s="926"/>
      <c r="AE63" s="925"/>
      <c r="AF63" s="1465"/>
      <c r="AG63" s="1466"/>
    </row>
    <row r="64" spans="1:33">
      <c r="A64" s="1501" t="s">
        <v>722</v>
      </c>
      <c r="B64" s="1498"/>
      <c r="C64" s="1499">
        <f>B63</f>
        <v>24424</v>
      </c>
      <c r="D64" s="1498"/>
      <c r="E64" s="1498"/>
      <c r="F64" s="1498"/>
      <c r="G64" s="1490"/>
      <c r="H64" s="244"/>
      <c r="L64" s="1632" t="s">
        <v>910</v>
      </c>
      <c r="M64" s="1632" t="s">
        <v>631</v>
      </c>
      <c r="N64" s="1634">
        <v>-6783459</v>
      </c>
      <c r="O64" s="1634">
        <v>-5011824</v>
      </c>
      <c r="P64" s="1635">
        <v>1771635</v>
      </c>
      <c r="Q64" s="675"/>
      <c r="R64" s="923"/>
      <c r="S64" s="923"/>
      <c r="T64" s="1464"/>
      <c r="U64" s="1464"/>
      <c r="V64" s="1464"/>
      <c r="W64" s="924"/>
      <c r="X64" s="925"/>
      <c r="Y64" s="1479"/>
      <c r="Z64" s="1479"/>
      <c r="AA64" s="923"/>
      <c r="AB64" s="923"/>
      <c r="AC64" s="924"/>
      <c r="AD64" s="924"/>
      <c r="AE64" s="925"/>
      <c r="AF64" s="924"/>
      <c r="AG64" s="925"/>
    </row>
    <row r="65" spans="1:33">
      <c r="A65" s="1502"/>
      <c r="B65" s="1489"/>
      <c r="C65" s="1489"/>
      <c r="D65" s="1489"/>
      <c r="E65" s="1489"/>
      <c r="F65" s="1489"/>
      <c r="G65" s="1490"/>
      <c r="L65" s="1632" t="s">
        <v>910</v>
      </c>
      <c r="M65" s="1632" t="s">
        <v>1023</v>
      </c>
      <c r="N65" s="1634">
        <v>-23470200</v>
      </c>
      <c r="O65" s="1634">
        <v>-21672591</v>
      </c>
      <c r="P65" s="1635">
        <v>1797609</v>
      </c>
      <c r="Q65" s="675"/>
      <c r="R65" s="923"/>
      <c r="S65" s="923"/>
      <c r="T65" s="1464"/>
      <c r="U65" s="1464"/>
      <c r="V65" s="1464"/>
      <c r="W65" s="924"/>
      <c r="X65" s="924"/>
      <c r="Y65" s="1479"/>
      <c r="Z65" s="1479"/>
      <c r="AA65" s="923"/>
      <c r="AB65" s="923"/>
      <c r="AC65" s="924"/>
      <c r="AD65" s="924"/>
      <c r="AE65" s="924"/>
      <c r="AF65" s="924"/>
      <c r="AG65" s="924"/>
    </row>
    <row r="66" spans="1:33">
      <c r="A66" s="1543" t="s">
        <v>671</v>
      </c>
      <c r="B66" s="1544"/>
      <c r="C66" s="1544">
        <f>SUM(G58:G63)-C64</f>
        <v>0</v>
      </c>
      <c r="D66" s="1542" t="str">
        <f>IF(C66=0,"OK","NOT OK")</f>
        <v>OK</v>
      </c>
      <c r="E66" s="1506"/>
      <c r="F66" s="1506"/>
      <c r="G66" s="1507"/>
      <c r="H66" s="1478"/>
      <c r="I66" s="1478"/>
      <c r="L66" s="1632" t="s">
        <v>910</v>
      </c>
      <c r="M66" s="1632" t="s">
        <v>1024</v>
      </c>
      <c r="N66" s="1635">
        <v>10960220</v>
      </c>
      <c r="O66" s="1635">
        <v>10761631</v>
      </c>
      <c r="P66" s="1634">
        <v>-198589</v>
      </c>
      <c r="Q66" s="675"/>
      <c r="R66" s="923"/>
      <c r="S66" s="923"/>
      <c r="T66" s="1464"/>
      <c r="U66" s="1464"/>
      <c r="V66" s="1464"/>
      <c r="W66" s="925"/>
      <c r="X66" s="925"/>
      <c r="Y66" s="1479"/>
      <c r="Z66" s="1479"/>
      <c r="AA66" s="923"/>
      <c r="AB66" s="923"/>
      <c r="AC66" s="925"/>
      <c r="AD66" s="925"/>
      <c r="AE66" s="925"/>
      <c r="AF66" s="925"/>
      <c r="AG66" s="925"/>
    </row>
    <row r="67" spans="1:33">
      <c r="A67" s="1476"/>
      <c r="B67" s="1477"/>
      <c r="C67" s="1477"/>
      <c r="D67" s="1477"/>
      <c r="E67" s="1477"/>
      <c r="F67" s="1477"/>
      <c r="G67" s="1477"/>
      <c r="H67" s="1478"/>
      <c r="I67" s="1478"/>
      <c r="L67" s="1632" t="s">
        <v>910</v>
      </c>
      <c r="M67" s="1632" t="s">
        <v>1025</v>
      </c>
      <c r="N67" s="1635">
        <v>9925279</v>
      </c>
      <c r="O67" s="1635">
        <v>10273497</v>
      </c>
      <c r="P67" s="1635">
        <v>348218</v>
      </c>
      <c r="Q67" s="675"/>
      <c r="R67" s="923"/>
      <c r="S67" s="923"/>
      <c r="T67" s="1464"/>
      <c r="U67" s="1464"/>
      <c r="V67" s="1464"/>
      <c r="W67" s="925"/>
      <c r="X67" s="925"/>
      <c r="Y67" s="1479"/>
      <c r="Z67" s="1479"/>
      <c r="AA67" s="923"/>
      <c r="AB67" s="923"/>
      <c r="AC67" s="925"/>
      <c r="AD67" s="925"/>
      <c r="AE67" s="925"/>
      <c r="AF67" s="925"/>
      <c r="AG67" s="925"/>
    </row>
    <row r="68" spans="1:33">
      <c r="A68" s="1480"/>
      <c r="B68" s="1478"/>
      <c r="C68" s="1478"/>
      <c r="D68" s="1478"/>
      <c r="E68" s="1478"/>
      <c r="F68" s="1478"/>
      <c r="G68" s="1478"/>
      <c r="H68" s="1478"/>
      <c r="I68" s="1478"/>
      <c r="L68" s="1632" t="s">
        <v>910</v>
      </c>
      <c r="M68" s="1632" t="s">
        <v>543</v>
      </c>
      <c r="N68" s="1793">
        <v>0</v>
      </c>
      <c r="O68" s="1635">
        <v>0</v>
      </c>
      <c r="P68" s="1635">
        <v>0</v>
      </c>
      <c r="Q68" s="675"/>
      <c r="R68" s="923"/>
      <c r="S68" s="923"/>
      <c r="T68" s="1464"/>
      <c r="U68" s="1464"/>
      <c r="V68" s="1464"/>
      <c r="W68" s="1465"/>
      <c r="X68" s="1466"/>
      <c r="Y68" s="1479"/>
      <c r="Z68" s="1479"/>
      <c r="AA68" s="923"/>
      <c r="AB68" s="923"/>
      <c r="AC68" s="926"/>
      <c r="AD68" s="926"/>
      <c r="AE68" s="925"/>
      <c r="AF68" s="1465"/>
      <c r="AG68" s="1466"/>
    </row>
    <row r="69" spans="1:33">
      <c r="A69" s="1508" t="s">
        <v>1008</v>
      </c>
      <c r="B69" s="1509"/>
      <c r="C69" s="1509"/>
      <c r="D69" s="1509"/>
      <c r="E69" s="1509"/>
      <c r="F69" s="1509"/>
      <c r="G69" s="1510"/>
      <c r="H69" s="1478"/>
      <c r="I69" s="1478"/>
      <c r="L69" s="1632" t="s">
        <v>910</v>
      </c>
      <c r="M69" s="1632" t="s">
        <v>1026</v>
      </c>
      <c r="N69" s="1634">
        <v>-4198758</v>
      </c>
      <c r="O69" s="1634">
        <v>-4374361</v>
      </c>
      <c r="P69" s="1634">
        <v>-175603</v>
      </c>
      <c r="Q69" s="675"/>
      <c r="R69" s="923"/>
      <c r="S69" s="923"/>
      <c r="T69" s="1464"/>
      <c r="U69" s="1464"/>
      <c r="V69" s="1464"/>
      <c r="W69" s="924"/>
      <c r="X69" s="924"/>
      <c r="Y69" s="1479"/>
      <c r="Z69" s="1479"/>
      <c r="AA69" s="923"/>
      <c r="AB69" s="923"/>
      <c r="AC69" s="924"/>
      <c r="AD69" s="924"/>
      <c r="AE69" s="924"/>
      <c r="AF69" s="924"/>
      <c r="AG69" s="924"/>
    </row>
    <row r="70" spans="1:33">
      <c r="A70" s="1511"/>
      <c r="B70" s="1498"/>
      <c r="C70" s="1498"/>
      <c r="D70" s="1498"/>
      <c r="E70" s="1498"/>
      <c r="F70" s="1498"/>
      <c r="G70" s="1512"/>
      <c r="H70" s="1478"/>
      <c r="I70" s="1478"/>
      <c r="L70" s="1632" t="s">
        <v>910</v>
      </c>
      <c r="M70" s="1632" t="s">
        <v>1027</v>
      </c>
      <c r="N70" s="1635">
        <v>0</v>
      </c>
      <c r="O70" s="1635">
        <v>0</v>
      </c>
      <c r="P70" s="1635">
        <v>0</v>
      </c>
      <c r="Q70" s="675"/>
      <c r="R70" s="923"/>
      <c r="S70" s="923"/>
      <c r="T70" s="1464"/>
      <c r="U70" s="1464"/>
      <c r="V70" s="1464"/>
      <c r="W70" s="1466"/>
      <c r="X70" s="925"/>
      <c r="Y70" s="1479"/>
      <c r="Z70" s="1479"/>
      <c r="AA70" s="923"/>
      <c r="AB70" s="923"/>
      <c r="AC70" s="924"/>
      <c r="AD70" s="925"/>
      <c r="AE70" s="925"/>
      <c r="AF70" s="1466"/>
      <c r="AG70" s="925"/>
    </row>
    <row r="71" spans="1:33" ht="26.4">
      <c r="A71" s="1491"/>
      <c r="B71" s="1492" t="s">
        <v>664</v>
      </c>
      <c r="C71" s="1492" t="s">
        <v>665</v>
      </c>
      <c r="D71" s="1492" t="s">
        <v>666</v>
      </c>
      <c r="E71" s="1492" t="s">
        <v>667</v>
      </c>
      <c r="F71" s="1492" t="s">
        <v>668</v>
      </c>
      <c r="G71" s="1493" t="s">
        <v>669</v>
      </c>
      <c r="H71" s="1478"/>
      <c r="I71" s="1478"/>
      <c r="L71" s="1632" t="s">
        <v>910</v>
      </c>
      <c r="M71" s="1632" t="s">
        <v>1028</v>
      </c>
      <c r="N71" s="1635">
        <v>0</v>
      </c>
      <c r="O71" s="1635">
        <v>0</v>
      </c>
      <c r="P71" s="1635">
        <v>0</v>
      </c>
      <c r="Q71" s="675"/>
      <c r="R71" s="923"/>
      <c r="S71" s="923"/>
      <c r="T71" s="1464"/>
      <c r="U71" s="1464"/>
      <c r="V71" s="1464"/>
      <c r="W71" s="1466"/>
      <c r="X71" s="1466"/>
      <c r="Y71" s="1479"/>
      <c r="Z71" s="1479"/>
      <c r="AA71" s="923"/>
      <c r="AB71" s="923"/>
      <c r="AC71" s="925"/>
      <c r="AD71" s="925"/>
      <c r="AE71" s="925"/>
      <c r="AF71" s="1466"/>
      <c r="AG71" s="1466"/>
    </row>
    <row r="72" spans="1:33" ht="26.4">
      <c r="A72" s="1494"/>
      <c r="B72" s="1475"/>
      <c r="C72" s="1475"/>
      <c r="D72" s="1495"/>
      <c r="E72" s="1495"/>
      <c r="F72" s="1475"/>
      <c r="G72" s="1496"/>
      <c r="H72" s="1478"/>
      <c r="I72" s="1478"/>
      <c r="L72" s="1632" t="s">
        <v>910</v>
      </c>
      <c r="M72" s="1632" t="s">
        <v>1029</v>
      </c>
      <c r="N72" s="1635">
        <v>0</v>
      </c>
      <c r="O72" s="1635">
        <v>0</v>
      </c>
      <c r="P72" s="1635">
        <v>0</v>
      </c>
      <c r="Q72" s="675"/>
      <c r="R72" s="923"/>
      <c r="S72" s="923"/>
      <c r="T72" s="1464"/>
      <c r="U72" s="1464"/>
      <c r="V72" s="1464"/>
      <c r="W72" s="1466"/>
      <c r="X72" s="925"/>
      <c r="Y72" s="1479"/>
      <c r="Z72" s="1479"/>
      <c r="AA72" s="923"/>
      <c r="AB72" s="923"/>
      <c r="AC72" s="924"/>
      <c r="AD72" s="925"/>
      <c r="AE72" s="925"/>
      <c r="AF72" s="1466"/>
      <c r="AG72" s="925"/>
    </row>
    <row r="73" spans="1:33">
      <c r="A73" s="1497" t="s">
        <v>721</v>
      </c>
      <c r="B73" s="1498"/>
      <c r="C73" s="1498"/>
      <c r="D73" s="1498"/>
      <c r="E73" s="1498"/>
      <c r="F73" s="1499">
        <f>G73</f>
        <v>6783459</v>
      </c>
      <c r="G73" s="1500">
        <f>-N64</f>
        <v>6783459</v>
      </c>
      <c r="H73" s="1477"/>
      <c r="I73" s="1478"/>
      <c r="L73" s="1632" t="s">
        <v>910</v>
      </c>
      <c r="M73" s="1632" t="s">
        <v>544</v>
      </c>
      <c r="N73" s="1793">
        <v>0</v>
      </c>
      <c r="O73" s="1635">
        <v>0</v>
      </c>
      <c r="P73" s="1635">
        <v>0</v>
      </c>
      <c r="Q73" s="675"/>
      <c r="R73" s="923"/>
      <c r="S73" s="923"/>
      <c r="T73" s="1464"/>
      <c r="U73" s="1464"/>
      <c r="V73" s="1464"/>
      <c r="W73" s="1465"/>
      <c r="X73" s="1466"/>
      <c r="Y73" s="1479"/>
      <c r="Z73" s="1479"/>
      <c r="AA73" s="923"/>
      <c r="AB73" s="923"/>
      <c r="AC73" s="926"/>
      <c r="AD73" s="926"/>
      <c r="AE73" s="925"/>
      <c r="AF73" s="1465"/>
      <c r="AG73" s="1466"/>
    </row>
    <row r="74" spans="1:33" ht="26.4">
      <c r="A74" s="1501" t="s">
        <v>862</v>
      </c>
      <c r="B74" s="1498">
        <f>SUM(B73,E73:F73)-D74</f>
        <v>4985850</v>
      </c>
      <c r="C74" s="1498"/>
      <c r="D74" s="1498">
        <f>-MIN(G74,0)</f>
        <v>1797609</v>
      </c>
      <c r="E74" s="1498">
        <f>MAX(G74,0)</f>
        <v>0</v>
      </c>
      <c r="F74" s="1498"/>
      <c r="G74" s="1500">
        <f>-P65</f>
        <v>-1797609</v>
      </c>
      <c r="H74" s="1477"/>
      <c r="I74" s="1478"/>
      <c r="L74" s="1632" t="s">
        <v>1097</v>
      </c>
      <c r="M74" s="1632" t="s">
        <v>631</v>
      </c>
      <c r="N74" s="1636">
        <v>-4170611</v>
      </c>
      <c r="O74" s="1636">
        <v>-3463797</v>
      </c>
      <c r="P74" s="1637">
        <v>706814</v>
      </c>
      <c r="Q74" s="675"/>
      <c r="R74" s="923"/>
      <c r="S74" s="923"/>
      <c r="T74" s="1464"/>
      <c r="U74" s="1464"/>
      <c r="V74" s="1464"/>
      <c r="W74" s="924"/>
      <c r="X74" s="925"/>
      <c r="Y74" s="1479"/>
      <c r="Z74" s="1479"/>
      <c r="AA74" s="923"/>
      <c r="AB74" s="923"/>
      <c r="AC74" s="924"/>
      <c r="AD74" s="924"/>
      <c r="AE74" s="925"/>
      <c r="AF74" s="924"/>
      <c r="AG74" s="925"/>
    </row>
    <row r="75" spans="1:33" ht="26.4">
      <c r="A75" s="1497" t="s">
        <v>863</v>
      </c>
      <c r="B75" s="1498">
        <f>SUM(B74,E74:F74)-D75</f>
        <v>4985850</v>
      </c>
      <c r="C75" s="1498"/>
      <c r="D75" s="1498">
        <f>-MIN(G75,0)</f>
        <v>0</v>
      </c>
      <c r="E75" s="1498">
        <f>MAX(G75,0)</f>
        <v>198589</v>
      </c>
      <c r="F75" s="1498"/>
      <c r="G75" s="1500">
        <f>-P66</f>
        <v>198589</v>
      </c>
      <c r="H75" s="1477"/>
      <c r="I75" s="1478"/>
      <c r="L75" s="1632" t="s">
        <v>1097</v>
      </c>
      <c r="M75" s="1632" t="s">
        <v>1023</v>
      </c>
      <c r="N75" s="1636">
        <v>-11985846</v>
      </c>
      <c r="O75" s="1636">
        <v>-11696843</v>
      </c>
      <c r="P75" s="1637">
        <v>289003</v>
      </c>
      <c r="Q75" s="675"/>
      <c r="R75" s="923"/>
      <c r="S75" s="923"/>
      <c r="T75" s="1464"/>
      <c r="U75" s="1464"/>
      <c r="V75" s="1464"/>
      <c r="W75" s="924"/>
      <c r="X75" s="925"/>
      <c r="Y75" s="1479"/>
      <c r="Z75" s="1479"/>
      <c r="AA75" s="923"/>
      <c r="AB75" s="923"/>
      <c r="AC75" s="924"/>
      <c r="AD75" s="924"/>
      <c r="AE75" s="925"/>
      <c r="AF75" s="924"/>
      <c r="AG75" s="925"/>
    </row>
    <row r="76" spans="1:33" ht="26.4">
      <c r="A76" s="1497" t="s">
        <v>864</v>
      </c>
      <c r="B76" s="1498">
        <f>SUM(B75,E75:F75)-D76</f>
        <v>4836221</v>
      </c>
      <c r="C76" s="1498"/>
      <c r="D76" s="1498">
        <f>-MIN(G76,0)</f>
        <v>348218</v>
      </c>
      <c r="E76" s="1498">
        <f>MAX(G76,0)</f>
        <v>0</v>
      </c>
      <c r="F76" s="1498"/>
      <c r="G76" s="1500">
        <f>-P67-G77</f>
        <v>-348218</v>
      </c>
      <c r="H76" s="1477"/>
      <c r="I76" s="1478"/>
      <c r="L76" s="1632" t="s">
        <v>1097</v>
      </c>
      <c r="M76" s="1632" t="s">
        <v>1024</v>
      </c>
      <c r="N76" s="1637">
        <v>6312379</v>
      </c>
      <c r="O76" s="1637">
        <v>6535884</v>
      </c>
      <c r="P76" s="1637">
        <v>223505</v>
      </c>
      <c r="Q76" s="675"/>
      <c r="R76" s="923"/>
      <c r="S76" s="923"/>
      <c r="T76" s="1464"/>
      <c r="U76" s="1464"/>
      <c r="V76" s="1464"/>
      <c r="W76" s="925"/>
      <c r="X76" s="925"/>
      <c r="Y76" s="1479"/>
      <c r="Z76" s="1479"/>
      <c r="AA76" s="923"/>
      <c r="AB76" s="923"/>
      <c r="AC76" s="925"/>
      <c r="AD76" s="925"/>
      <c r="AE76" s="925"/>
      <c r="AF76" s="925"/>
      <c r="AG76" s="925"/>
    </row>
    <row r="77" spans="1:33" ht="26.4">
      <c r="A77" s="1497" t="s">
        <v>360</v>
      </c>
      <c r="B77" s="1498">
        <f>SUM(B76,E76:F76)-D77</f>
        <v>4836221</v>
      </c>
      <c r="C77" s="1498"/>
      <c r="D77" s="1498">
        <f>-MIN(G77,0)</f>
        <v>0</v>
      </c>
      <c r="E77" s="1498">
        <f>MAX(G77,0)</f>
        <v>0</v>
      </c>
      <c r="F77" s="1498"/>
      <c r="G77" s="1500">
        <f>-P68</f>
        <v>0</v>
      </c>
      <c r="H77" s="1477"/>
      <c r="I77" s="1478"/>
      <c r="L77" s="1632" t="s">
        <v>1097</v>
      </c>
      <c r="M77" s="1632" t="s">
        <v>1025</v>
      </c>
      <c r="N77" s="1637">
        <v>893777</v>
      </c>
      <c r="O77" s="1637">
        <v>1049026</v>
      </c>
      <c r="P77" s="1637">
        <v>155250</v>
      </c>
      <c r="Q77" s="675"/>
      <c r="R77" s="923"/>
      <c r="S77" s="923"/>
      <c r="T77" s="1464"/>
      <c r="U77" s="1464"/>
      <c r="V77" s="1464"/>
      <c r="W77" s="925"/>
      <c r="X77" s="925"/>
      <c r="Y77" s="1479"/>
      <c r="Z77" s="1479"/>
      <c r="AA77" s="923"/>
      <c r="AB77" s="923"/>
      <c r="AC77" s="925"/>
      <c r="AD77" s="925"/>
      <c r="AE77" s="925"/>
      <c r="AF77" s="925"/>
      <c r="AG77" s="925"/>
    </row>
    <row r="78" spans="1:33" ht="26.4">
      <c r="A78" s="1501" t="s">
        <v>35</v>
      </c>
      <c r="B78" s="1498">
        <f>SUM(B77,E77:F77)-D78</f>
        <v>4836221</v>
      </c>
      <c r="C78" s="1498"/>
      <c r="D78" s="1498">
        <f>-MIN(G78,0)</f>
        <v>0</v>
      </c>
      <c r="E78" s="1498">
        <f>MAX(G78,0)</f>
        <v>175603</v>
      </c>
      <c r="F78" s="1498"/>
      <c r="G78" s="1500">
        <f>-P69</f>
        <v>175603</v>
      </c>
      <c r="H78" s="1478"/>
      <c r="I78" s="1478"/>
      <c r="L78" s="1632" t="s">
        <v>1097</v>
      </c>
      <c r="M78" s="1632" t="s">
        <v>543</v>
      </c>
      <c r="N78" s="1794">
        <v>0</v>
      </c>
      <c r="O78" s="1637">
        <v>0</v>
      </c>
      <c r="P78" s="1636">
        <v>0</v>
      </c>
      <c r="Q78" s="675"/>
      <c r="R78" s="923"/>
      <c r="S78" s="923"/>
      <c r="T78" s="1464"/>
      <c r="U78" s="1464"/>
      <c r="V78" s="1464"/>
      <c r="W78" s="1465"/>
      <c r="X78" s="1466"/>
      <c r="Y78" s="1479"/>
      <c r="Z78" s="1479"/>
      <c r="AA78" s="923"/>
      <c r="AB78" s="923"/>
      <c r="AC78" s="926"/>
      <c r="AD78" s="926"/>
      <c r="AE78" s="925"/>
      <c r="AF78" s="1465"/>
      <c r="AG78" s="1466"/>
    </row>
    <row r="79" spans="1:33" ht="26.4">
      <c r="A79" s="1501" t="s">
        <v>722</v>
      </c>
      <c r="B79" s="1475"/>
      <c r="C79" s="1499">
        <f>SUM(B78,E78:F78)-D79</f>
        <v>5011824</v>
      </c>
      <c r="D79" s="1498"/>
      <c r="E79" s="1498"/>
      <c r="F79" s="1498"/>
      <c r="G79" s="1490"/>
      <c r="H79" s="1478"/>
      <c r="I79" s="1478"/>
      <c r="L79" s="1632" t="s">
        <v>1097</v>
      </c>
      <c r="M79" s="1632" t="s">
        <v>1026</v>
      </c>
      <c r="N79" s="1637">
        <v>609080</v>
      </c>
      <c r="O79" s="1637">
        <v>648136</v>
      </c>
      <c r="P79" s="1637">
        <v>39056</v>
      </c>
      <c r="Q79" s="675"/>
      <c r="R79" s="923"/>
      <c r="S79" s="923"/>
      <c r="T79" s="1464"/>
      <c r="U79" s="1464"/>
      <c r="V79" s="1464"/>
      <c r="W79" s="925"/>
      <c r="X79" s="924"/>
      <c r="Y79" s="1479"/>
      <c r="Z79" s="1479"/>
      <c r="AA79" s="923"/>
      <c r="AB79" s="923"/>
      <c r="AC79" s="925"/>
      <c r="AD79" s="925"/>
      <c r="AE79" s="924"/>
      <c r="AF79" s="925"/>
      <c r="AG79" s="924"/>
    </row>
    <row r="80" spans="1:33" ht="26.4">
      <c r="A80" s="1502"/>
      <c r="B80" s="1489"/>
      <c r="C80" s="1489"/>
      <c r="D80" s="1489"/>
      <c r="E80" s="1489"/>
      <c r="F80" s="1489"/>
      <c r="G80" s="1490"/>
      <c r="H80" s="1478"/>
      <c r="I80" s="1478"/>
      <c r="L80" s="1632" t="s">
        <v>1097</v>
      </c>
      <c r="M80" s="1632" t="s">
        <v>1027</v>
      </c>
      <c r="N80" s="1637">
        <v>0</v>
      </c>
      <c r="O80" s="1637">
        <v>0</v>
      </c>
      <c r="P80" s="1636">
        <v>0</v>
      </c>
      <c r="Q80" s="675"/>
      <c r="R80" s="923"/>
      <c r="S80" s="923"/>
      <c r="T80" s="1464"/>
      <c r="U80" s="1464"/>
      <c r="V80" s="1464"/>
      <c r="W80" s="1466"/>
      <c r="X80" s="925"/>
      <c r="Y80" s="1479"/>
      <c r="Z80" s="1479"/>
      <c r="AA80" s="923"/>
      <c r="AB80" s="923"/>
      <c r="AC80" s="924"/>
      <c r="AD80" s="925"/>
      <c r="AE80" s="925"/>
      <c r="AF80" s="1466"/>
      <c r="AG80" s="925"/>
    </row>
    <row r="81" spans="1:33" ht="26.4">
      <c r="A81" s="1543" t="s">
        <v>671</v>
      </c>
      <c r="B81" s="1544"/>
      <c r="C81" s="1544">
        <f>SUM(G73:G78)-C79</f>
        <v>0</v>
      </c>
      <c r="D81" s="1542" t="str">
        <f>IF(C81=0,"OK","NOT OK")</f>
        <v>OK</v>
      </c>
      <c r="E81" s="1506"/>
      <c r="F81" s="1506"/>
      <c r="G81" s="1507"/>
      <c r="H81" s="1478"/>
      <c r="I81" s="1478"/>
      <c r="L81" s="1632" t="s">
        <v>1097</v>
      </c>
      <c r="M81" s="1632" t="s">
        <v>1028</v>
      </c>
      <c r="N81" s="1637">
        <v>0</v>
      </c>
      <c r="O81" s="1637">
        <v>0</v>
      </c>
      <c r="P81" s="1637">
        <v>0</v>
      </c>
      <c r="Q81" s="675"/>
      <c r="R81" s="923"/>
      <c r="S81" s="923"/>
      <c r="T81" s="1464"/>
      <c r="U81" s="1464"/>
      <c r="V81" s="1464"/>
      <c r="W81" s="1466"/>
      <c r="X81" s="1466"/>
      <c r="Y81" s="1479"/>
      <c r="Z81" s="1479"/>
      <c r="AA81" s="923"/>
      <c r="AB81" s="923"/>
      <c r="AC81" s="925"/>
      <c r="AD81" s="925"/>
      <c r="AE81" s="925"/>
      <c r="AF81" s="1466"/>
      <c r="AG81" s="1466"/>
    </row>
    <row r="82" spans="1:33" ht="26.4">
      <c r="A82" s="1476"/>
      <c r="B82" s="1477"/>
      <c r="C82" s="1477"/>
      <c r="D82" s="1477"/>
      <c r="E82" s="1477"/>
      <c r="F82" s="1477"/>
      <c r="G82" s="1477"/>
      <c r="H82" s="1478"/>
      <c r="I82" s="1478"/>
      <c r="L82" s="1632" t="s">
        <v>1097</v>
      </c>
      <c r="M82" s="1632" t="s">
        <v>1029</v>
      </c>
      <c r="N82" s="1636">
        <v>0</v>
      </c>
      <c r="O82" s="1637">
        <v>0</v>
      </c>
      <c r="P82" s="1637">
        <v>0</v>
      </c>
      <c r="Q82" s="675"/>
      <c r="R82" s="923"/>
      <c r="S82" s="923"/>
      <c r="T82" s="1464"/>
      <c r="U82" s="1464"/>
      <c r="V82" s="1464"/>
      <c r="W82" s="1466"/>
      <c r="X82" s="1466"/>
      <c r="Y82" s="1479"/>
      <c r="Z82" s="1479"/>
      <c r="AA82" s="923"/>
      <c r="AB82" s="923"/>
      <c r="AC82" s="925"/>
      <c r="AD82" s="925"/>
      <c r="AE82" s="925"/>
      <c r="AF82" s="1466"/>
      <c r="AG82" s="1466"/>
    </row>
    <row r="83" spans="1:33" ht="26.4">
      <c r="A83" s="1480"/>
      <c r="B83" s="1478"/>
      <c r="C83" s="1478"/>
      <c r="D83" s="1478"/>
      <c r="E83" s="1478"/>
      <c r="F83" s="1478"/>
      <c r="G83" s="1478"/>
      <c r="H83" s="1478"/>
      <c r="I83" s="1478"/>
      <c r="L83" s="1632" t="s">
        <v>1097</v>
      </c>
      <c r="M83" s="1632" t="s">
        <v>544</v>
      </c>
      <c r="N83" s="1794">
        <v>0</v>
      </c>
      <c r="O83" s="1637">
        <v>0</v>
      </c>
      <c r="P83" s="1637">
        <v>0</v>
      </c>
      <c r="Q83" s="675"/>
      <c r="R83" s="923"/>
      <c r="S83" s="923"/>
      <c r="T83" s="1464"/>
      <c r="U83" s="1464"/>
      <c r="V83" s="1464"/>
      <c r="W83" s="1465"/>
      <c r="X83" s="1466"/>
      <c r="Y83" s="1479"/>
      <c r="Z83" s="1479"/>
      <c r="AA83" s="923"/>
      <c r="AB83" s="923"/>
      <c r="AC83" s="926"/>
      <c r="AD83" s="926"/>
      <c r="AE83" s="925"/>
      <c r="AF83" s="1465"/>
      <c r="AG83" s="1466"/>
    </row>
    <row r="84" spans="1:33">
      <c r="A84" s="1508" t="s">
        <v>1010</v>
      </c>
      <c r="B84" s="1509"/>
      <c r="C84" s="1509"/>
      <c r="D84" s="1509"/>
      <c r="E84" s="1509"/>
      <c r="F84" s="1509"/>
      <c r="G84" s="1510"/>
      <c r="H84" s="1478"/>
      <c r="I84" s="1478"/>
      <c r="L84" s="1632" t="s">
        <v>915</v>
      </c>
      <c r="M84" s="1632" t="s">
        <v>631</v>
      </c>
      <c r="N84" s="1634">
        <v>-523895</v>
      </c>
      <c r="O84" s="1634">
        <v>-410534</v>
      </c>
      <c r="P84" s="1635">
        <v>113361</v>
      </c>
      <c r="Q84" s="675"/>
      <c r="R84" s="923"/>
      <c r="S84" s="923"/>
      <c r="T84" s="1464"/>
      <c r="U84" s="1464"/>
      <c r="V84" s="1464"/>
      <c r="W84" s="924"/>
      <c r="X84" s="925"/>
      <c r="Y84" s="1479"/>
      <c r="Z84" s="1479"/>
      <c r="AA84" s="923"/>
      <c r="AB84" s="923"/>
      <c r="AC84" s="924"/>
      <c r="AD84" s="924"/>
      <c r="AE84" s="925"/>
      <c r="AF84" s="924"/>
      <c r="AG84" s="925"/>
    </row>
    <row r="85" spans="1:33">
      <c r="A85" s="1494"/>
      <c r="B85" s="1475"/>
      <c r="C85" s="1475"/>
      <c r="D85" s="1475"/>
      <c r="E85" s="1475"/>
      <c r="F85" s="1475"/>
      <c r="G85" s="1513"/>
      <c r="H85" s="244"/>
      <c r="L85" s="1632" t="s">
        <v>915</v>
      </c>
      <c r="M85" s="1632" t="s">
        <v>1023</v>
      </c>
      <c r="N85" s="1634">
        <v>-4042103</v>
      </c>
      <c r="O85" s="1634">
        <v>-3675769</v>
      </c>
      <c r="P85" s="1635">
        <v>366334</v>
      </c>
      <c r="Q85" s="675"/>
      <c r="R85" s="923"/>
      <c r="S85" s="923"/>
      <c r="T85" s="1464"/>
      <c r="U85" s="1464"/>
      <c r="V85" s="1464"/>
      <c r="W85" s="924"/>
      <c r="X85" s="924"/>
      <c r="Y85" s="1479"/>
      <c r="Z85" s="1479"/>
      <c r="AA85" s="923"/>
      <c r="AB85" s="923"/>
      <c r="AC85" s="924"/>
      <c r="AD85" s="924"/>
      <c r="AE85" s="924"/>
      <c r="AF85" s="924"/>
      <c r="AG85" s="924"/>
    </row>
    <row r="86" spans="1:33">
      <c r="A86" s="1491"/>
      <c r="B86" s="1492" t="s">
        <v>664</v>
      </c>
      <c r="C86" s="1492" t="s">
        <v>665</v>
      </c>
      <c r="D86" s="1492" t="s">
        <v>666</v>
      </c>
      <c r="E86" s="1492" t="s">
        <v>667</v>
      </c>
      <c r="F86" s="1492" t="s">
        <v>668</v>
      </c>
      <c r="G86" s="1493" t="s">
        <v>669</v>
      </c>
      <c r="L86" s="1632" t="s">
        <v>915</v>
      </c>
      <c r="M86" s="1632" t="s">
        <v>1024</v>
      </c>
      <c r="N86" s="1635">
        <v>1775287</v>
      </c>
      <c r="O86" s="1635">
        <v>1637104</v>
      </c>
      <c r="P86" s="1634">
        <v>-138183</v>
      </c>
      <c r="Q86" s="675"/>
      <c r="R86" s="923"/>
      <c r="S86" s="923"/>
      <c r="T86" s="1464"/>
      <c r="U86" s="1464"/>
      <c r="V86" s="1464"/>
      <c r="W86" s="925"/>
      <c r="X86" s="925"/>
      <c r="Y86" s="1479"/>
      <c r="Z86" s="1479"/>
      <c r="AA86" s="923"/>
      <c r="AB86" s="923"/>
      <c r="AC86" s="925"/>
      <c r="AD86" s="925"/>
      <c r="AE86" s="925"/>
      <c r="AF86" s="925"/>
      <c r="AG86" s="925"/>
    </row>
    <row r="87" spans="1:33">
      <c r="A87" s="1494"/>
      <c r="B87" s="1475"/>
      <c r="C87" s="1475"/>
      <c r="D87" s="1495"/>
      <c r="E87" s="1495"/>
      <c r="F87" s="1475"/>
      <c r="G87" s="1496"/>
      <c r="H87" s="1478"/>
      <c r="I87" s="1478"/>
      <c r="L87" s="1632" t="s">
        <v>915</v>
      </c>
      <c r="M87" s="1632" t="s">
        <v>1025</v>
      </c>
      <c r="N87" s="1635">
        <v>1367350</v>
      </c>
      <c r="O87" s="1635">
        <v>1257830</v>
      </c>
      <c r="P87" s="1634">
        <v>-109520</v>
      </c>
      <c r="Q87" s="675"/>
      <c r="R87" s="923"/>
      <c r="S87" s="923"/>
      <c r="T87" s="1464"/>
      <c r="U87" s="1464"/>
      <c r="V87" s="1464"/>
      <c r="W87" s="925"/>
      <c r="X87" s="925"/>
      <c r="Y87" s="1479"/>
      <c r="Z87" s="1479"/>
      <c r="AA87" s="923"/>
      <c r="AB87" s="923"/>
      <c r="AC87" s="925"/>
      <c r="AD87" s="925"/>
      <c r="AE87" s="925"/>
      <c r="AF87" s="925"/>
      <c r="AG87" s="925"/>
    </row>
    <row r="88" spans="1:33">
      <c r="A88" s="1497" t="s">
        <v>721</v>
      </c>
      <c r="B88" s="1498"/>
      <c r="C88" s="1498"/>
      <c r="D88" s="1498"/>
      <c r="E88" s="1498"/>
      <c r="F88" s="1499">
        <f>G88</f>
        <v>4170611</v>
      </c>
      <c r="G88" s="1500">
        <f>-N74</f>
        <v>4170611</v>
      </c>
      <c r="H88" s="1478"/>
      <c r="I88" s="1478"/>
      <c r="L88" s="1632" t="s">
        <v>915</v>
      </c>
      <c r="M88" s="1632" t="s">
        <v>543</v>
      </c>
      <c r="N88" s="1793">
        <v>0</v>
      </c>
      <c r="O88" s="1635">
        <v>0</v>
      </c>
      <c r="P88" s="1635">
        <v>0</v>
      </c>
      <c r="Q88" s="675"/>
      <c r="R88" s="923"/>
      <c r="S88" s="923"/>
      <c r="T88" s="1464"/>
      <c r="U88" s="1464"/>
      <c r="V88" s="1464"/>
      <c r="W88" s="1465"/>
      <c r="X88" s="1466"/>
      <c r="Y88" s="1479"/>
      <c r="Z88" s="1479"/>
      <c r="AA88" s="923"/>
      <c r="AB88" s="923"/>
      <c r="AC88" s="926"/>
      <c r="AD88" s="926"/>
      <c r="AE88" s="925"/>
      <c r="AF88" s="1465"/>
      <c r="AG88" s="1466"/>
    </row>
    <row r="89" spans="1:33">
      <c r="A89" s="1501" t="s">
        <v>862</v>
      </c>
      <c r="B89" s="1498">
        <f>SUM(B88,E88:F88)-D89</f>
        <v>3881608</v>
      </c>
      <c r="C89" s="1498"/>
      <c r="D89" s="1498">
        <f>-MIN(G89,0)</f>
        <v>289003</v>
      </c>
      <c r="E89" s="1498">
        <f>MAX(G89,0)</f>
        <v>0</v>
      </c>
      <c r="F89" s="1498"/>
      <c r="G89" s="1500">
        <f>-P75</f>
        <v>-289003</v>
      </c>
      <c r="H89" s="1478"/>
      <c r="I89" s="1478"/>
      <c r="L89" s="1632" t="s">
        <v>915</v>
      </c>
      <c r="M89" s="1632" t="s">
        <v>1026</v>
      </c>
      <c r="N89" s="1635">
        <v>375571</v>
      </c>
      <c r="O89" s="1635">
        <v>370301</v>
      </c>
      <c r="P89" s="1634">
        <v>-5270</v>
      </c>
      <c r="Q89" s="675"/>
      <c r="R89" s="923"/>
      <c r="S89" s="923"/>
      <c r="T89" s="1464"/>
      <c r="U89" s="1464"/>
      <c r="V89" s="1464"/>
      <c r="W89" s="925"/>
      <c r="X89" s="925"/>
      <c r="Y89" s="1479"/>
      <c r="Z89" s="1479"/>
      <c r="AA89" s="923"/>
      <c r="AB89" s="923"/>
      <c r="AC89" s="925"/>
      <c r="AD89" s="925"/>
      <c r="AE89" s="925"/>
      <c r="AF89" s="925"/>
      <c r="AG89" s="925"/>
    </row>
    <row r="90" spans="1:33">
      <c r="A90" s="1497" t="s">
        <v>863</v>
      </c>
      <c r="B90" s="1498">
        <f>SUM(B89,E89:F89)-D90</f>
        <v>3658103</v>
      </c>
      <c r="C90" s="1498"/>
      <c r="D90" s="1498">
        <f>-MIN(G90,0)</f>
        <v>223505</v>
      </c>
      <c r="E90" s="1498">
        <f>MAX(G90,0)</f>
        <v>0</v>
      </c>
      <c r="F90" s="1498"/>
      <c r="G90" s="1500">
        <f>-P76</f>
        <v>-223505</v>
      </c>
      <c r="H90" s="1478"/>
      <c r="I90" s="1478"/>
      <c r="L90" s="1632" t="s">
        <v>915</v>
      </c>
      <c r="M90" s="1632" t="s">
        <v>1027</v>
      </c>
      <c r="N90" s="1635">
        <v>0</v>
      </c>
      <c r="O90" s="1635">
        <v>0</v>
      </c>
      <c r="P90" s="1635">
        <v>0</v>
      </c>
      <c r="Q90" s="675"/>
      <c r="R90" s="923"/>
      <c r="S90" s="923"/>
      <c r="T90" s="1464"/>
      <c r="U90" s="1464"/>
      <c r="V90" s="1464"/>
      <c r="W90" s="1466"/>
      <c r="X90" s="925"/>
      <c r="Y90" s="1479"/>
      <c r="Z90" s="1479"/>
      <c r="AA90" s="923"/>
      <c r="AB90" s="923"/>
      <c r="AC90" s="924"/>
      <c r="AD90" s="925"/>
      <c r="AE90" s="925"/>
      <c r="AF90" s="1466"/>
      <c r="AG90" s="925"/>
    </row>
    <row r="91" spans="1:33" ht="26.4">
      <c r="A91" s="1497" t="s">
        <v>864</v>
      </c>
      <c r="B91" s="1498">
        <f>SUM(B90,E90:F90)-D91</f>
        <v>3502853</v>
      </c>
      <c r="C91" s="1498"/>
      <c r="D91" s="1498">
        <f>-MIN(G91,0)</f>
        <v>155250</v>
      </c>
      <c r="E91" s="1498">
        <f>MAX(G91,0)</f>
        <v>0</v>
      </c>
      <c r="F91" s="1498"/>
      <c r="G91" s="1500">
        <f>-P77-G92</f>
        <v>-155250</v>
      </c>
      <c r="H91" s="1478"/>
      <c r="I91" s="1478"/>
      <c r="L91" s="1632" t="s">
        <v>915</v>
      </c>
      <c r="M91" s="1632" t="s">
        <v>1028</v>
      </c>
      <c r="N91" s="1635">
        <v>0</v>
      </c>
      <c r="O91" s="1635">
        <v>0</v>
      </c>
      <c r="P91" s="1635">
        <v>0</v>
      </c>
      <c r="Q91" s="1468"/>
      <c r="R91" s="923"/>
      <c r="S91" s="923"/>
      <c r="T91" s="1464"/>
      <c r="U91" s="1464"/>
      <c r="V91" s="1464"/>
      <c r="W91" s="1466"/>
      <c r="X91" s="1466"/>
      <c r="Y91" s="1479"/>
      <c r="Z91" s="1479"/>
      <c r="AA91" s="923"/>
      <c r="AB91" s="923"/>
      <c r="AC91" s="925"/>
      <c r="AD91" s="925"/>
      <c r="AE91" s="925"/>
      <c r="AF91" s="1466"/>
      <c r="AG91" s="1466"/>
    </row>
    <row r="92" spans="1:33" ht="26.4">
      <c r="A92" s="1497" t="s">
        <v>360</v>
      </c>
      <c r="B92" s="1498">
        <f>SUM(B91,E91:F91)-D92</f>
        <v>3502853</v>
      </c>
      <c r="C92" s="1498"/>
      <c r="D92" s="1498">
        <f>-MIN(G92,0)</f>
        <v>0</v>
      </c>
      <c r="E92" s="1498">
        <f>MAX(G92,0)</f>
        <v>0</v>
      </c>
      <c r="F92" s="1498"/>
      <c r="G92" s="1500">
        <f>-P78</f>
        <v>0</v>
      </c>
      <c r="H92" s="1478"/>
      <c r="I92" s="1478"/>
      <c r="L92" s="1632" t="s">
        <v>915</v>
      </c>
      <c r="M92" s="1632" t="s">
        <v>1029</v>
      </c>
      <c r="N92" s="1635">
        <v>0</v>
      </c>
      <c r="O92" s="1635">
        <v>0</v>
      </c>
      <c r="P92" s="1635">
        <v>0</v>
      </c>
      <c r="Q92" s="1468"/>
      <c r="R92" s="923"/>
      <c r="S92" s="923"/>
      <c r="T92" s="1464"/>
      <c r="U92" s="1464"/>
      <c r="V92" s="1464"/>
      <c r="W92" s="1466"/>
      <c r="X92" s="1466"/>
      <c r="Y92" s="1479"/>
      <c r="Z92" s="1479"/>
      <c r="AA92" s="923"/>
      <c r="AB92" s="923"/>
      <c r="AC92" s="925"/>
      <c r="AD92" s="925"/>
      <c r="AE92" s="925"/>
      <c r="AF92" s="1466"/>
      <c r="AG92" s="1466"/>
    </row>
    <row r="93" spans="1:33">
      <c r="A93" s="1501" t="s">
        <v>35</v>
      </c>
      <c r="B93" s="1498">
        <f>SUM(B92,E92:F92)-D93</f>
        <v>3463797</v>
      </c>
      <c r="C93" s="1498"/>
      <c r="D93" s="1498">
        <f>-MIN(G93,0)</f>
        <v>39056</v>
      </c>
      <c r="E93" s="1498">
        <f>MAX(G93,0)</f>
        <v>0</v>
      </c>
      <c r="F93" s="1498"/>
      <c r="G93" s="1500">
        <f>-P79</f>
        <v>-39056</v>
      </c>
      <c r="H93" s="1478"/>
      <c r="I93" s="1478"/>
      <c r="L93" s="1632" t="s">
        <v>915</v>
      </c>
      <c r="M93" s="1632" t="s">
        <v>544</v>
      </c>
      <c r="N93" s="1793">
        <v>0</v>
      </c>
      <c r="O93" s="1635">
        <v>0</v>
      </c>
      <c r="P93" s="1635">
        <v>0</v>
      </c>
      <c r="Q93" s="1467"/>
      <c r="R93" s="923"/>
      <c r="S93" s="923"/>
      <c r="T93" s="1464"/>
      <c r="U93" s="1464"/>
      <c r="V93" s="1464"/>
      <c r="W93" s="1465"/>
      <c r="X93" s="1466"/>
      <c r="Y93" s="1479"/>
      <c r="Z93" s="1479"/>
      <c r="AA93" s="923"/>
      <c r="AB93" s="923"/>
      <c r="AC93" s="926"/>
      <c r="AD93" s="926"/>
      <c r="AE93" s="925"/>
      <c r="AF93" s="1465"/>
      <c r="AG93" s="1466"/>
    </row>
    <row r="94" spans="1:33">
      <c r="A94" s="1501" t="s">
        <v>722</v>
      </c>
      <c r="B94" s="1498"/>
      <c r="C94" s="1499">
        <f>SUM(B93,E93:F93)-D94</f>
        <v>3463797</v>
      </c>
      <c r="D94" s="1498"/>
      <c r="E94" s="1498"/>
      <c r="F94" s="1498"/>
      <c r="G94" s="1490"/>
      <c r="H94" s="1477"/>
      <c r="I94" s="1478"/>
      <c r="L94" s="923"/>
      <c r="M94" s="923"/>
      <c r="N94" s="924"/>
      <c r="O94" s="924"/>
      <c r="P94" s="925"/>
      <c r="Q94" s="1467"/>
      <c r="R94" s="1479"/>
      <c r="S94" s="1481"/>
      <c r="T94" s="1482"/>
      <c r="U94" s="1482"/>
      <c r="V94" s="1482"/>
      <c r="W94" s="1479"/>
      <c r="X94" s="1479"/>
      <c r="Y94" s="1479"/>
      <c r="Z94" s="1479"/>
      <c r="AA94" s="1479"/>
      <c r="AB94" s="1479"/>
      <c r="AC94" s="1482"/>
      <c r="AD94" s="1482"/>
      <c r="AE94" s="1482"/>
      <c r="AF94" s="1479"/>
      <c r="AG94" s="1479"/>
    </row>
    <row r="95" spans="1:33">
      <c r="A95" s="1502"/>
      <c r="B95" s="1489"/>
      <c r="C95" s="1489"/>
      <c r="D95" s="1489"/>
      <c r="E95" s="1489"/>
      <c r="F95" s="1489"/>
      <c r="G95" s="1490"/>
      <c r="H95" s="1477"/>
      <c r="I95" s="1478"/>
      <c r="L95" s="923"/>
      <c r="M95" s="923"/>
      <c r="N95" s="924"/>
      <c r="O95" s="924"/>
      <c r="P95" s="925"/>
      <c r="Q95" s="1467"/>
      <c r="R95" s="1479"/>
      <c r="S95" s="1481"/>
      <c r="T95" s="1482"/>
      <c r="U95" s="1482"/>
      <c r="V95" s="1482"/>
      <c r="W95" s="1479"/>
      <c r="X95" s="1479"/>
      <c r="Y95" s="1479"/>
      <c r="Z95" s="1479"/>
      <c r="AA95" s="1479"/>
      <c r="AB95" s="1479"/>
      <c r="AC95" s="1482"/>
      <c r="AD95" s="1482"/>
      <c r="AE95" s="1482"/>
      <c r="AF95" s="1479"/>
      <c r="AG95" s="1479"/>
    </row>
    <row r="96" spans="1:33">
      <c r="A96" s="1543" t="s">
        <v>671</v>
      </c>
      <c r="B96" s="1544"/>
      <c r="C96" s="1544">
        <f>SUM(G88:G93)-C94</f>
        <v>0</v>
      </c>
      <c r="D96" s="1542" t="str">
        <f>IF(C96=0,"OK","NOT OK")</f>
        <v>OK</v>
      </c>
      <c r="E96" s="1506"/>
      <c r="F96" s="1506"/>
      <c r="G96" s="1507"/>
      <c r="H96" s="1477"/>
      <c r="I96" s="1478"/>
      <c r="L96" s="923"/>
      <c r="M96" s="923"/>
      <c r="N96" s="925"/>
      <c r="O96" s="925"/>
      <c r="P96" s="925"/>
      <c r="Q96" s="1467"/>
      <c r="R96" s="1479"/>
      <c r="S96" s="1481"/>
      <c r="T96" s="1482"/>
      <c r="U96" s="1482"/>
      <c r="V96" s="1482"/>
      <c r="W96" s="1479"/>
      <c r="X96" s="1479"/>
      <c r="Y96" s="1479"/>
      <c r="Z96" s="1479"/>
      <c r="AA96" s="1479"/>
      <c r="AB96" s="1479"/>
      <c r="AC96" s="1482"/>
      <c r="AD96" s="1482"/>
      <c r="AE96" s="1482"/>
      <c r="AF96" s="1479"/>
      <c r="AG96" s="1479"/>
    </row>
    <row r="97" spans="1:33">
      <c r="A97" s="1476"/>
      <c r="B97" s="1477"/>
      <c r="C97" s="1477"/>
      <c r="D97" s="1477"/>
      <c r="E97" s="1477"/>
      <c r="F97" s="1477"/>
      <c r="G97" s="1477"/>
      <c r="H97" s="1477"/>
      <c r="I97" s="1478"/>
      <c r="L97" s="923"/>
      <c r="M97" s="923"/>
      <c r="N97" s="925"/>
      <c r="O97" s="925"/>
      <c r="P97" s="925"/>
      <c r="Q97" s="1467"/>
      <c r="R97" s="1479"/>
      <c r="S97" s="1481"/>
      <c r="T97" s="1482"/>
      <c r="U97" s="1482"/>
      <c r="V97" s="1482"/>
      <c r="W97" s="1479"/>
      <c r="X97" s="1479"/>
      <c r="Y97" s="1479"/>
      <c r="Z97" s="1479"/>
      <c r="AA97" s="1479"/>
      <c r="AB97" s="1479"/>
      <c r="AC97" s="1482"/>
      <c r="AD97" s="1482"/>
      <c r="AE97" s="1482"/>
      <c r="AF97" s="1479"/>
      <c r="AG97" s="1479"/>
    </row>
    <row r="98" spans="1:33">
      <c r="A98" s="1480"/>
      <c r="B98" s="1478"/>
      <c r="C98" s="1478"/>
      <c r="D98" s="1478"/>
      <c r="E98" s="1478"/>
      <c r="F98" s="1478"/>
      <c r="G98" s="1478"/>
      <c r="H98" s="1477"/>
      <c r="I98" s="1478"/>
      <c r="L98" s="923"/>
      <c r="M98" s="923"/>
      <c r="N98" s="926"/>
      <c r="O98" s="926"/>
      <c r="P98" s="925"/>
      <c r="Q98" s="1467"/>
      <c r="R98" s="1479"/>
      <c r="S98" s="1481"/>
      <c r="T98" s="1482"/>
      <c r="U98" s="1482"/>
      <c r="V98" s="1482"/>
      <c r="W98" s="1479"/>
      <c r="X98" s="1479"/>
      <c r="Y98" s="1479"/>
      <c r="Z98" s="1479"/>
      <c r="AA98" s="1479"/>
      <c r="AB98" s="1479"/>
      <c r="AC98" s="1482"/>
      <c r="AD98" s="1482"/>
      <c r="AE98" s="1482"/>
      <c r="AF98" s="1479"/>
      <c r="AG98" s="1479"/>
    </row>
    <row r="99" spans="1:33">
      <c r="A99" s="1508" t="s">
        <v>385</v>
      </c>
      <c r="B99" s="1509"/>
      <c r="C99" s="1509"/>
      <c r="D99" s="1509"/>
      <c r="E99" s="1509"/>
      <c r="F99" s="1509"/>
      <c r="G99" s="1510"/>
      <c r="H99" s="1478"/>
      <c r="I99" s="1478"/>
      <c r="L99" s="923"/>
      <c r="M99" s="923"/>
      <c r="N99" s="925"/>
      <c r="O99" s="925"/>
      <c r="P99" s="925"/>
      <c r="Q99" s="1479"/>
      <c r="R99" s="1479"/>
      <c r="S99" s="1481"/>
      <c r="T99" s="1479"/>
      <c r="U99" s="1479"/>
      <c r="V99" s="1479"/>
      <c r="W99" s="1479"/>
      <c r="X99" s="1479"/>
      <c r="Y99" s="1479"/>
      <c r="Z99" s="1479"/>
      <c r="AA99" s="1479"/>
      <c r="AB99" s="1479"/>
      <c r="AC99" s="1479"/>
      <c r="AD99" s="1479"/>
      <c r="AE99" s="1479"/>
      <c r="AF99" s="1479"/>
      <c r="AG99" s="1479"/>
    </row>
    <row r="100" spans="1:33">
      <c r="A100" s="1494"/>
      <c r="B100" s="1475"/>
      <c r="C100" s="1475"/>
      <c r="D100" s="1475"/>
      <c r="E100" s="1475"/>
      <c r="F100" s="1475"/>
      <c r="G100" s="1513"/>
      <c r="H100" s="1478"/>
      <c r="I100" s="1478"/>
      <c r="L100" s="923"/>
      <c r="M100" s="923"/>
      <c r="N100" s="925"/>
      <c r="O100" s="925"/>
      <c r="P100" s="925"/>
      <c r="Q100" s="1479"/>
      <c r="R100" s="1479"/>
      <c r="S100" s="1481"/>
      <c r="T100" s="1479"/>
      <c r="U100" s="1479"/>
      <c r="V100" s="1479"/>
      <c r="W100" s="1479"/>
      <c r="X100" s="1479"/>
      <c r="Y100" s="1479"/>
      <c r="Z100" s="1479"/>
      <c r="AA100" s="1479"/>
      <c r="AB100" s="1479"/>
      <c r="AC100" s="1479"/>
      <c r="AD100" s="1479"/>
      <c r="AE100" s="1479"/>
      <c r="AF100" s="1479"/>
      <c r="AG100" s="1479"/>
    </row>
    <row r="101" spans="1:33">
      <c r="A101" s="1491"/>
      <c r="B101" s="1492" t="s">
        <v>664</v>
      </c>
      <c r="C101" s="1492" t="s">
        <v>665</v>
      </c>
      <c r="D101" s="1492" t="s">
        <v>666</v>
      </c>
      <c r="E101" s="1492" t="s">
        <v>667</v>
      </c>
      <c r="F101" s="1492" t="s">
        <v>668</v>
      </c>
      <c r="G101" s="1493" t="s">
        <v>669</v>
      </c>
      <c r="H101" s="1478"/>
      <c r="I101" s="1478"/>
      <c r="L101" s="923"/>
      <c r="M101" s="923"/>
      <c r="N101" s="925"/>
      <c r="O101" s="925"/>
      <c r="P101" s="925"/>
      <c r="Q101" s="1479"/>
      <c r="R101" s="1479"/>
      <c r="S101" s="1481"/>
      <c r="T101" s="1479"/>
      <c r="U101" s="1479"/>
      <c r="V101" s="1479"/>
      <c r="W101" s="1479"/>
      <c r="X101" s="1479"/>
      <c r="Y101" s="1479"/>
      <c r="Z101" s="1479"/>
      <c r="AA101" s="1479"/>
      <c r="AB101" s="1479"/>
      <c r="AC101" s="1479"/>
      <c r="AD101" s="1479"/>
      <c r="AE101" s="1479"/>
      <c r="AF101" s="1479"/>
      <c r="AG101" s="1479"/>
    </row>
    <row r="102" spans="1:33">
      <c r="A102" s="1494"/>
      <c r="B102" s="1475"/>
      <c r="C102" s="1475"/>
      <c r="D102" s="1495"/>
      <c r="E102" s="1495"/>
      <c r="F102" s="1475"/>
      <c r="G102" s="1496"/>
      <c r="H102" s="1478"/>
      <c r="I102" s="1478"/>
      <c r="L102" s="923"/>
      <c r="M102" s="923"/>
      <c r="N102" s="925"/>
      <c r="O102" s="925"/>
      <c r="P102" s="925"/>
      <c r="Q102" s="1479"/>
      <c r="R102" s="1479"/>
      <c r="S102" s="1481"/>
      <c r="T102" s="1479"/>
      <c r="U102" s="1479"/>
      <c r="V102" s="1479"/>
      <c r="W102" s="1479"/>
      <c r="X102" s="1479"/>
      <c r="Y102" s="1479"/>
      <c r="Z102" s="1479"/>
      <c r="AA102" s="1479"/>
      <c r="AB102" s="1479"/>
      <c r="AC102" s="1479"/>
      <c r="AD102" s="1479"/>
      <c r="AE102" s="1479"/>
      <c r="AF102" s="1479"/>
      <c r="AG102" s="1479"/>
    </row>
    <row r="103" spans="1:33">
      <c r="A103" s="1497" t="s">
        <v>721</v>
      </c>
      <c r="B103" s="1498"/>
      <c r="C103" s="1498"/>
      <c r="D103" s="1498"/>
      <c r="E103" s="1498"/>
      <c r="F103" s="1499">
        <f>G103</f>
        <v>523895</v>
      </c>
      <c r="G103" s="1500">
        <f>-N84</f>
        <v>523895</v>
      </c>
      <c r="H103" s="1478"/>
      <c r="I103" s="1478"/>
      <c r="L103" s="923"/>
      <c r="M103" s="923"/>
      <c r="N103" s="926"/>
      <c r="O103" s="926"/>
      <c r="P103" s="925"/>
      <c r="Q103" s="1479"/>
      <c r="R103" s="1479"/>
      <c r="S103" s="1481"/>
      <c r="T103" s="1479"/>
      <c r="U103" s="1479"/>
      <c r="V103" s="1479"/>
      <c r="W103" s="1479"/>
      <c r="X103" s="1479"/>
      <c r="Y103" s="1479"/>
      <c r="Z103" s="1479"/>
      <c r="AA103" s="1479"/>
      <c r="AB103" s="1479"/>
      <c r="AC103" s="1479"/>
      <c r="AD103" s="1479"/>
      <c r="AE103" s="1479"/>
      <c r="AF103" s="1479"/>
      <c r="AG103" s="1479"/>
    </row>
    <row r="104" spans="1:33">
      <c r="A104" s="1501" t="s">
        <v>862</v>
      </c>
      <c r="B104" s="1498">
        <f>SUM(B103,E103:F103)-D104</f>
        <v>157561</v>
      </c>
      <c r="C104" s="1498"/>
      <c r="D104" s="1498">
        <f>-MIN(G104,0)</f>
        <v>366334</v>
      </c>
      <c r="E104" s="1498">
        <f>MAX(G104,0)</f>
        <v>0</v>
      </c>
      <c r="F104" s="1498"/>
      <c r="G104" s="1500">
        <f>-P85</f>
        <v>-366334</v>
      </c>
      <c r="H104" s="1478"/>
      <c r="I104" s="1478"/>
      <c r="Q104" s="1479"/>
    </row>
    <row r="105" spans="1:33">
      <c r="A105" s="1497" t="s">
        <v>863</v>
      </c>
      <c r="B105" s="1498">
        <f>SUM(B104,E104:F104)-D105</f>
        <v>157561</v>
      </c>
      <c r="C105" s="1498"/>
      <c r="D105" s="1498">
        <f>-MIN(G105,0)</f>
        <v>0</v>
      </c>
      <c r="E105" s="1498">
        <f>MAX(G105,0)</f>
        <v>138183</v>
      </c>
      <c r="F105" s="1498"/>
      <c r="G105" s="1500">
        <f>-P86</f>
        <v>138183</v>
      </c>
      <c r="H105" s="1478"/>
      <c r="I105" s="1478"/>
      <c r="Q105" s="1479"/>
    </row>
    <row r="106" spans="1:33">
      <c r="A106" s="1497" t="s">
        <v>864</v>
      </c>
      <c r="B106" s="1498">
        <f>SUM(B105,E105:F105)-D106</f>
        <v>295744</v>
      </c>
      <c r="C106" s="1498"/>
      <c r="D106" s="1498">
        <f>-MIN(G106,0)</f>
        <v>0</v>
      </c>
      <c r="E106" s="1498">
        <f>MAX(G106,0)</f>
        <v>109520</v>
      </c>
      <c r="F106" s="1498"/>
      <c r="G106" s="1500">
        <f>-P87-G107</f>
        <v>109520</v>
      </c>
      <c r="H106" s="1478"/>
      <c r="I106" s="1478"/>
      <c r="Q106" s="1479"/>
    </row>
    <row r="107" spans="1:33">
      <c r="A107" s="1497" t="s">
        <v>360</v>
      </c>
      <c r="B107" s="1498">
        <f>SUM(B106,E106:F106)-D107</f>
        <v>405264</v>
      </c>
      <c r="C107" s="1498"/>
      <c r="D107" s="1498">
        <f>-MIN(G107,0)</f>
        <v>0</v>
      </c>
      <c r="E107" s="1498">
        <f>MAX(G107,0)</f>
        <v>0</v>
      </c>
      <c r="F107" s="1498"/>
      <c r="G107" s="1500">
        <f>-P88</f>
        <v>0</v>
      </c>
      <c r="H107" s="1478"/>
      <c r="I107" s="1478"/>
      <c r="Q107" s="1483"/>
    </row>
    <row r="108" spans="1:33">
      <c r="A108" s="1501" t="s">
        <v>35</v>
      </c>
      <c r="B108" s="1498">
        <f>SUM(B107,E107:F107)-D108</f>
        <v>405264</v>
      </c>
      <c r="C108" s="1498"/>
      <c r="D108" s="1498">
        <f>-MIN(G108,0)</f>
        <v>0</v>
      </c>
      <c r="E108" s="1498">
        <f>MAX(G108,0)</f>
        <v>5270</v>
      </c>
      <c r="F108" s="1498"/>
      <c r="G108" s="1500">
        <f>-P89</f>
        <v>5270</v>
      </c>
      <c r="Q108" s="1483"/>
    </row>
    <row r="109" spans="1:33">
      <c r="A109" s="1501" t="s">
        <v>722</v>
      </c>
      <c r="B109" s="1498"/>
      <c r="C109" s="1499">
        <f>SUM(B108,E108:F108)-D109</f>
        <v>410534</v>
      </c>
      <c r="D109" s="1498"/>
      <c r="E109" s="1498"/>
      <c r="F109" s="1498"/>
      <c r="G109" s="1490"/>
      <c r="Q109" s="1483"/>
    </row>
    <row r="110" spans="1:33">
      <c r="A110" s="1502"/>
      <c r="B110" s="1489"/>
      <c r="C110" s="1489"/>
      <c r="D110" s="1489"/>
      <c r="E110" s="1489"/>
      <c r="F110" s="1489"/>
      <c r="G110" s="1490"/>
      <c r="H110" s="244"/>
    </row>
    <row r="111" spans="1:33">
      <c r="A111" s="1543" t="s">
        <v>671</v>
      </c>
      <c r="B111" s="1544"/>
      <c r="C111" s="1544">
        <f>SUM(G103:G108)-C109</f>
        <v>0</v>
      </c>
      <c r="D111" s="1542" t="str">
        <f>IF(C111=0,"OK","NOT OK")</f>
        <v>OK</v>
      </c>
      <c r="E111" s="1506"/>
      <c r="F111" s="1506"/>
      <c r="G111" s="1507"/>
    </row>
    <row r="112" spans="1:33">
      <c r="A112" s="1476"/>
      <c r="B112" s="1477"/>
      <c r="C112" s="1477"/>
      <c r="D112" s="1477"/>
      <c r="E112" s="1477"/>
      <c r="F112" s="1477"/>
      <c r="G112" s="1477"/>
      <c r="H112" s="1478"/>
      <c r="I112" s="1478"/>
    </row>
    <row r="113" spans="1:9">
      <c r="A113" s="1480"/>
      <c r="B113" s="1478"/>
      <c r="C113" s="1478"/>
      <c r="D113" s="1478"/>
      <c r="E113" s="1478"/>
      <c r="F113" s="1478"/>
      <c r="G113" s="1478"/>
      <c r="H113" s="1478"/>
      <c r="I113" s="1478"/>
    </row>
    <row r="114" spans="1:9">
      <c r="A114" s="1508" t="s">
        <v>1011</v>
      </c>
      <c r="B114" s="1509"/>
      <c r="C114" s="1486"/>
      <c r="D114" s="1486"/>
      <c r="E114" s="1486"/>
      <c r="F114" s="1486"/>
      <c r="G114" s="1487"/>
      <c r="H114" s="1478"/>
      <c r="I114" s="1478"/>
    </row>
    <row r="115" spans="1:9">
      <c r="A115" s="1511"/>
      <c r="B115" s="1498"/>
      <c r="C115" s="1489"/>
      <c r="D115" s="1489"/>
      <c r="E115" s="1489"/>
      <c r="F115" s="1489"/>
      <c r="G115" s="1490"/>
      <c r="H115" s="1478"/>
      <c r="I115" s="1478"/>
    </row>
    <row r="116" spans="1:9">
      <c r="A116" s="1491"/>
      <c r="B116" s="1492" t="s">
        <v>664</v>
      </c>
      <c r="C116" s="1492" t="s">
        <v>665</v>
      </c>
      <c r="D116" s="1492" t="s">
        <v>666</v>
      </c>
      <c r="E116" s="1492" t="s">
        <v>667</v>
      </c>
      <c r="F116" s="1492" t="s">
        <v>668</v>
      </c>
      <c r="G116" s="1493" t="s">
        <v>669</v>
      </c>
      <c r="H116" s="1478"/>
      <c r="I116" s="1478"/>
    </row>
    <row r="117" spans="1:9">
      <c r="A117" s="1494"/>
      <c r="B117" s="1475"/>
      <c r="C117" s="1475"/>
      <c r="D117" s="1495"/>
      <c r="E117" s="1495"/>
      <c r="F117" s="1475"/>
      <c r="G117" s="1496"/>
      <c r="H117" s="1478"/>
      <c r="I117" s="1478"/>
    </row>
    <row r="118" spans="1:9">
      <c r="A118" s="1494" t="s">
        <v>721</v>
      </c>
      <c r="B118" s="1498"/>
      <c r="C118" s="1498"/>
      <c r="D118" s="1498"/>
      <c r="E118" s="1498"/>
      <c r="F118" s="1499">
        <f>G118</f>
        <v>531476.47600000002</v>
      </c>
      <c r="G118" s="1500">
        <f>'Operating Costs'!H47</f>
        <v>531476.47600000002</v>
      </c>
      <c r="H118" s="1478"/>
      <c r="I118" s="1478"/>
    </row>
    <row r="119" spans="1:9">
      <c r="A119" s="1511" t="s">
        <v>181</v>
      </c>
      <c r="B119" s="1498">
        <f t="shared" ref="B119:B137" si="0">SUM(B118,E118:F118)-D119</f>
        <v>531476.47600000002</v>
      </c>
      <c r="C119" s="1498"/>
      <c r="D119" s="1498">
        <f t="shared" ref="D119:D138" si="1">-MIN(G119,0)</f>
        <v>0</v>
      </c>
      <c r="E119" s="1498">
        <f t="shared" ref="E119:E138" si="2">MAX(G119,0)</f>
        <v>20.158999999999651</v>
      </c>
      <c r="F119" s="1498"/>
      <c r="G119" s="1500">
        <f>'Operating Costs'!J22</f>
        <v>20.158999999999651</v>
      </c>
      <c r="H119" s="1477"/>
      <c r="I119" s="1478"/>
    </row>
    <row r="120" spans="1:9">
      <c r="A120" s="1511" t="s">
        <v>182</v>
      </c>
      <c r="B120" s="1498">
        <f t="shared" si="0"/>
        <v>531288.85</v>
      </c>
      <c r="C120" s="1498"/>
      <c r="D120" s="1498">
        <f t="shared" si="1"/>
        <v>207.78499999998894</v>
      </c>
      <c r="E120" s="1498">
        <f t="shared" si="2"/>
        <v>0</v>
      </c>
      <c r="F120" s="1498"/>
      <c r="G120" s="1500">
        <f>'Operating Costs'!J23</f>
        <v>-207.78499999998894</v>
      </c>
      <c r="H120" s="1477"/>
      <c r="I120" s="1478"/>
    </row>
    <row r="121" spans="1:9">
      <c r="A121" s="1511" t="s">
        <v>183</v>
      </c>
      <c r="B121" s="1498">
        <f t="shared" si="0"/>
        <v>531276.40500000003</v>
      </c>
      <c r="C121" s="1498"/>
      <c r="D121" s="1498">
        <f t="shared" si="1"/>
        <v>12.444999999977881</v>
      </c>
      <c r="E121" s="1498">
        <f t="shared" si="2"/>
        <v>0</v>
      </c>
      <c r="F121" s="1498"/>
      <c r="G121" s="1500">
        <f>'Operating Costs'!J24</f>
        <v>-12.444999999977881</v>
      </c>
      <c r="H121" s="1477"/>
      <c r="I121" s="1478"/>
    </row>
    <row r="122" spans="1:9">
      <c r="A122" s="1511" t="s">
        <v>184</v>
      </c>
      <c r="B122" s="1498">
        <f t="shared" si="0"/>
        <v>531276.40500000003</v>
      </c>
      <c r="C122" s="1498"/>
      <c r="D122" s="1498">
        <f t="shared" si="1"/>
        <v>0</v>
      </c>
      <c r="E122" s="1498">
        <f t="shared" si="2"/>
        <v>196.12299999997776</v>
      </c>
      <c r="F122" s="1498"/>
      <c r="G122" s="1500">
        <f>'Operating Costs'!J25</f>
        <v>196.12299999997776</v>
      </c>
      <c r="H122" s="1477"/>
      <c r="I122" s="1478"/>
    </row>
    <row r="123" spans="1:9">
      <c r="A123" s="1514" t="s">
        <v>205</v>
      </c>
      <c r="B123" s="1498">
        <f t="shared" si="0"/>
        <v>531472.52800000005</v>
      </c>
      <c r="C123" s="1498"/>
      <c r="D123" s="1498">
        <f t="shared" si="1"/>
        <v>0</v>
      </c>
      <c r="E123" s="1498">
        <f t="shared" si="2"/>
        <v>30.875000000001819</v>
      </c>
      <c r="F123" s="1498"/>
      <c r="G123" s="1500">
        <f>'Operating Costs'!J26</f>
        <v>30.875000000001819</v>
      </c>
      <c r="H123" s="1477"/>
      <c r="I123" s="1478"/>
    </row>
    <row r="124" spans="1:9">
      <c r="A124" s="1514" t="s">
        <v>204</v>
      </c>
      <c r="B124" s="1498">
        <f t="shared" si="0"/>
        <v>531497.48300000001</v>
      </c>
      <c r="C124" s="1498"/>
      <c r="D124" s="1498">
        <f t="shared" si="1"/>
        <v>5.9199999999909778</v>
      </c>
      <c r="E124" s="1498">
        <f t="shared" si="2"/>
        <v>0</v>
      </c>
      <c r="F124" s="1498"/>
      <c r="G124" s="1500">
        <f>'Operating Costs'!J27</f>
        <v>-5.9199999999909778</v>
      </c>
      <c r="H124" s="1478"/>
      <c r="I124" s="1478"/>
    </row>
    <row r="125" spans="1:9">
      <c r="A125" s="1511" t="s">
        <v>206</v>
      </c>
      <c r="B125" s="1498">
        <f t="shared" si="0"/>
        <v>531446.56299999997</v>
      </c>
      <c r="C125" s="1498"/>
      <c r="D125" s="1498">
        <f t="shared" si="1"/>
        <v>50.919999999999618</v>
      </c>
      <c r="E125" s="1498">
        <f t="shared" si="2"/>
        <v>0</v>
      </c>
      <c r="F125" s="1498"/>
      <c r="G125" s="1500">
        <f>'Operating Costs'!J28</f>
        <v>-50.919999999999618</v>
      </c>
      <c r="H125" s="1478"/>
      <c r="I125" s="1478"/>
    </row>
    <row r="126" spans="1:9">
      <c r="A126" s="1511" t="s">
        <v>208</v>
      </c>
      <c r="B126" s="1498">
        <f t="shared" si="0"/>
        <v>531446.56299999997</v>
      </c>
      <c r="C126" s="1498"/>
      <c r="D126" s="1498">
        <f t="shared" si="1"/>
        <v>0</v>
      </c>
      <c r="E126" s="1498">
        <f t="shared" si="2"/>
        <v>88.654999999999745</v>
      </c>
      <c r="F126" s="1498"/>
      <c r="G126" s="1500">
        <f>'Operating Costs'!J29</f>
        <v>88.654999999999745</v>
      </c>
      <c r="H126" s="1478"/>
      <c r="I126" s="1478"/>
    </row>
    <row r="127" spans="1:9">
      <c r="A127" s="1511" t="s">
        <v>1254</v>
      </c>
      <c r="B127" s="1498">
        <f t="shared" si="0"/>
        <v>531535.21799999999</v>
      </c>
      <c r="C127" s="1498"/>
      <c r="D127" s="1498">
        <f t="shared" si="1"/>
        <v>0</v>
      </c>
      <c r="E127" s="1498">
        <f t="shared" si="2"/>
        <v>1847.9139999999898</v>
      </c>
      <c r="F127" s="1498"/>
      <c r="G127" s="1500">
        <f>'Operating Costs'!J33</f>
        <v>1847.9139999999898</v>
      </c>
      <c r="H127" s="1478"/>
      <c r="I127" s="1478"/>
    </row>
    <row r="128" spans="1:9">
      <c r="A128" s="1511" t="s">
        <v>1255</v>
      </c>
      <c r="B128" s="1498">
        <f t="shared" si="0"/>
        <v>533082.76699999999</v>
      </c>
      <c r="C128" s="1498"/>
      <c r="D128" s="1498">
        <f t="shared" si="1"/>
        <v>300.36499999999796</v>
      </c>
      <c r="E128" s="1498">
        <f t="shared" si="2"/>
        <v>0</v>
      </c>
      <c r="F128" s="1498"/>
      <c r="G128" s="1500">
        <f>'Operating Costs'!J34</f>
        <v>-300.36499999999796</v>
      </c>
      <c r="H128" s="1478"/>
      <c r="I128" s="1478"/>
    </row>
    <row r="129" spans="1:9">
      <c r="A129" s="1511" t="s">
        <v>765</v>
      </c>
      <c r="B129" s="1498">
        <f t="shared" si="0"/>
        <v>533082.76699999999</v>
      </c>
      <c r="C129" s="1498"/>
      <c r="D129" s="1498">
        <f t="shared" si="1"/>
        <v>0</v>
      </c>
      <c r="E129" s="1498">
        <f t="shared" si="2"/>
        <v>191.23699999999917</v>
      </c>
      <c r="F129" s="1498"/>
      <c r="G129" s="1500">
        <f>'Operating Costs'!J35</f>
        <v>191.23699999999917</v>
      </c>
      <c r="H129" s="1478"/>
      <c r="I129" s="1478"/>
    </row>
    <row r="130" spans="1:9">
      <c r="A130" s="1511" t="s">
        <v>766</v>
      </c>
      <c r="B130" s="1498">
        <f t="shared" si="0"/>
        <v>532958.10099999991</v>
      </c>
      <c r="C130" s="1498"/>
      <c r="D130" s="1498">
        <f t="shared" si="1"/>
        <v>315.90300000000116</v>
      </c>
      <c r="E130" s="1498">
        <f t="shared" si="2"/>
        <v>0</v>
      </c>
      <c r="F130" s="1498"/>
      <c r="G130" s="1500">
        <f>'Operating Costs'!J36</f>
        <v>-315.90300000000116</v>
      </c>
      <c r="H130" s="1478"/>
      <c r="I130" s="1478"/>
    </row>
    <row r="131" spans="1:9">
      <c r="A131" s="1511" t="s">
        <v>767</v>
      </c>
      <c r="B131" s="1498">
        <f t="shared" si="0"/>
        <v>532957.14599999995</v>
      </c>
      <c r="C131" s="1498"/>
      <c r="D131" s="1498">
        <f t="shared" si="1"/>
        <v>0.95499999999969987</v>
      </c>
      <c r="E131" s="1498">
        <f t="shared" si="2"/>
        <v>0</v>
      </c>
      <c r="F131" s="1498"/>
      <c r="G131" s="1500">
        <f>'Operating Costs'!J37</f>
        <v>-0.95499999999969987</v>
      </c>
      <c r="H131" s="1478"/>
      <c r="I131" s="1478"/>
    </row>
    <row r="132" spans="1:9">
      <c r="A132" s="1511" t="s">
        <v>548</v>
      </c>
      <c r="B132" s="1498">
        <f t="shared" si="0"/>
        <v>532400.69199999992</v>
      </c>
      <c r="C132" s="1498"/>
      <c r="D132" s="1498">
        <f t="shared" si="1"/>
        <v>556.45400000000518</v>
      </c>
      <c r="E132" s="1498">
        <f t="shared" si="2"/>
        <v>0</v>
      </c>
      <c r="F132" s="1498"/>
      <c r="G132" s="1500">
        <f>'Operating Costs'!J38</f>
        <v>-556.45400000000518</v>
      </c>
      <c r="H132" s="1478"/>
      <c r="I132" s="1478"/>
    </row>
    <row r="133" spans="1:9">
      <c r="A133" s="1511" t="s">
        <v>1256</v>
      </c>
      <c r="B133" s="1498">
        <f t="shared" si="0"/>
        <v>532315.93499999994</v>
      </c>
      <c r="C133" s="1498"/>
      <c r="D133" s="1498">
        <f t="shared" si="1"/>
        <v>84.756999999999607</v>
      </c>
      <c r="E133" s="1498">
        <f t="shared" si="2"/>
        <v>0</v>
      </c>
      <c r="F133" s="1498"/>
      <c r="G133" s="1500">
        <f>'Operating Costs'!J39</f>
        <v>-84.756999999999607</v>
      </c>
      <c r="H133" s="1478"/>
      <c r="I133" s="1478"/>
    </row>
    <row r="134" spans="1:9">
      <c r="A134" s="1511" t="s">
        <v>1284</v>
      </c>
      <c r="B134" s="1498">
        <f t="shared" si="0"/>
        <v>532315.93499999994</v>
      </c>
      <c r="C134" s="1498"/>
      <c r="D134" s="1498">
        <f t="shared" si="1"/>
        <v>0</v>
      </c>
      <c r="E134" s="1498">
        <f t="shared" si="2"/>
        <v>579.29</v>
      </c>
      <c r="F134" s="1498"/>
      <c r="G134" s="1500">
        <f>'Operating Costs'!J41</f>
        <v>579.29</v>
      </c>
      <c r="H134" s="1478"/>
      <c r="I134" s="1478"/>
    </row>
    <row r="135" spans="1:9">
      <c r="A135" s="1549" t="s">
        <v>1285</v>
      </c>
      <c r="B135" s="1498">
        <f t="shared" si="0"/>
        <v>532894.93499999994</v>
      </c>
      <c r="C135" s="1498"/>
      <c r="D135" s="1498">
        <f t="shared" si="1"/>
        <v>0.28999999999723514</v>
      </c>
      <c r="E135" s="1498">
        <f t="shared" si="2"/>
        <v>0</v>
      </c>
      <c r="F135" s="1498"/>
      <c r="G135" s="1500">
        <f>'Operating Costs'!J42</f>
        <v>-0.28999999999723514</v>
      </c>
      <c r="H135" s="1478"/>
      <c r="I135" s="1478"/>
    </row>
    <row r="136" spans="1:9">
      <c r="A136" s="1511" t="s">
        <v>768</v>
      </c>
      <c r="B136" s="1498">
        <f t="shared" si="0"/>
        <v>532682.10099999991</v>
      </c>
      <c r="C136" s="1498"/>
      <c r="D136" s="1498">
        <f t="shared" si="1"/>
        <v>212.83399999999983</v>
      </c>
      <c r="E136" s="1498">
        <f t="shared" si="2"/>
        <v>0</v>
      </c>
      <c r="F136" s="1498"/>
      <c r="G136" s="1500">
        <f>'Operating Costs'!J43</f>
        <v>-212.83399999999983</v>
      </c>
      <c r="H136" s="1478"/>
      <c r="I136" s="1478"/>
    </row>
    <row r="137" spans="1:9">
      <c r="A137" s="1511" t="s">
        <v>764</v>
      </c>
      <c r="B137" s="1498">
        <f t="shared" si="0"/>
        <v>532682.10099999991</v>
      </c>
      <c r="C137" s="1498"/>
      <c r="D137" s="1498">
        <f t="shared" si="1"/>
        <v>0</v>
      </c>
      <c r="E137" s="1498">
        <f t="shared" si="2"/>
        <v>389.88400000000001</v>
      </c>
      <c r="F137" s="1498"/>
      <c r="G137" s="1500">
        <f>'Operating Costs'!J44</f>
        <v>389.88400000000001</v>
      </c>
      <c r="H137" s="1478"/>
      <c r="I137" s="1478"/>
    </row>
    <row r="138" spans="1:9">
      <c r="A138" s="1511"/>
      <c r="B138" s="1498">
        <f>SUM(B137,E137:F137)-D138</f>
        <v>533071.98499999987</v>
      </c>
      <c r="C138" s="1498"/>
      <c r="D138" s="1498">
        <f t="shared" si="1"/>
        <v>0</v>
      </c>
      <c r="E138" s="1498">
        <f t="shared" si="2"/>
        <v>0</v>
      </c>
      <c r="F138" s="1498"/>
      <c r="G138" s="1500"/>
      <c r="H138" s="1478"/>
      <c r="I138" s="1478"/>
    </row>
    <row r="139" spans="1:9">
      <c r="A139" s="1511" t="s">
        <v>834</v>
      </c>
      <c r="B139" s="1475"/>
      <c r="C139" s="1499">
        <f>SUM(B138,E138:F138)-D139</f>
        <v>533071.98499999987</v>
      </c>
      <c r="D139" s="1498"/>
      <c r="E139" s="1498"/>
      <c r="F139" s="1498"/>
      <c r="G139" s="1512"/>
      <c r="H139" s="1478"/>
      <c r="I139" s="1478"/>
    </row>
    <row r="140" spans="1:9">
      <c r="A140" s="1491"/>
      <c r="B140" s="1498"/>
      <c r="C140" s="1489"/>
      <c r="D140" s="1489"/>
      <c r="E140" s="1489"/>
      <c r="F140" s="1489"/>
      <c r="G140" s="1490"/>
      <c r="H140" s="1478"/>
      <c r="I140" s="1478"/>
    </row>
    <row r="141" spans="1:9">
      <c r="A141" s="1543" t="s">
        <v>671</v>
      </c>
      <c r="B141" s="1544"/>
      <c r="C141" s="1544">
        <f>SUM(G118:G138)-C139</f>
        <v>0</v>
      </c>
      <c r="D141" s="1542" t="str">
        <f>IF(C141=0,"OK","NOT OK")</f>
        <v>OK</v>
      </c>
      <c r="E141" s="1506"/>
      <c r="F141" s="1506"/>
      <c r="G141" s="1507"/>
      <c r="H141" s="1478"/>
      <c r="I141" s="1478"/>
    </row>
    <row r="142" spans="1:9">
      <c r="B142" s="1478"/>
      <c r="C142" s="1477"/>
      <c r="D142" s="1477"/>
      <c r="E142" s="1477"/>
      <c r="F142" s="1477"/>
      <c r="G142" s="1477"/>
      <c r="H142" s="1478"/>
      <c r="I142" s="1478"/>
    </row>
    <row r="143" spans="1:9">
      <c r="C143" s="1483"/>
      <c r="D143" s="1483"/>
      <c r="E143" s="1483"/>
      <c r="F143" s="1483"/>
      <c r="G143" s="1483"/>
      <c r="H143" s="1478"/>
      <c r="I143" s="1478"/>
    </row>
    <row r="144" spans="1:9">
      <c r="A144" s="1515" t="s">
        <v>1012</v>
      </c>
      <c r="B144" s="1516"/>
      <c r="C144" s="1517"/>
      <c r="D144" s="1518"/>
      <c r="E144" s="1518"/>
      <c r="F144" s="1517"/>
      <c r="G144" s="1519"/>
      <c r="H144" s="1478"/>
      <c r="I144" s="1478"/>
    </row>
    <row r="145" spans="1:9">
      <c r="A145" s="1494"/>
      <c r="B145" s="1475"/>
      <c r="C145" s="1475"/>
      <c r="D145" s="1475"/>
      <c r="E145" s="1475"/>
      <c r="F145" s="1475"/>
      <c r="G145" s="1513"/>
      <c r="H145" s="1477"/>
      <c r="I145" s="1478"/>
    </row>
    <row r="146" spans="1:9">
      <c r="A146" s="1491"/>
      <c r="B146" s="1492" t="s">
        <v>664</v>
      </c>
      <c r="C146" s="1492" t="s">
        <v>665</v>
      </c>
      <c r="D146" s="1492" t="s">
        <v>666</v>
      </c>
      <c r="E146" s="1492" t="s">
        <v>667</v>
      </c>
      <c r="F146" s="1492" t="s">
        <v>668</v>
      </c>
      <c r="G146" s="1493" t="s">
        <v>669</v>
      </c>
      <c r="H146" s="1478"/>
      <c r="I146" s="1478"/>
    </row>
    <row r="147" spans="1:9">
      <c r="A147" s="1497"/>
      <c r="B147" s="1520"/>
      <c r="C147" s="1520"/>
      <c r="D147" s="1521"/>
      <c r="E147" s="1521"/>
      <c r="F147" s="1520"/>
      <c r="G147" s="1522"/>
      <c r="H147" s="1478"/>
      <c r="I147" s="1478"/>
    </row>
    <row r="148" spans="1:9">
      <c r="A148" s="1497" t="s">
        <v>721</v>
      </c>
      <c r="B148" s="1523"/>
      <c r="C148" s="1523"/>
      <c r="D148" s="1523"/>
      <c r="E148" s="1523"/>
      <c r="F148" s="1524">
        <f>G148</f>
        <v>549636.28699999989</v>
      </c>
      <c r="G148" s="1529">
        <f>-Income!G39</f>
        <v>549636.28699999989</v>
      </c>
      <c r="H148" s="1478"/>
      <c r="I148" s="1478"/>
    </row>
    <row r="149" spans="1:9">
      <c r="A149" s="1501" t="s">
        <v>832</v>
      </c>
      <c r="B149" s="1523">
        <f t="shared" ref="B149:B160" si="3">SUM(B148,E148:F148)-D149</f>
        <v>549636.28699999989</v>
      </c>
      <c r="C149" s="1523"/>
      <c r="D149" s="1523">
        <f t="shared" ref="D149:D160" si="4">-MIN(G149,0)</f>
        <v>0</v>
      </c>
      <c r="E149" s="1523">
        <f t="shared" ref="E149:E160" si="5">MAX(G149,0)</f>
        <v>0</v>
      </c>
      <c r="F149" s="1523"/>
      <c r="G149" s="1529">
        <f>-Income!I20</f>
        <v>0</v>
      </c>
      <c r="H149" s="1478"/>
      <c r="I149" s="1478"/>
    </row>
    <row r="150" spans="1:9">
      <c r="A150" s="1501" t="s">
        <v>996</v>
      </c>
      <c r="B150" s="1523">
        <f t="shared" si="3"/>
        <v>549462.88299999991</v>
      </c>
      <c r="C150" s="1523"/>
      <c r="D150" s="1523">
        <f t="shared" si="4"/>
        <v>173.40400000000227</v>
      </c>
      <c r="E150" s="1523">
        <f t="shared" si="5"/>
        <v>0</v>
      </c>
      <c r="F150" s="1523"/>
      <c r="G150" s="1529">
        <f>-Income!I21</f>
        <v>-173.40400000000227</v>
      </c>
      <c r="H150" s="244"/>
    </row>
    <row r="151" spans="1:9">
      <c r="A151" s="1501" t="s">
        <v>536</v>
      </c>
      <c r="B151" s="1523">
        <f t="shared" si="3"/>
        <v>549462.88299999991</v>
      </c>
      <c r="C151" s="1523"/>
      <c r="D151" s="1523">
        <f t="shared" si="4"/>
        <v>0</v>
      </c>
      <c r="E151" s="1523">
        <f t="shared" si="5"/>
        <v>4307.0550000000512</v>
      </c>
      <c r="F151" s="1523"/>
      <c r="G151" s="1529">
        <f>-Income!I22</f>
        <v>4307.0550000000512</v>
      </c>
    </row>
    <row r="152" spans="1:9">
      <c r="A152" s="1501" t="s">
        <v>537</v>
      </c>
      <c r="B152" s="1523">
        <f t="shared" si="3"/>
        <v>553769.93799999997</v>
      </c>
      <c r="C152" s="1523"/>
      <c r="D152" s="1523">
        <f t="shared" si="4"/>
        <v>0</v>
      </c>
      <c r="E152" s="1523">
        <f t="shared" si="5"/>
        <v>7.0000000000000001E-3</v>
      </c>
      <c r="F152" s="1523"/>
      <c r="G152" s="1529">
        <f>-Income!I23</f>
        <v>7.0000000000000001E-3</v>
      </c>
      <c r="H152" s="1478"/>
      <c r="I152" s="1478"/>
    </row>
    <row r="153" spans="1:9">
      <c r="A153" s="1501" t="s">
        <v>538</v>
      </c>
      <c r="B153" s="1523">
        <f>SUM(B152,E152:F152)-D153</f>
        <v>552870.07699999993</v>
      </c>
      <c r="C153" s="1523"/>
      <c r="D153" s="1523">
        <f t="shared" si="4"/>
        <v>899.86799999999675</v>
      </c>
      <c r="E153" s="1523">
        <f t="shared" si="5"/>
        <v>0</v>
      </c>
      <c r="F153" s="1523"/>
      <c r="G153" s="1529">
        <f>-Income!I24</f>
        <v>-899.86799999999675</v>
      </c>
      <c r="H153" s="1478"/>
      <c r="I153" s="1478"/>
    </row>
    <row r="154" spans="1:9">
      <c r="A154" s="1501" t="s">
        <v>997</v>
      </c>
      <c r="B154" s="1523">
        <f>SUM(B153,E153:F153)-D154</f>
        <v>552814.00499999989</v>
      </c>
      <c r="C154" s="1523"/>
      <c r="D154" s="1523">
        <f t="shared" si="4"/>
        <v>56.072000000000003</v>
      </c>
      <c r="E154" s="1523">
        <f t="shared" si="5"/>
        <v>0</v>
      </c>
      <c r="F154" s="1523"/>
      <c r="G154" s="1529">
        <f>-Income!I26</f>
        <v>-56.072000000000003</v>
      </c>
      <c r="H154" s="1478"/>
      <c r="I154" s="1478"/>
    </row>
    <row r="155" spans="1:9">
      <c r="A155" s="1501" t="s">
        <v>998</v>
      </c>
      <c r="B155" s="1523">
        <f t="shared" si="3"/>
        <v>552589.79799999984</v>
      </c>
      <c r="C155" s="1523"/>
      <c r="D155" s="1523">
        <f t="shared" si="4"/>
        <v>224.20700000000033</v>
      </c>
      <c r="E155" s="1523">
        <f t="shared" si="5"/>
        <v>0</v>
      </c>
      <c r="F155" s="1523"/>
      <c r="G155" s="1529">
        <f>-Income!I27</f>
        <v>-224.20700000000033</v>
      </c>
      <c r="H155" s="1478"/>
      <c r="I155" s="1478"/>
    </row>
    <row r="156" spans="1:9">
      <c r="A156" s="1501" t="s">
        <v>999</v>
      </c>
      <c r="B156" s="1523">
        <f t="shared" si="3"/>
        <v>552589.79799999984</v>
      </c>
      <c r="C156" s="1523"/>
      <c r="D156" s="1523">
        <f t="shared" si="4"/>
        <v>0</v>
      </c>
      <c r="E156" s="1523">
        <f t="shared" si="5"/>
        <v>25.182999999999993</v>
      </c>
      <c r="F156" s="1523"/>
      <c r="G156" s="1529">
        <f>-Income!I28</f>
        <v>25.182999999999993</v>
      </c>
      <c r="H156" s="1478"/>
      <c r="I156" s="1478"/>
    </row>
    <row r="157" spans="1:9">
      <c r="A157" s="1501" t="s">
        <v>1005</v>
      </c>
      <c r="B157" s="1523">
        <f t="shared" si="3"/>
        <v>552147.7089999998</v>
      </c>
      <c r="C157" s="1523"/>
      <c r="D157" s="1523">
        <f t="shared" si="4"/>
        <v>467.27200000000812</v>
      </c>
      <c r="E157" s="1523">
        <f t="shared" si="5"/>
        <v>0</v>
      </c>
      <c r="F157" s="1523"/>
      <c r="G157" s="1529">
        <f>-Income!I33</f>
        <v>-467.27200000000812</v>
      </c>
      <c r="H157" s="1478"/>
      <c r="I157" s="1478"/>
    </row>
    <row r="158" spans="1:9">
      <c r="A158" s="1501" t="s">
        <v>1006</v>
      </c>
      <c r="B158" s="1523">
        <f t="shared" si="3"/>
        <v>552147.7089999998</v>
      </c>
      <c r="C158" s="1523"/>
      <c r="D158" s="1523">
        <f t="shared" si="4"/>
        <v>0</v>
      </c>
      <c r="E158" s="1523">
        <f t="shared" si="5"/>
        <v>0</v>
      </c>
      <c r="F158" s="1523"/>
      <c r="G158" s="1529">
        <f>-Income!I35</f>
        <v>0</v>
      </c>
      <c r="H158" s="1478"/>
      <c r="I158" s="1478"/>
    </row>
    <row r="159" spans="1:9">
      <c r="A159" s="1501" t="s">
        <v>1000</v>
      </c>
      <c r="B159" s="1523">
        <f t="shared" si="3"/>
        <v>552147.7089999998</v>
      </c>
      <c r="C159" s="1523"/>
      <c r="D159" s="1523">
        <f t="shared" si="4"/>
        <v>0</v>
      </c>
      <c r="E159" s="1523">
        <f t="shared" si="5"/>
        <v>343.33699999999999</v>
      </c>
      <c r="F159" s="1523"/>
      <c r="G159" s="1529">
        <f>-Income!I36</f>
        <v>343.33699999999999</v>
      </c>
      <c r="H159" s="1478"/>
      <c r="I159" s="1478"/>
    </row>
    <row r="160" spans="1:9">
      <c r="A160" s="1501" t="s">
        <v>180</v>
      </c>
      <c r="B160" s="1523">
        <f t="shared" si="3"/>
        <v>552491.04599999986</v>
      </c>
      <c r="C160" s="1523"/>
      <c r="D160" s="1523">
        <f t="shared" si="4"/>
        <v>0</v>
      </c>
      <c r="E160" s="1523">
        <f t="shared" si="5"/>
        <v>218.21900000000096</v>
      </c>
      <c r="F160" s="1523"/>
      <c r="G160" s="1529">
        <f>-Income!I37</f>
        <v>218.21900000000096</v>
      </c>
      <c r="H160" s="1478"/>
      <c r="I160" s="1478"/>
    </row>
    <row r="161" spans="1:9">
      <c r="A161" s="1501" t="s">
        <v>834</v>
      </c>
      <c r="B161" s="1523"/>
      <c r="C161" s="1524">
        <f>SUM(B160,E160:F160)-D161</f>
        <v>552709.2649999999</v>
      </c>
      <c r="D161" s="1523"/>
      <c r="E161" s="1523"/>
      <c r="F161" s="1523"/>
      <c r="G161" s="1525"/>
      <c r="H161" s="1478"/>
      <c r="I161" s="1478"/>
    </row>
    <row r="162" spans="1:9">
      <c r="A162" s="1501"/>
      <c r="B162" s="1523"/>
      <c r="C162" s="1523"/>
      <c r="D162" s="1523"/>
      <c r="E162" s="1523"/>
      <c r="F162" s="1523"/>
      <c r="G162" s="1525"/>
      <c r="H162" s="1478"/>
      <c r="I162" s="1478"/>
    </row>
    <row r="163" spans="1:9">
      <c r="A163" s="1533" t="s">
        <v>671</v>
      </c>
      <c r="B163" s="1534"/>
      <c r="C163" s="1534">
        <f>SUM(G148:G160)-C161</f>
        <v>0</v>
      </c>
      <c r="D163" s="1542" t="str">
        <f>IF(C163=0,"OK","NOT OK")</f>
        <v>OK</v>
      </c>
      <c r="E163" s="1526"/>
      <c r="F163" s="1526"/>
      <c r="G163" s="1527"/>
      <c r="H163" s="1478"/>
      <c r="I163" s="1478"/>
    </row>
    <row r="164" spans="1:9">
      <c r="A164" s="419"/>
      <c r="B164" s="676"/>
      <c r="C164" s="677"/>
      <c r="D164" s="677"/>
      <c r="E164" s="677"/>
      <c r="F164" s="677"/>
      <c r="G164" s="677"/>
      <c r="H164" s="1478"/>
      <c r="I164" s="1478"/>
    </row>
    <row r="165" spans="1:9">
      <c r="A165" s="1515" t="s">
        <v>1013</v>
      </c>
      <c r="B165" s="1516"/>
      <c r="C165" s="1516"/>
      <c r="D165" s="1516"/>
      <c r="E165" s="1516"/>
      <c r="F165" s="1516"/>
      <c r="G165" s="1528"/>
      <c r="H165" s="1478"/>
      <c r="I165" s="1478"/>
    </row>
    <row r="166" spans="1:9">
      <c r="A166" s="1494"/>
      <c r="B166" s="1475"/>
      <c r="C166" s="1475"/>
      <c r="D166" s="1475"/>
      <c r="E166" s="1475"/>
      <c r="F166" s="1475"/>
      <c r="G166" s="1513"/>
      <c r="H166" s="1478"/>
      <c r="I166" s="1478"/>
    </row>
    <row r="167" spans="1:9">
      <c r="A167" s="1491"/>
      <c r="B167" s="1492" t="s">
        <v>664</v>
      </c>
      <c r="C167" s="1492" t="s">
        <v>665</v>
      </c>
      <c r="D167" s="1492" t="s">
        <v>666</v>
      </c>
      <c r="E167" s="1492" t="s">
        <v>667</v>
      </c>
      <c r="F167" s="1492" t="s">
        <v>668</v>
      </c>
      <c r="G167" s="1493" t="s">
        <v>669</v>
      </c>
      <c r="H167" s="1478"/>
      <c r="I167" s="1478"/>
    </row>
    <row r="168" spans="1:9">
      <c r="A168" s="1497"/>
      <c r="B168" s="1520"/>
      <c r="C168" s="1520"/>
      <c r="D168" s="1521"/>
      <c r="E168" s="1521"/>
      <c r="F168" s="1520"/>
      <c r="G168" s="1522"/>
      <c r="H168" s="1478"/>
      <c r="I168" s="1478"/>
    </row>
    <row r="169" spans="1:9">
      <c r="A169" s="1497" t="s">
        <v>721</v>
      </c>
      <c r="B169" s="1523"/>
      <c r="C169" s="1523"/>
      <c r="D169" s="1523"/>
      <c r="E169" s="1523"/>
      <c r="F169" s="1524">
        <f>G169</f>
        <v>15.570193000000188</v>
      </c>
      <c r="G169" s="1918">
        <f>Surplus!G33/1000</f>
        <v>15.570193000000188</v>
      </c>
      <c r="H169" s="1478"/>
      <c r="I169" s="1478"/>
    </row>
    <row r="170" spans="1:9">
      <c r="A170" s="1501" t="s">
        <v>863</v>
      </c>
      <c r="B170" s="1523">
        <f>SUM(B169,E169:F169)-D170</f>
        <v>15.570193000000188</v>
      </c>
      <c r="C170" s="1523"/>
      <c r="D170" s="1523">
        <f t="shared" ref="D170:D178" si="6">-MIN(G170,0)</f>
        <v>0</v>
      </c>
      <c r="E170" s="1523">
        <f t="shared" ref="E170:E177" si="7">MAX(G170,0)</f>
        <v>6.2152999999991153E-2</v>
      </c>
      <c r="F170" s="1523"/>
      <c r="G170" s="1525">
        <f>Surplus!I18/1000</f>
        <v>6.2152999999991153E-2</v>
      </c>
      <c r="H170" s="1478"/>
      <c r="I170" s="1478"/>
    </row>
    <row r="171" spans="1:9">
      <c r="A171" s="1501" t="s">
        <v>862</v>
      </c>
      <c r="B171" s="1523">
        <f t="shared" ref="B171:B177" si="8">SUM(B170,E170:F170)-D171</f>
        <v>13.415655000000072</v>
      </c>
      <c r="C171" s="1523"/>
      <c r="D171" s="1523">
        <f t="shared" si="6"/>
        <v>2.2166910000001079</v>
      </c>
      <c r="E171" s="1523">
        <f t="shared" si="7"/>
        <v>0</v>
      </c>
      <c r="F171" s="1523"/>
      <c r="G171" s="1530">
        <f>Surplus!I17/1000</f>
        <v>-2.2166910000001079</v>
      </c>
      <c r="H171" s="1478"/>
      <c r="I171" s="1478"/>
    </row>
    <row r="172" spans="1:9">
      <c r="A172" s="1497" t="s">
        <v>8</v>
      </c>
      <c r="B172" s="1523">
        <f t="shared" si="8"/>
        <v>13.415655000000072</v>
      </c>
      <c r="C172" s="1523"/>
      <c r="D172" s="1523">
        <f t="shared" si="6"/>
        <v>0</v>
      </c>
      <c r="E172" s="1523">
        <f t="shared" si="7"/>
        <v>2.36630899999995</v>
      </c>
      <c r="F172" s="1523"/>
      <c r="G172" s="1530">
        <f>Surplus!I19/1000</f>
        <v>2.36630899999995</v>
      </c>
      <c r="H172" s="1478"/>
      <c r="I172" s="1478"/>
    </row>
    <row r="173" spans="1:9">
      <c r="A173" s="1501" t="s">
        <v>20</v>
      </c>
      <c r="B173" s="1523">
        <f t="shared" si="8"/>
        <v>15.781964000000022</v>
      </c>
      <c r="C173" s="1523"/>
      <c r="D173" s="1523">
        <f t="shared" si="6"/>
        <v>0</v>
      </c>
      <c r="E173" s="1523">
        <f t="shared" si="7"/>
        <v>0</v>
      </c>
      <c r="F173" s="1523"/>
      <c r="G173" s="1525">
        <f>Surplus!I23/1000</f>
        <v>0</v>
      </c>
      <c r="H173" s="1478"/>
      <c r="I173" s="1478"/>
    </row>
    <row r="174" spans="1:9">
      <c r="A174" s="1501" t="s">
        <v>1004</v>
      </c>
      <c r="B174" s="1523">
        <f t="shared" si="8"/>
        <v>15.751799000000021</v>
      </c>
      <c r="C174" s="1523"/>
      <c r="D174" s="1523">
        <f t="shared" si="6"/>
        <v>3.0164999999999963E-2</v>
      </c>
      <c r="E174" s="1523">
        <f t="shared" si="7"/>
        <v>0</v>
      </c>
      <c r="F174" s="1523"/>
      <c r="G174" s="1525">
        <f>Surplus!I24/1000</f>
        <v>-3.0164999999999963E-2</v>
      </c>
      <c r="H174" s="1478"/>
      <c r="I174" s="1478"/>
    </row>
    <row r="175" spans="1:9">
      <c r="A175" s="1501" t="s">
        <v>1003</v>
      </c>
      <c r="B175" s="1523">
        <f t="shared" si="8"/>
        <v>15.751799000000021</v>
      </c>
      <c r="C175" s="1523"/>
      <c r="D175" s="1523">
        <f t="shared" si="6"/>
        <v>0</v>
      </c>
      <c r="E175" s="1523">
        <f t="shared" si="7"/>
        <v>5.189999999999983E-4</v>
      </c>
      <c r="F175" s="1523"/>
      <c r="G175" s="1525">
        <f>Surplus!I25/1000</f>
        <v>5.189999999999983E-4</v>
      </c>
      <c r="H175" s="1478"/>
      <c r="I175" s="1478"/>
    </row>
    <row r="176" spans="1:9">
      <c r="A176" s="1501" t="s">
        <v>1001</v>
      </c>
      <c r="B176" s="1523">
        <f t="shared" si="8"/>
        <v>15.570190000000025</v>
      </c>
      <c r="C176" s="1523"/>
      <c r="D176" s="1523">
        <f t="shared" si="6"/>
        <v>0.18212799999999699</v>
      </c>
      <c r="E176" s="1523">
        <f t="shared" si="7"/>
        <v>0</v>
      </c>
      <c r="F176" s="1523"/>
      <c r="G176" s="1525">
        <f>Surplus!I26/1000</f>
        <v>-0.18212799999999699</v>
      </c>
      <c r="H176" s="1478"/>
      <c r="I176" s="1478"/>
    </row>
    <row r="177" spans="1:18">
      <c r="A177" s="1501" t="s">
        <v>1002</v>
      </c>
      <c r="B177" s="1523">
        <f t="shared" si="8"/>
        <v>15.570190000000025</v>
      </c>
      <c r="C177" s="1523"/>
      <c r="D177" s="1523">
        <f t="shared" si="6"/>
        <v>0</v>
      </c>
      <c r="E177" s="1523">
        <f t="shared" si="7"/>
        <v>0</v>
      </c>
      <c r="F177" s="1523"/>
      <c r="G177" s="1525">
        <f>Surplus!I28/1000</f>
        <v>0</v>
      </c>
      <c r="H177" s="1477"/>
      <c r="I177" s="1477"/>
      <c r="J177" s="1483"/>
    </row>
    <row r="178" spans="1:18">
      <c r="A178" s="1501" t="s">
        <v>834</v>
      </c>
      <c r="B178" s="1520"/>
      <c r="C178" s="1524">
        <f>SUM(B177,E177:F177)+G178</f>
        <v>15.570190000000025</v>
      </c>
      <c r="D178" s="1523">
        <f t="shared" si="6"/>
        <v>0</v>
      </c>
      <c r="E178" s="1523"/>
      <c r="F178" s="1523"/>
      <c r="G178" s="1525">
        <f>Surplus!$I$31/1000</f>
        <v>0</v>
      </c>
      <c r="H178" s="1477"/>
      <c r="I178" s="1477"/>
      <c r="J178" s="1483"/>
    </row>
    <row r="179" spans="1:18">
      <c r="A179" s="1491"/>
      <c r="B179" s="1523"/>
      <c r="C179" s="1531"/>
      <c r="D179" s="1531"/>
      <c r="E179" s="1531"/>
      <c r="F179" s="1531"/>
      <c r="G179" s="1532"/>
      <c r="H179" s="1477"/>
      <c r="I179" s="1477"/>
      <c r="J179" s="1483"/>
    </row>
    <row r="180" spans="1:18">
      <c r="A180" s="1533" t="s">
        <v>671</v>
      </c>
      <c r="B180" s="1534"/>
      <c r="C180" s="1534">
        <f>SUM(G169:G178)-C178</f>
        <v>0</v>
      </c>
      <c r="D180" s="1542" t="str">
        <f>IF(C180=0,"OK","NOT OK")</f>
        <v>OK</v>
      </c>
      <c r="E180" s="1526"/>
      <c r="F180" s="1526"/>
      <c r="G180" s="1527"/>
      <c r="H180" s="1477"/>
      <c r="I180" s="1477"/>
      <c r="J180" s="1483"/>
    </row>
    <row r="181" spans="1:18">
      <c r="A181" s="419"/>
      <c r="B181" s="676"/>
      <c r="C181" s="677"/>
      <c r="D181" s="677"/>
      <c r="E181" s="677"/>
      <c r="F181" s="677"/>
      <c r="G181" s="677"/>
      <c r="H181" s="1477"/>
      <c r="I181" s="1477"/>
      <c r="J181" s="1483"/>
    </row>
    <row r="182" spans="1:18">
      <c r="A182" s="1515" t="s">
        <v>1014</v>
      </c>
      <c r="B182" s="1516"/>
      <c r="C182" s="1516"/>
      <c r="D182" s="1516"/>
      <c r="E182" s="1516"/>
      <c r="F182" s="1516"/>
      <c r="G182" s="1528"/>
      <c r="H182" s="1477"/>
      <c r="I182" s="1477"/>
      <c r="J182" s="1483"/>
    </row>
    <row r="183" spans="1:18">
      <c r="A183" s="1494"/>
      <c r="B183" s="1475"/>
      <c r="C183" s="1475"/>
      <c r="D183" s="1475"/>
      <c r="E183" s="1475"/>
      <c r="F183" s="1475"/>
      <c r="G183" s="1513"/>
      <c r="H183" s="1477"/>
      <c r="I183" s="1477"/>
      <c r="J183" s="1483"/>
    </row>
    <row r="184" spans="1:18">
      <c r="A184" s="1491"/>
      <c r="B184" s="1492" t="s">
        <v>664</v>
      </c>
      <c r="C184" s="1492" t="s">
        <v>665</v>
      </c>
      <c r="D184" s="1492" t="s">
        <v>666</v>
      </c>
      <c r="E184" s="1492" t="s">
        <v>667</v>
      </c>
      <c r="F184" s="1492" t="s">
        <v>668</v>
      </c>
      <c r="G184" s="1493" t="s">
        <v>669</v>
      </c>
    </row>
    <row r="185" spans="1:18">
      <c r="A185" s="1497"/>
      <c r="B185" s="1520"/>
      <c r="C185" s="1520"/>
      <c r="D185" s="1521"/>
      <c r="E185" s="1521"/>
      <c r="F185" s="1520"/>
      <c r="G185" s="1522"/>
    </row>
    <row r="186" spans="1:18">
      <c r="A186" s="1497" t="s">
        <v>721</v>
      </c>
      <c r="B186" s="1523"/>
      <c r="C186" s="1523"/>
      <c r="D186" s="1523"/>
      <c r="E186" s="1523"/>
      <c r="F186" s="1524">
        <f>G186</f>
        <v>3166.8110000000015</v>
      </c>
      <c r="G186" s="1529">
        <f>+Cash!G36</f>
        <v>3166.8110000000015</v>
      </c>
      <c r="O186" s="419"/>
      <c r="P186" s="419"/>
      <c r="Q186" s="419"/>
      <c r="R186" s="419"/>
    </row>
    <row r="187" spans="1:18">
      <c r="A187" s="1535" t="s">
        <v>176</v>
      </c>
      <c r="B187" s="1523">
        <f t="shared" ref="B187:B192" si="9">SUM(B186,E186:F186)-D187</f>
        <v>3166.8110000000015</v>
      </c>
      <c r="C187" s="1523"/>
      <c r="D187" s="1523">
        <f t="shared" ref="D187:D199" si="10">-MIN(G187,0)</f>
        <v>0</v>
      </c>
      <c r="E187" s="1523">
        <f t="shared" ref="E187:E199" si="11">MAX(G187,0)</f>
        <v>331</v>
      </c>
      <c r="F187" s="1523"/>
      <c r="G187" s="1529">
        <f>+Cash!I31</f>
        <v>331</v>
      </c>
      <c r="H187" s="1501"/>
      <c r="O187" s="419"/>
      <c r="P187" s="419"/>
      <c r="Q187" s="419"/>
      <c r="R187" s="419"/>
    </row>
    <row r="188" spans="1:18">
      <c r="A188" s="1501" t="s">
        <v>165</v>
      </c>
      <c r="B188" s="1523">
        <f t="shared" si="9"/>
        <v>3497.8110000000015</v>
      </c>
      <c r="C188" s="1523"/>
      <c r="D188" s="1523">
        <f t="shared" si="10"/>
        <v>0</v>
      </c>
      <c r="E188" s="1523">
        <f t="shared" si="11"/>
        <v>0</v>
      </c>
      <c r="F188" s="1523"/>
      <c r="G188" s="1529">
        <f>+Cash!I19</f>
        <v>0</v>
      </c>
      <c r="H188" s="244"/>
      <c r="I188" s="419"/>
      <c r="J188" s="419"/>
      <c r="K188" s="419"/>
      <c r="L188" s="419"/>
      <c r="M188" s="451"/>
      <c r="N188" s="419"/>
      <c r="O188" s="419"/>
      <c r="P188" s="419"/>
      <c r="Q188" s="419"/>
      <c r="R188" s="419"/>
    </row>
    <row r="189" spans="1:18">
      <c r="A189" s="1501" t="s">
        <v>995</v>
      </c>
      <c r="B189" s="1523">
        <f t="shared" si="9"/>
        <v>3497.8110000000015</v>
      </c>
      <c r="C189" s="1523"/>
      <c r="D189" s="1523">
        <f t="shared" si="10"/>
        <v>0</v>
      </c>
      <c r="E189" s="1523">
        <f t="shared" si="11"/>
        <v>4875</v>
      </c>
      <c r="F189" s="1523"/>
      <c r="G189" s="1529">
        <f>+Cash!I20</f>
        <v>4875</v>
      </c>
      <c r="H189" s="419"/>
      <c r="I189" s="419"/>
      <c r="J189" s="419"/>
      <c r="K189" s="419"/>
      <c r="L189" s="419"/>
      <c r="M189" s="451"/>
      <c r="N189" s="419"/>
      <c r="O189" s="419"/>
      <c r="P189" s="419"/>
      <c r="Q189" s="419"/>
      <c r="R189" s="419"/>
    </row>
    <row r="190" spans="1:18">
      <c r="A190" s="1501" t="s">
        <v>167</v>
      </c>
      <c r="B190" s="1523">
        <f t="shared" si="9"/>
        <v>8240.8110000000015</v>
      </c>
      <c r="C190" s="1523"/>
      <c r="D190" s="1523">
        <f t="shared" si="10"/>
        <v>132</v>
      </c>
      <c r="E190" s="1523">
        <f t="shared" si="11"/>
        <v>0</v>
      </c>
      <c r="F190" s="1523"/>
      <c r="G190" s="1529">
        <f>+Cash!I21</f>
        <v>-132</v>
      </c>
      <c r="H190" s="676"/>
      <c r="I190" s="676"/>
      <c r="J190" s="419"/>
      <c r="K190" s="419"/>
      <c r="L190" s="419"/>
      <c r="M190" s="451"/>
      <c r="N190" s="419"/>
      <c r="O190" s="419"/>
      <c r="P190" s="419"/>
      <c r="Q190" s="419"/>
      <c r="R190" s="419"/>
    </row>
    <row r="191" spans="1:18">
      <c r="A191" s="1501" t="s">
        <v>941</v>
      </c>
      <c r="B191" s="1523">
        <f t="shared" si="9"/>
        <v>754.81100000000151</v>
      </c>
      <c r="C191" s="1523"/>
      <c r="D191" s="1523">
        <f t="shared" si="10"/>
        <v>7486</v>
      </c>
      <c r="E191" s="1523">
        <f t="shared" si="11"/>
        <v>0</v>
      </c>
      <c r="F191" s="1523"/>
      <c r="G191" s="1529">
        <f>+Cash!I23</f>
        <v>-7486</v>
      </c>
      <c r="H191" s="676"/>
      <c r="I191" s="676"/>
      <c r="J191" s="419"/>
      <c r="K191" s="419"/>
      <c r="L191" s="419"/>
      <c r="M191" s="451"/>
      <c r="N191" s="419"/>
      <c r="O191" s="419"/>
      <c r="P191" s="419"/>
      <c r="Q191" s="419"/>
      <c r="R191" s="419"/>
    </row>
    <row r="192" spans="1:18">
      <c r="A192" s="1501" t="s">
        <v>865</v>
      </c>
      <c r="B192" s="1523">
        <f t="shared" si="9"/>
        <v>543.03999999996449</v>
      </c>
      <c r="C192" s="1523"/>
      <c r="D192" s="1523">
        <f t="shared" si="10"/>
        <v>211.77100000003702</v>
      </c>
      <c r="E192" s="1523">
        <f t="shared" si="11"/>
        <v>0</v>
      </c>
      <c r="F192" s="1523"/>
      <c r="G192" s="1529">
        <f>+Cash!I18</f>
        <v>-211.77100000003702</v>
      </c>
      <c r="H192" s="1502"/>
      <c r="I192" s="676"/>
      <c r="J192" s="419"/>
      <c r="K192" s="419"/>
      <c r="L192" s="419"/>
      <c r="M192" s="451"/>
      <c r="N192" s="419"/>
      <c r="O192" s="419"/>
      <c r="P192" s="419"/>
      <c r="Q192" s="419"/>
      <c r="R192" s="419"/>
    </row>
    <row r="193" spans="1:18">
      <c r="A193" s="1501" t="s">
        <v>171</v>
      </c>
      <c r="B193" s="1523">
        <f t="shared" ref="B193:B199" si="12">SUM(B192,E192:F192)-D193</f>
        <v>543.03999999996449</v>
      </c>
      <c r="C193" s="1523"/>
      <c r="D193" s="1523">
        <f t="shared" si="10"/>
        <v>0</v>
      </c>
      <c r="E193" s="1523">
        <f t="shared" si="11"/>
        <v>1335</v>
      </c>
      <c r="F193" s="1523"/>
      <c r="G193" s="1529">
        <f>+Cash!I26</f>
        <v>1335</v>
      </c>
      <c r="H193" s="676"/>
      <c r="I193" s="676"/>
      <c r="J193" s="419"/>
      <c r="K193" s="419"/>
      <c r="L193" s="419"/>
      <c r="M193" s="451"/>
      <c r="N193" s="419"/>
      <c r="O193" s="419"/>
      <c r="P193" s="419"/>
      <c r="Q193" s="419"/>
      <c r="R193" s="419"/>
    </row>
    <row r="194" spans="1:18">
      <c r="A194" s="1501" t="s">
        <v>172</v>
      </c>
      <c r="B194" s="1523">
        <f t="shared" si="12"/>
        <v>1878.0399999999645</v>
      </c>
      <c r="C194" s="1523"/>
      <c r="D194" s="1523">
        <f t="shared" si="10"/>
        <v>0</v>
      </c>
      <c r="E194" s="1523">
        <f t="shared" si="11"/>
        <v>0</v>
      </c>
      <c r="F194" s="1523"/>
      <c r="G194" s="1529">
        <f>+Cash!I27</f>
        <v>0</v>
      </c>
      <c r="H194" s="676"/>
      <c r="I194" s="676"/>
      <c r="J194" s="419"/>
      <c r="K194" s="419"/>
      <c r="L194" s="419"/>
      <c r="M194" s="451"/>
      <c r="N194" s="419"/>
      <c r="O194" s="419"/>
      <c r="P194" s="419"/>
      <c r="Q194" s="419"/>
      <c r="R194" s="419"/>
    </row>
    <row r="195" spans="1:18">
      <c r="A195" s="1501" t="s">
        <v>173</v>
      </c>
      <c r="B195" s="1523">
        <f t="shared" si="12"/>
        <v>1878.0399999999645</v>
      </c>
      <c r="C195" s="1523"/>
      <c r="D195" s="1523">
        <f t="shared" si="10"/>
        <v>0</v>
      </c>
      <c r="E195" s="1523">
        <f t="shared" si="11"/>
        <v>0</v>
      </c>
      <c r="F195" s="1523"/>
      <c r="G195" s="1529">
        <f>+Cash!I28</f>
        <v>0</v>
      </c>
      <c r="H195" s="676"/>
      <c r="I195" s="676"/>
      <c r="J195" s="419"/>
      <c r="K195" s="419"/>
      <c r="L195" s="419"/>
      <c r="M195" s="451"/>
      <c r="N195" s="419"/>
      <c r="O195" s="419"/>
      <c r="P195" s="419"/>
      <c r="Q195" s="419"/>
      <c r="R195" s="419"/>
    </row>
    <row r="196" spans="1:18">
      <c r="A196" s="1501" t="s">
        <v>993</v>
      </c>
      <c r="B196" s="1523">
        <f t="shared" si="12"/>
        <v>1878.0399999999645</v>
      </c>
      <c r="C196" s="1523"/>
      <c r="D196" s="1523">
        <f t="shared" si="10"/>
        <v>0</v>
      </c>
      <c r="E196" s="1523">
        <f t="shared" si="11"/>
        <v>55</v>
      </c>
      <c r="F196" s="1523"/>
      <c r="G196" s="1529">
        <f>+Cash!I29</f>
        <v>55</v>
      </c>
      <c r="H196" s="676"/>
      <c r="I196" s="676"/>
      <c r="J196" s="419"/>
      <c r="K196" s="419"/>
      <c r="L196" s="419"/>
      <c r="M196" s="451"/>
      <c r="N196" s="419"/>
      <c r="O196" s="419"/>
      <c r="P196" s="419"/>
      <c r="Q196" s="419"/>
      <c r="R196" s="419"/>
    </row>
    <row r="197" spans="1:18">
      <c r="A197" s="1501" t="s">
        <v>175</v>
      </c>
      <c r="B197" s="1523">
        <f t="shared" si="12"/>
        <v>1932.0399999999645</v>
      </c>
      <c r="C197" s="1523"/>
      <c r="D197" s="1523">
        <f t="shared" si="10"/>
        <v>1</v>
      </c>
      <c r="E197" s="1523">
        <f t="shared" si="11"/>
        <v>0</v>
      </c>
      <c r="F197" s="1523"/>
      <c r="G197" s="1529">
        <f>+Cash!I30</f>
        <v>-1</v>
      </c>
      <c r="H197" s="676"/>
      <c r="I197" s="676"/>
      <c r="J197" s="419"/>
      <c r="K197" s="419"/>
      <c r="L197" s="419"/>
      <c r="M197" s="451"/>
      <c r="N197" s="419"/>
      <c r="O197" s="419"/>
      <c r="P197" s="419"/>
      <c r="Q197" s="419"/>
      <c r="R197" s="419"/>
    </row>
    <row r="198" spans="1:18">
      <c r="A198" s="1535" t="s">
        <v>994</v>
      </c>
      <c r="B198" s="1523">
        <f t="shared" si="12"/>
        <v>1932.0399999999645</v>
      </c>
      <c r="C198" s="1523"/>
      <c r="D198" s="1523">
        <f t="shared" si="10"/>
        <v>0</v>
      </c>
      <c r="E198" s="1523">
        <f t="shared" si="11"/>
        <v>0</v>
      </c>
      <c r="F198" s="1523"/>
      <c r="G198" s="1529">
        <f>+Cash!I24</f>
        <v>0</v>
      </c>
      <c r="H198" s="676"/>
      <c r="I198" s="676"/>
      <c r="J198" s="419"/>
      <c r="K198" s="419"/>
      <c r="L198" s="419"/>
      <c r="M198" s="451"/>
      <c r="N198" s="419"/>
      <c r="O198" s="419"/>
      <c r="P198" s="419"/>
      <c r="Q198" s="419"/>
      <c r="R198" s="419"/>
    </row>
    <row r="199" spans="1:18">
      <c r="A199" s="1501" t="s">
        <v>177</v>
      </c>
      <c r="B199" s="1523">
        <f t="shared" si="12"/>
        <v>1932.0399999999645</v>
      </c>
      <c r="C199" s="1523"/>
      <c r="D199" s="1523">
        <f t="shared" si="10"/>
        <v>0</v>
      </c>
      <c r="E199" s="1523">
        <f t="shared" si="11"/>
        <v>1236</v>
      </c>
      <c r="F199" s="1523"/>
      <c r="G199" s="1529">
        <f>+Cash!I32</f>
        <v>1236</v>
      </c>
      <c r="H199" s="676"/>
      <c r="I199" s="676"/>
      <c r="J199" s="419"/>
      <c r="K199" s="419"/>
      <c r="L199" s="419"/>
      <c r="M199" s="451"/>
      <c r="N199" s="419"/>
      <c r="O199" s="419"/>
      <c r="P199" s="419"/>
      <c r="Q199" s="419"/>
      <c r="R199" s="419"/>
    </row>
    <row r="200" spans="1:18">
      <c r="A200" s="1501" t="s">
        <v>834</v>
      </c>
      <c r="B200" s="1520"/>
      <c r="C200" s="1524">
        <f>SUM(B199,E199:F199)-D200</f>
        <v>3168.0399999999645</v>
      </c>
      <c r="D200" s="1523"/>
      <c r="E200" s="1523"/>
      <c r="F200" s="1523"/>
      <c r="G200" s="1525"/>
      <c r="H200" s="676"/>
      <c r="I200" s="676"/>
      <c r="J200" s="419"/>
      <c r="K200" s="419"/>
      <c r="L200" s="419"/>
      <c r="M200" s="451"/>
      <c r="N200" s="419"/>
      <c r="O200" s="419"/>
      <c r="P200" s="419"/>
      <c r="Q200" s="419"/>
      <c r="R200" s="419"/>
    </row>
    <row r="201" spans="1:18">
      <c r="A201" s="1501"/>
      <c r="B201" s="1523"/>
      <c r="C201" s="1523"/>
      <c r="D201" s="1523"/>
      <c r="E201" s="1523"/>
      <c r="F201" s="1523"/>
      <c r="G201" s="1525"/>
      <c r="H201" s="676"/>
      <c r="I201" s="676"/>
      <c r="J201" s="419"/>
      <c r="K201" s="419"/>
      <c r="L201" s="419"/>
      <c r="M201" s="451"/>
      <c r="N201" s="419"/>
      <c r="O201" s="419"/>
      <c r="P201" s="419"/>
      <c r="Q201" s="419"/>
      <c r="R201" s="419"/>
    </row>
    <row r="202" spans="1:18">
      <c r="A202" s="1533" t="s">
        <v>671</v>
      </c>
      <c r="B202" s="1534"/>
      <c r="C202" s="1534">
        <f>SUM(G186:G199)-C200</f>
        <v>0</v>
      </c>
      <c r="D202" s="1542" t="str">
        <f>IF(C202=0,"OK","NOT OK")</f>
        <v>OK</v>
      </c>
      <c r="E202" s="1536"/>
      <c r="F202" s="1536"/>
      <c r="G202" s="1537"/>
      <c r="H202" s="676"/>
      <c r="I202" s="676"/>
      <c r="J202" s="419"/>
      <c r="K202" s="419"/>
      <c r="L202" s="419"/>
      <c r="M202" s="451"/>
      <c r="N202" s="419"/>
      <c r="O202" s="419"/>
      <c r="P202" s="419"/>
      <c r="Q202" s="419"/>
      <c r="R202" s="419"/>
    </row>
    <row r="203" spans="1:18">
      <c r="A203" s="674"/>
      <c r="B203" s="676"/>
      <c r="C203" s="676"/>
      <c r="D203" s="676"/>
      <c r="E203" s="676"/>
      <c r="F203" s="676"/>
      <c r="G203" s="676"/>
      <c r="H203" s="676"/>
      <c r="I203" s="676"/>
      <c r="J203" s="419"/>
      <c r="K203" s="419"/>
      <c r="L203" s="419"/>
      <c r="M203" s="451"/>
      <c r="N203" s="419"/>
      <c r="O203" s="419"/>
      <c r="P203" s="419"/>
      <c r="Q203" s="419"/>
      <c r="R203" s="419"/>
    </row>
    <row r="204" spans="1:18">
      <c r="A204" s="419"/>
      <c r="B204" s="676"/>
      <c r="C204" s="677"/>
      <c r="D204" s="677"/>
      <c r="E204" s="677"/>
      <c r="F204" s="677"/>
      <c r="G204" s="677"/>
      <c r="H204" s="676"/>
      <c r="I204" s="676"/>
      <c r="J204" s="419"/>
      <c r="K204" s="419"/>
      <c r="L204" s="419"/>
      <c r="M204" s="451"/>
      <c r="N204" s="419"/>
      <c r="O204" s="419"/>
      <c r="P204" s="419"/>
      <c r="Q204" s="419"/>
      <c r="R204" s="419"/>
    </row>
    <row r="205" spans="1:18">
      <c r="A205" s="1541" t="s">
        <v>633</v>
      </c>
      <c r="B205" s="1538"/>
      <c r="C205" s="1539"/>
      <c r="D205" s="1539"/>
      <c r="E205" s="1539"/>
      <c r="F205" s="1539"/>
      <c r="G205" s="1540"/>
      <c r="H205" s="677"/>
      <c r="I205" s="676"/>
      <c r="J205" s="419"/>
      <c r="K205" s="419"/>
      <c r="L205" s="419"/>
      <c r="M205" s="451"/>
      <c r="N205" s="419"/>
    </row>
    <row r="206" spans="1:18">
      <c r="A206" s="1494"/>
      <c r="B206" s="1475"/>
      <c r="C206" s="1475"/>
      <c r="D206" s="1495"/>
      <c r="E206" s="1495"/>
      <c r="F206" s="1475"/>
      <c r="G206" s="1496"/>
      <c r="H206" s="677"/>
      <c r="I206" s="676"/>
      <c r="J206" s="419"/>
      <c r="K206" s="419"/>
      <c r="L206" s="419"/>
      <c r="M206" s="451"/>
      <c r="N206" s="419"/>
    </row>
    <row r="207" spans="1:18">
      <c r="A207" s="1491"/>
      <c r="B207" s="1492" t="s">
        <v>664</v>
      </c>
      <c r="C207" s="1492" t="s">
        <v>665</v>
      </c>
      <c r="D207" s="1492" t="s">
        <v>666</v>
      </c>
      <c r="E207" s="1492" t="s">
        <v>667</v>
      </c>
      <c r="F207" s="1492" t="s">
        <v>668</v>
      </c>
      <c r="G207" s="1493" t="s">
        <v>669</v>
      </c>
      <c r="O207" s="419"/>
      <c r="P207" s="419"/>
      <c r="Q207" s="419"/>
      <c r="R207" s="419"/>
    </row>
    <row r="208" spans="1:18">
      <c r="A208" s="1494"/>
      <c r="B208" s="1475"/>
      <c r="C208" s="1475"/>
      <c r="D208" s="1495"/>
      <c r="E208" s="1495"/>
      <c r="F208" s="1475"/>
      <c r="G208" s="1496"/>
      <c r="O208" s="419"/>
      <c r="P208" s="419"/>
      <c r="Q208" s="419"/>
      <c r="R208" s="419"/>
    </row>
    <row r="209" spans="1:18">
      <c r="A209" s="1494" t="s">
        <v>721</v>
      </c>
      <c r="B209" s="1498"/>
      <c r="C209" s="1498"/>
      <c r="D209" s="1498"/>
      <c r="E209" s="1498"/>
      <c r="F209" s="1499" t="e">
        <f>G209</f>
        <v>#REF!</v>
      </c>
      <c r="G209" s="1500" t="e">
        <f>#REF!*1000</f>
        <v>#REF!</v>
      </c>
      <c r="H209" s="244"/>
      <c r="I209" s="419"/>
      <c r="J209" s="419"/>
      <c r="K209" s="419"/>
      <c r="L209" s="419"/>
      <c r="M209" s="451"/>
      <c r="N209" s="419"/>
      <c r="O209" s="419"/>
      <c r="P209" s="419"/>
      <c r="Q209" s="419"/>
      <c r="R209" s="419"/>
    </row>
    <row r="210" spans="1:18">
      <c r="A210" s="1511" t="e">
        <f>+#REF!</f>
        <v>#REF!</v>
      </c>
      <c r="B210" s="1498" t="e">
        <f t="shared" ref="B210:B220" si="13">SUM(B209,E209:F209)-D210</f>
        <v>#REF!</v>
      </c>
      <c r="C210" s="1498"/>
      <c r="D210" s="1498" t="e">
        <f>-MIN(G210,0)</f>
        <v>#REF!</v>
      </c>
      <c r="E210" s="1498" t="e">
        <f>MAX(G210,0)</f>
        <v>#REF!</v>
      </c>
      <c r="F210" s="1498"/>
      <c r="G210" s="1500" t="e">
        <f>-#REF!*1000</f>
        <v>#REF!</v>
      </c>
      <c r="H210" s="419"/>
      <c r="I210" s="419"/>
      <c r="J210" s="419"/>
      <c r="K210" s="419"/>
      <c r="L210" s="419"/>
      <c r="M210" s="451"/>
      <c r="N210" s="419"/>
      <c r="O210" s="419"/>
      <c r="P210" s="419"/>
      <c r="Q210" s="419"/>
      <c r="R210" s="419"/>
    </row>
    <row r="211" spans="1:18">
      <c r="A211" s="1511" t="e">
        <f>+#REF!</f>
        <v>#REF!</v>
      </c>
      <c r="B211" s="1498" t="e">
        <f t="shared" si="13"/>
        <v>#REF!</v>
      </c>
      <c r="C211" s="1498"/>
      <c r="D211" s="1498" t="e">
        <f t="shared" ref="D211:D220" si="14">-MIN(G211,0)</f>
        <v>#REF!</v>
      </c>
      <c r="E211" s="1498" t="e">
        <f>MAX(G211,0)</f>
        <v>#REF!</v>
      </c>
      <c r="F211" s="1498"/>
      <c r="G211" s="1500" t="e">
        <f>-#REF!*1000</f>
        <v>#REF!</v>
      </c>
      <c r="H211" s="676"/>
      <c r="I211" s="676"/>
      <c r="J211" s="419"/>
      <c r="K211" s="419"/>
      <c r="L211" s="419"/>
      <c r="M211" s="451"/>
      <c r="N211" s="419"/>
      <c r="O211" s="419"/>
      <c r="P211" s="419"/>
      <c r="Q211" s="419"/>
      <c r="R211" s="419"/>
    </row>
    <row r="212" spans="1:18">
      <c r="A212" s="1511" t="e">
        <f>+#REF!</f>
        <v>#REF!</v>
      </c>
      <c r="B212" s="1498" t="e">
        <f t="shared" si="13"/>
        <v>#REF!</v>
      </c>
      <c r="C212" s="1498"/>
      <c r="D212" s="1498" t="e">
        <f>-MIN(G212,0)</f>
        <v>#REF!</v>
      </c>
      <c r="E212" s="1498" t="e">
        <f t="shared" ref="E212:E220" si="15">MAX(G212,0)</f>
        <v>#REF!</v>
      </c>
      <c r="F212" s="1498"/>
      <c r="G212" s="1500" t="e">
        <f>-#REF!*1000</f>
        <v>#REF!</v>
      </c>
      <c r="H212" s="676"/>
      <c r="I212" s="676"/>
      <c r="J212" s="419"/>
      <c r="K212" s="419"/>
      <c r="L212" s="419"/>
      <c r="M212" s="451"/>
      <c r="N212" s="419"/>
      <c r="O212" s="419"/>
      <c r="P212" s="419"/>
      <c r="Q212" s="419"/>
      <c r="R212" s="419"/>
    </row>
    <row r="213" spans="1:18">
      <c r="A213" s="1511" t="e">
        <f>+#REF!</f>
        <v>#REF!</v>
      </c>
      <c r="B213" s="1498" t="e">
        <f t="shared" si="13"/>
        <v>#REF!</v>
      </c>
      <c r="C213" s="1498"/>
      <c r="D213" s="1498" t="e">
        <f t="shared" si="14"/>
        <v>#REF!</v>
      </c>
      <c r="E213" s="1498" t="e">
        <f t="shared" si="15"/>
        <v>#REF!</v>
      </c>
      <c r="F213" s="1498"/>
      <c r="G213" s="1500" t="e">
        <f>-#REF!*1000</f>
        <v>#REF!</v>
      </c>
      <c r="H213" s="676"/>
      <c r="I213" s="676"/>
      <c r="J213" s="419"/>
      <c r="K213" s="419"/>
      <c r="L213" s="419"/>
      <c r="M213" s="451"/>
      <c r="N213" s="419"/>
      <c r="O213" s="419"/>
      <c r="P213" s="419"/>
      <c r="Q213" s="419"/>
      <c r="R213" s="419"/>
    </row>
    <row r="214" spans="1:18">
      <c r="A214" s="1511" t="e">
        <f>+#REF!</f>
        <v>#REF!</v>
      </c>
      <c r="B214" s="1498" t="e">
        <f t="shared" si="13"/>
        <v>#REF!</v>
      </c>
      <c r="C214" s="1498"/>
      <c r="D214" s="1498" t="e">
        <f t="shared" si="14"/>
        <v>#REF!</v>
      </c>
      <c r="E214" s="1498" t="e">
        <f t="shared" si="15"/>
        <v>#REF!</v>
      </c>
      <c r="F214" s="1498"/>
      <c r="G214" s="1500" t="e">
        <f>-#REF!*1000</f>
        <v>#REF!</v>
      </c>
      <c r="H214" s="676"/>
      <c r="I214" s="676"/>
      <c r="J214" s="419"/>
      <c r="K214" s="419"/>
      <c r="L214" s="419"/>
      <c r="M214" s="451"/>
      <c r="N214" s="419"/>
      <c r="O214" s="419"/>
      <c r="P214" s="419"/>
      <c r="Q214" s="419"/>
      <c r="R214" s="419"/>
    </row>
    <row r="215" spans="1:18">
      <c r="A215" s="1511" t="e">
        <f>+#REF!</f>
        <v>#REF!</v>
      </c>
      <c r="B215" s="1498" t="e">
        <f t="shared" si="13"/>
        <v>#REF!</v>
      </c>
      <c r="C215" s="1498"/>
      <c r="D215" s="1498" t="e">
        <f t="shared" si="14"/>
        <v>#REF!</v>
      </c>
      <c r="E215" s="1498" t="e">
        <f t="shared" si="15"/>
        <v>#REF!</v>
      </c>
      <c r="F215" s="1498"/>
      <c r="G215" s="1500" t="e">
        <f>-#REF!*1000</f>
        <v>#REF!</v>
      </c>
      <c r="H215" s="676"/>
      <c r="I215" s="676"/>
      <c r="J215" s="419"/>
      <c r="K215" s="419"/>
      <c r="L215" s="419"/>
      <c r="M215" s="451"/>
      <c r="N215" s="419"/>
      <c r="O215" s="419"/>
      <c r="P215" s="419"/>
      <c r="Q215" s="419"/>
      <c r="R215" s="419"/>
    </row>
    <row r="216" spans="1:18">
      <c r="A216" s="1511" t="e">
        <f>+#REF!</f>
        <v>#REF!</v>
      </c>
      <c r="B216" s="1498" t="e">
        <f t="shared" si="13"/>
        <v>#REF!</v>
      </c>
      <c r="C216" s="1498"/>
      <c r="D216" s="1498" t="e">
        <f t="shared" si="14"/>
        <v>#REF!</v>
      </c>
      <c r="E216" s="1498" t="e">
        <f t="shared" si="15"/>
        <v>#REF!</v>
      </c>
      <c r="F216" s="1498"/>
      <c r="G216" s="1500" t="e">
        <f>-#REF!*1000</f>
        <v>#REF!</v>
      </c>
      <c r="H216" s="676"/>
      <c r="I216" s="676"/>
      <c r="J216" s="419"/>
      <c r="K216" s="419"/>
      <c r="L216" s="419"/>
      <c r="M216" s="451"/>
      <c r="N216" s="419"/>
      <c r="O216" s="419"/>
      <c r="P216" s="419"/>
      <c r="Q216" s="419"/>
      <c r="R216" s="419"/>
    </row>
    <row r="217" spans="1:18">
      <c r="A217" s="1511" t="e">
        <f>+#REF!</f>
        <v>#REF!</v>
      </c>
      <c r="B217" s="1498" t="e">
        <f t="shared" si="13"/>
        <v>#REF!</v>
      </c>
      <c r="C217" s="1498"/>
      <c r="D217" s="1498" t="e">
        <f t="shared" si="14"/>
        <v>#REF!</v>
      </c>
      <c r="E217" s="1498" t="e">
        <f t="shared" si="15"/>
        <v>#REF!</v>
      </c>
      <c r="F217" s="1498"/>
      <c r="G217" s="1500" t="e">
        <f>-#REF!*1000</f>
        <v>#REF!</v>
      </c>
      <c r="H217" s="676"/>
      <c r="I217" s="676"/>
      <c r="J217" s="419"/>
      <c r="K217" s="419"/>
      <c r="L217" s="419"/>
      <c r="M217" s="451"/>
      <c r="N217" s="419"/>
      <c r="O217" s="419"/>
      <c r="P217" s="419"/>
      <c r="Q217" s="419"/>
      <c r="R217" s="419"/>
    </row>
    <row r="218" spans="1:18">
      <c r="A218" s="1511" t="e">
        <f>+#REF!</f>
        <v>#REF!</v>
      </c>
      <c r="B218" s="1498" t="e">
        <f t="shared" si="13"/>
        <v>#REF!</v>
      </c>
      <c r="C218" s="1498"/>
      <c r="D218" s="1498" t="e">
        <f t="shared" si="14"/>
        <v>#REF!</v>
      </c>
      <c r="E218" s="1498" t="e">
        <f t="shared" si="15"/>
        <v>#REF!</v>
      </c>
      <c r="F218" s="1498"/>
      <c r="G218" s="1500" t="e">
        <f>-#REF!*1000</f>
        <v>#REF!</v>
      </c>
      <c r="H218" s="676"/>
      <c r="I218" s="676"/>
      <c r="J218" s="419"/>
      <c r="K218" s="419"/>
      <c r="L218" s="419"/>
      <c r="M218" s="451"/>
      <c r="N218" s="419"/>
      <c r="O218" s="419"/>
      <c r="P218" s="419"/>
      <c r="Q218" s="419"/>
      <c r="R218" s="419"/>
    </row>
    <row r="219" spans="1:18">
      <c r="A219" s="1511" t="e">
        <f>+#REF!</f>
        <v>#REF!</v>
      </c>
      <c r="B219" s="1498" t="e">
        <f t="shared" si="13"/>
        <v>#REF!</v>
      </c>
      <c r="C219" s="1498"/>
      <c r="D219" s="1498" t="e">
        <f t="shared" si="14"/>
        <v>#REF!</v>
      </c>
      <c r="E219" s="1498" t="e">
        <f t="shared" si="15"/>
        <v>#REF!</v>
      </c>
      <c r="F219" s="1498"/>
      <c r="G219" s="1500" t="e">
        <f>-#REF!*1000</f>
        <v>#REF!</v>
      </c>
      <c r="H219" s="676"/>
      <c r="I219" s="676"/>
      <c r="J219" s="419"/>
      <c r="K219" s="419"/>
      <c r="L219" s="419"/>
      <c r="M219" s="451"/>
      <c r="N219" s="419"/>
      <c r="O219" s="419"/>
      <c r="P219" s="419"/>
      <c r="Q219" s="419"/>
      <c r="R219" s="419"/>
    </row>
    <row r="220" spans="1:18">
      <c r="A220" s="1511" t="e">
        <f>+#REF!</f>
        <v>#REF!</v>
      </c>
      <c r="B220" s="1498" t="e">
        <f t="shared" si="13"/>
        <v>#REF!</v>
      </c>
      <c r="C220" s="1498"/>
      <c r="D220" s="1498" t="e">
        <f t="shared" si="14"/>
        <v>#REF!</v>
      </c>
      <c r="E220" s="1498" t="e">
        <f t="shared" si="15"/>
        <v>#REF!</v>
      </c>
      <c r="F220" s="1498"/>
      <c r="G220" s="1500" t="e">
        <f>-#REF!*1000</f>
        <v>#REF!</v>
      </c>
      <c r="H220" s="676"/>
      <c r="I220" s="676"/>
      <c r="J220" s="419"/>
      <c r="K220" s="419"/>
      <c r="L220" s="419"/>
      <c r="M220" s="451"/>
      <c r="N220" s="419"/>
      <c r="O220" s="419"/>
      <c r="P220" s="419"/>
      <c r="Q220" s="419"/>
      <c r="R220" s="419"/>
    </row>
    <row r="221" spans="1:18">
      <c r="A221" s="1511" t="s">
        <v>834</v>
      </c>
      <c r="B221" s="1475"/>
      <c r="C221" s="1524" t="e">
        <f>SUM(B220,E220:F220)-D221</f>
        <v>#REF!</v>
      </c>
      <c r="D221" s="1498"/>
      <c r="E221" s="1498"/>
      <c r="F221" s="1498"/>
      <c r="G221" s="1512"/>
      <c r="H221" s="676"/>
      <c r="I221" s="676"/>
      <c r="J221" s="419"/>
      <c r="K221" s="419"/>
      <c r="L221" s="419"/>
      <c r="M221" s="451"/>
      <c r="N221" s="419"/>
      <c r="O221" s="419"/>
      <c r="P221" s="419"/>
      <c r="Q221" s="419"/>
      <c r="R221" s="419"/>
    </row>
    <row r="222" spans="1:18">
      <c r="A222" s="1491"/>
      <c r="B222" s="1498"/>
      <c r="C222" s="1489"/>
      <c r="D222" s="1489"/>
      <c r="E222" s="1489"/>
      <c r="F222" s="1489"/>
      <c r="G222" s="1490"/>
      <c r="H222" s="676"/>
      <c r="I222" s="676"/>
      <c r="J222" s="419"/>
      <c r="K222" s="419"/>
      <c r="L222" s="419"/>
      <c r="M222" s="451"/>
      <c r="N222" s="419"/>
      <c r="O222" s="419"/>
      <c r="P222" s="419"/>
      <c r="Q222" s="419"/>
      <c r="R222" s="419"/>
    </row>
    <row r="223" spans="1:18">
      <c r="A223" s="1543" t="s">
        <v>671</v>
      </c>
      <c r="B223" s="1544"/>
      <c r="C223" s="1544" t="e">
        <f>SUM(G209:G220)-C221</f>
        <v>#REF!</v>
      </c>
      <c r="D223" s="1542" t="e">
        <f>IF(C223=0,"OK","NOT OK")</f>
        <v>#REF!</v>
      </c>
      <c r="E223" s="1506"/>
      <c r="F223" s="1506"/>
      <c r="G223" s="1507"/>
      <c r="H223" s="676"/>
      <c r="I223" s="676"/>
      <c r="J223" s="419"/>
      <c r="K223" s="419"/>
      <c r="L223" s="419"/>
      <c r="M223" s="451"/>
      <c r="N223" s="419"/>
      <c r="O223" s="419"/>
      <c r="P223" s="419"/>
      <c r="Q223" s="419"/>
      <c r="R223" s="419"/>
    </row>
    <row r="224" spans="1:18">
      <c r="B224" s="1478"/>
      <c r="C224" s="1477"/>
      <c r="D224" s="1477"/>
      <c r="E224" s="1477"/>
      <c r="F224" s="1477"/>
      <c r="G224" s="1477"/>
      <c r="H224" s="676"/>
      <c r="I224" s="674"/>
      <c r="J224" s="419"/>
      <c r="K224" s="419"/>
      <c r="L224" s="419"/>
      <c r="M224" s="451"/>
      <c r="N224" s="419"/>
      <c r="O224" s="419"/>
      <c r="P224" s="419"/>
      <c r="Q224" s="419"/>
      <c r="R224" s="419"/>
    </row>
    <row r="225" spans="1:18">
      <c r="A225" s="1480"/>
      <c r="B225" s="1478"/>
      <c r="C225" s="1477"/>
      <c r="D225" s="1477"/>
      <c r="E225" s="1477"/>
      <c r="F225" s="1477"/>
      <c r="G225" s="1477"/>
      <c r="H225" s="676"/>
      <c r="I225" s="676"/>
      <c r="J225" s="419"/>
      <c r="K225" s="419"/>
      <c r="L225" s="419"/>
      <c r="M225" s="451"/>
      <c r="N225" s="419"/>
      <c r="O225" s="419"/>
      <c r="P225" s="419"/>
      <c r="Q225" s="419"/>
      <c r="R225" s="419"/>
    </row>
    <row r="226" spans="1:18">
      <c r="C226" s="1483"/>
      <c r="D226" s="1483"/>
      <c r="E226" s="1483"/>
      <c r="F226" s="1483"/>
      <c r="G226" s="1483"/>
      <c r="H226" s="676"/>
      <c r="I226" s="676"/>
      <c r="J226" s="419"/>
      <c r="K226" s="419"/>
      <c r="L226" s="419"/>
      <c r="M226" s="451"/>
      <c r="N226" s="419"/>
      <c r="O226" s="419"/>
      <c r="P226" s="419"/>
      <c r="Q226" s="419"/>
      <c r="R226" s="419"/>
    </row>
    <row r="227" spans="1:18">
      <c r="H227" s="676"/>
      <c r="I227" s="676"/>
      <c r="J227" s="419"/>
      <c r="K227" s="419"/>
      <c r="L227" s="419"/>
      <c r="M227" s="451"/>
      <c r="N227" s="419"/>
      <c r="O227" s="419"/>
      <c r="P227" s="419"/>
      <c r="Q227" s="419"/>
      <c r="R227" s="419"/>
    </row>
    <row r="228" spans="1:18">
      <c r="C228" s="1484"/>
      <c r="D228" s="1484"/>
      <c r="E228" s="1484"/>
      <c r="F228" s="1484"/>
      <c r="G228" s="1484"/>
      <c r="H228" s="676"/>
      <c r="I228" s="676"/>
      <c r="J228" s="419"/>
      <c r="K228" s="419"/>
      <c r="L228" s="419"/>
      <c r="M228" s="451"/>
      <c r="N228" s="419"/>
      <c r="O228" s="419"/>
      <c r="P228" s="419"/>
      <c r="Q228" s="419"/>
      <c r="R228" s="419"/>
    </row>
    <row r="229" spans="1:18">
      <c r="H229" s="676"/>
      <c r="I229" s="676"/>
      <c r="J229" s="419"/>
      <c r="K229" s="419"/>
      <c r="L229" s="419"/>
      <c r="M229" s="451"/>
      <c r="N229" s="419"/>
      <c r="O229" s="419"/>
      <c r="P229" s="419"/>
      <c r="Q229" s="419"/>
      <c r="R229" s="419"/>
    </row>
    <row r="230" spans="1:18">
      <c r="H230" s="676"/>
      <c r="I230" s="676"/>
      <c r="J230" s="419"/>
      <c r="K230" s="419"/>
      <c r="L230" s="419"/>
      <c r="M230" s="451"/>
      <c r="N230" s="419"/>
      <c r="O230" s="419"/>
      <c r="P230" s="419"/>
      <c r="Q230" s="419"/>
      <c r="R230" s="419"/>
    </row>
    <row r="231" spans="1:18">
      <c r="H231" s="676"/>
      <c r="I231" s="676"/>
      <c r="J231" s="419"/>
      <c r="K231" s="419"/>
      <c r="L231" s="419"/>
      <c r="M231" s="451"/>
      <c r="N231" s="419"/>
      <c r="O231" s="419"/>
      <c r="P231" s="419"/>
      <c r="Q231" s="419"/>
      <c r="R231" s="419"/>
    </row>
    <row r="232" spans="1:18">
      <c r="H232" s="676"/>
      <c r="I232" s="676"/>
      <c r="J232" s="419"/>
      <c r="K232" s="419"/>
      <c r="L232" s="419"/>
      <c r="M232" s="451"/>
      <c r="N232" s="419"/>
      <c r="O232" s="419"/>
      <c r="P232" s="419"/>
      <c r="Q232" s="419"/>
      <c r="R232" s="419"/>
    </row>
    <row r="233" spans="1:18">
      <c r="H233" s="676"/>
      <c r="I233" s="676"/>
      <c r="J233" s="419"/>
      <c r="K233" s="419"/>
      <c r="L233" s="419"/>
      <c r="M233" s="451"/>
      <c r="N233" s="419"/>
      <c r="O233" s="419"/>
      <c r="P233" s="419"/>
      <c r="Q233" s="419"/>
      <c r="R233" s="419"/>
    </row>
    <row r="234" spans="1:18">
      <c r="H234" s="676"/>
      <c r="I234" s="676"/>
      <c r="J234" s="419"/>
      <c r="K234" s="419"/>
      <c r="L234" s="419"/>
      <c r="M234" s="451"/>
      <c r="N234" s="419"/>
      <c r="O234" s="419"/>
      <c r="P234" s="419"/>
      <c r="Q234" s="419"/>
      <c r="R234" s="419"/>
    </row>
    <row r="235" spans="1:18">
      <c r="H235" s="676"/>
      <c r="I235" s="676"/>
      <c r="J235" s="419"/>
      <c r="K235" s="419"/>
      <c r="L235" s="419"/>
      <c r="M235" s="451"/>
      <c r="N235" s="419"/>
      <c r="O235" s="419"/>
      <c r="P235" s="419"/>
      <c r="Q235" s="419"/>
      <c r="R235" s="419"/>
    </row>
    <row r="236" spans="1:18">
      <c r="H236" s="676"/>
      <c r="I236" s="676"/>
      <c r="J236" s="419"/>
      <c r="K236" s="419"/>
      <c r="L236" s="419"/>
      <c r="M236" s="451"/>
      <c r="N236" s="419"/>
      <c r="O236" s="419"/>
      <c r="P236" s="419"/>
      <c r="Q236" s="419"/>
      <c r="R236" s="419"/>
    </row>
    <row r="237" spans="1:18">
      <c r="H237" s="677"/>
      <c r="I237" s="676"/>
      <c r="J237" s="419"/>
      <c r="K237" s="419"/>
      <c r="L237" s="419"/>
      <c r="M237" s="451"/>
      <c r="N237" s="419"/>
      <c r="O237" s="419"/>
      <c r="P237" s="419"/>
      <c r="Q237" s="419"/>
      <c r="R237" s="419"/>
    </row>
    <row r="238" spans="1:18">
      <c r="H238" s="677"/>
      <c r="I238" s="676"/>
      <c r="J238" s="419"/>
      <c r="K238" s="419"/>
      <c r="L238" s="419"/>
      <c r="M238" s="451"/>
      <c r="N238" s="419"/>
      <c r="O238" s="419"/>
      <c r="P238" s="419"/>
      <c r="Q238" s="419"/>
      <c r="R238" s="419"/>
    </row>
    <row r="239" spans="1:18">
      <c r="H239" s="677"/>
      <c r="I239" s="676"/>
      <c r="J239" s="419"/>
      <c r="K239" s="419"/>
      <c r="L239" s="419"/>
      <c r="M239" s="451"/>
      <c r="N239" s="419"/>
      <c r="O239" s="419"/>
      <c r="P239" s="419"/>
      <c r="Q239" s="419"/>
      <c r="R239" s="419"/>
    </row>
    <row r="240" spans="1:18">
      <c r="H240" s="677"/>
      <c r="I240" s="676"/>
      <c r="J240" s="419"/>
      <c r="K240" s="419"/>
      <c r="L240" s="419"/>
      <c r="M240" s="451"/>
      <c r="N240" s="419"/>
      <c r="O240" s="419"/>
      <c r="P240" s="419"/>
      <c r="Q240" s="419"/>
      <c r="R240" s="419"/>
    </row>
    <row r="241" spans="8:18">
      <c r="H241" s="677"/>
      <c r="I241" s="676"/>
      <c r="J241" s="419"/>
      <c r="K241" s="419"/>
      <c r="L241" s="419"/>
      <c r="M241" s="451"/>
      <c r="N241" s="419"/>
      <c r="O241" s="419"/>
      <c r="P241" s="419"/>
      <c r="Q241" s="419"/>
      <c r="R241" s="419"/>
    </row>
    <row r="242" spans="8:18">
      <c r="H242" s="677"/>
      <c r="I242" s="676"/>
      <c r="J242" s="419"/>
      <c r="K242" s="419"/>
      <c r="L242" s="419"/>
      <c r="M242" s="451"/>
      <c r="N242" s="419"/>
      <c r="O242" s="419"/>
      <c r="P242" s="419"/>
      <c r="Q242" s="419"/>
      <c r="R242" s="419"/>
    </row>
    <row r="243" spans="8:18">
      <c r="H243" s="677"/>
      <c r="I243" s="676"/>
      <c r="J243" s="419"/>
      <c r="K243" s="419"/>
      <c r="L243" s="419"/>
      <c r="M243" s="451"/>
      <c r="N243" s="419"/>
      <c r="O243" s="419"/>
      <c r="P243" s="419"/>
      <c r="Q243" s="419"/>
      <c r="R243" s="419"/>
    </row>
    <row r="244" spans="8:18">
      <c r="H244" s="677"/>
      <c r="I244" s="676"/>
      <c r="J244" s="419"/>
      <c r="K244" s="419"/>
      <c r="L244" s="419"/>
      <c r="M244" s="451"/>
      <c r="N244" s="419"/>
      <c r="O244" s="419"/>
      <c r="P244" s="419"/>
      <c r="Q244" s="419"/>
      <c r="R244" s="419"/>
    </row>
    <row r="245" spans="8:18">
      <c r="H245" s="677"/>
      <c r="I245" s="676"/>
      <c r="J245" s="419"/>
      <c r="K245" s="419"/>
      <c r="L245" s="419"/>
      <c r="M245" s="451"/>
      <c r="N245" s="419"/>
    </row>
    <row r="246" spans="8:18">
      <c r="H246" s="677"/>
      <c r="I246" s="676"/>
      <c r="J246" s="419"/>
      <c r="K246" s="419"/>
      <c r="L246" s="419"/>
      <c r="M246" s="451"/>
      <c r="N246" s="419"/>
    </row>
    <row r="248" spans="8:18">
      <c r="H248" s="244"/>
    </row>
    <row r="250" spans="8:18">
      <c r="H250" s="244"/>
    </row>
    <row r="252" spans="8:18">
      <c r="H252" s="1478"/>
      <c r="I252" s="1478"/>
    </row>
    <row r="253" spans="8:18">
      <c r="H253" s="1478"/>
      <c r="I253" s="1478"/>
    </row>
    <row r="254" spans="8:18">
      <c r="H254" s="1478"/>
      <c r="I254" s="1478"/>
    </row>
    <row r="255" spans="8:18">
      <c r="H255" s="1478"/>
      <c r="I255" s="1478"/>
    </row>
    <row r="256" spans="8:18">
      <c r="H256" s="1478"/>
      <c r="I256" s="1478"/>
    </row>
    <row r="257" spans="8:9">
      <c r="H257" s="1478"/>
      <c r="I257" s="1478"/>
    </row>
    <row r="258" spans="8:9">
      <c r="H258" s="1478"/>
      <c r="I258" s="1478"/>
    </row>
    <row r="259" spans="8:9">
      <c r="H259" s="1478"/>
      <c r="I259" s="1478"/>
    </row>
    <row r="260" spans="8:9">
      <c r="H260" s="1478"/>
      <c r="I260" s="1478"/>
    </row>
    <row r="261" spans="8:9">
      <c r="H261" s="1478"/>
      <c r="I261" s="1478"/>
    </row>
    <row r="262" spans="8:9">
      <c r="H262" s="1478"/>
      <c r="I262" s="1478"/>
    </row>
    <row r="263" spans="8:9">
      <c r="H263" s="1478"/>
      <c r="I263" s="1478"/>
    </row>
    <row r="264" spans="8:9">
      <c r="H264" s="1478"/>
      <c r="I264" s="1478"/>
    </row>
    <row r="265" spans="8:9">
      <c r="H265" s="1478"/>
      <c r="I265" s="1478"/>
    </row>
    <row r="266" spans="8:9">
      <c r="H266" s="1478"/>
      <c r="I266" s="1478"/>
    </row>
    <row r="267" spans="8:9">
      <c r="H267" s="1478"/>
      <c r="I267" s="1478"/>
    </row>
    <row r="268" spans="8:9">
      <c r="H268" s="1478"/>
      <c r="I268" s="1478"/>
    </row>
    <row r="269" spans="8:9">
      <c r="H269" s="1478"/>
      <c r="I269" s="1478"/>
    </row>
    <row r="270" spans="8:9">
      <c r="H270" s="1478"/>
      <c r="I270" s="1478"/>
    </row>
    <row r="271" spans="8:9">
      <c r="H271" s="1478"/>
      <c r="I271" s="1478"/>
    </row>
    <row r="272" spans="8:9">
      <c r="H272" s="1478"/>
      <c r="I272" s="1478"/>
    </row>
    <row r="273" spans="8:10">
      <c r="H273" s="1478"/>
      <c r="I273" s="1478"/>
    </row>
    <row r="274" spans="8:10">
      <c r="H274" s="1478"/>
      <c r="I274" s="1478"/>
    </row>
    <row r="275" spans="8:10">
      <c r="H275" s="1478"/>
      <c r="I275" s="1478"/>
    </row>
    <row r="276" spans="8:10">
      <c r="H276" s="1478"/>
      <c r="I276" s="1478"/>
    </row>
    <row r="277" spans="8:10">
      <c r="H277" s="1478"/>
      <c r="I277" s="1478"/>
    </row>
    <row r="278" spans="8:10">
      <c r="H278" s="1478"/>
      <c r="I278" s="1478"/>
    </row>
    <row r="279" spans="8:10">
      <c r="H279" s="1478"/>
      <c r="I279" s="1478">
        <v>-1</v>
      </c>
    </row>
    <row r="280" spans="8:10">
      <c r="H280" s="1478"/>
      <c r="I280" s="1478"/>
    </row>
    <row r="281" spans="8:10">
      <c r="H281" s="1477"/>
      <c r="I281" s="1477"/>
      <c r="J281" s="1483"/>
    </row>
    <row r="282" spans="8:10">
      <c r="H282" s="1477"/>
      <c r="I282" s="1477"/>
      <c r="J282" s="1483"/>
    </row>
    <row r="283" spans="8:10">
      <c r="H283" s="1477"/>
      <c r="I283" s="1477"/>
      <c r="J283" s="1483"/>
    </row>
    <row r="284" spans="8:10">
      <c r="H284" s="1477"/>
      <c r="I284" s="1477"/>
      <c r="J284" s="1483"/>
    </row>
    <row r="285" spans="8:10">
      <c r="H285" s="1477"/>
      <c r="I285" s="1477"/>
      <c r="J285" s="1483"/>
    </row>
  </sheetData>
  <mergeCells count="1">
    <mergeCell ref="L39:P39"/>
  </mergeCells>
  <phoneticPr fontId="8" type="noConversion"/>
  <conditionalFormatting sqref="D51 D66 D81 D96 D111 D141 D163 D180 D202 D223 J37:J47">
    <cfRule type="cellIs" dxfId="7" priority="1" stopIfTrue="1" operator="equal">
      <formula>"OK"</formula>
    </cfRule>
    <cfRule type="cellIs" dxfId="6" priority="2" stopIfTrue="1" operator="equal">
      <formula>"NOT OK"</formula>
    </cfRule>
  </conditionalFormatting>
  <pageMargins left="0.2" right="0.2" top="0.71" bottom="0.52" header="0.5" footer="0.39"/>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7"/>
  <sheetViews>
    <sheetView workbookViewId="0">
      <selection activeCell="H25" sqref="H25"/>
    </sheetView>
  </sheetViews>
  <sheetFormatPr defaultRowHeight="13.2"/>
  <sheetData>
    <row r="3" spans="1:4">
      <c r="A3" t="s">
        <v>1228</v>
      </c>
      <c r="B3" t="s">
        <v>214</v>
      </c>
      <c r="D3" t="s">
        <v>1229</v>
      </c>
    </row>
    <row r="4" spans="1:4">
      <c r="A4" t="s">
        <v>1230</v>
      </c>
      <c r="B4" t="s">
        <v>1231</v>
      </c>
      <c r="D4" t="s">
        <v>1232</v>
      </c>
    </row>
    <row r="5" spans="1:4">
      <c r="A5" t="s">
        <v>1233</v>
      </c>
      <c r="B5" t="s">
        <v>862</v>
      </c>
      <c r="D5" t="s">
        <v>1229</v>
      </c>
    </row>
    <row r="6" spans="1:4">
      <c r="A6" t="s">
        <v>1234</v>
      </c>
      <c r="B6" t="s">
        <v>214</v>
      </c>
      <c r="D6" t="s">
        <v>1236</v>
      </c>
    </row>
    <row r="7" spans="1:4">
      <c r="A7" t="s">
        <v>1235</v>
      </c>
      <c r="B7" t="s">
        <v>214</v>
      </c>
      <c r="D7" t="s">
        <v>1237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topLeftCell="B23" workbookViewId="0">
      <selection activeCell="L35" sqref="L35"/>
    </sheetView>
  </sheetViews>
  <sheetFormatPr defaultRowHeight="13.2"/>
  <cols>
    <col min="1" max="1" width="40.5546875" bestFit="1" customWidth="1"/>
    <col min="2" max="2" width="17.109375" customWidth="1"/>
    <col min="13" max="13" width="12" customWidth="1"/>
    <col min="14" max="14" width="11.109375" customWidth="1"/>
  </cols>
  <sheetData>
    <row r="1" spans="1:14">
      <c r="B1" t="s">
        <v>1215</v>
      </c>
      <c r="C1" t="s">
        <v>629</v>
      </c>
      <c r="D1" t="s">
        <v>630</v>
      </c>
    </row>
    <row r="2" spans="1:14">
      <c r="A2" t="s">
        <v>554</v>
      </c>
      <c r="B2" t="s">
        <v>1214</v>
      </c>
      <c r="C2" t="s">
        <v>1214</v>
      </c>
      <c r="D2" t="s">
        <v>1214</v>
      </c>
      <c r="E2" t="s">
        <v>1214</v>
      </c>
      <c r="F2" t="s">
        <v>1214</v>
      </c>
      <c r="G2" t="s">
        <v>1214</v>
      </c>
      <c r="H2" t="s">
        <v>1214</v>
      </c>
      <c r="I2" t="s">
        <v>1214</v>
      </c>
      <c r="J2" t="s">
        <v>1214</v>
      </c>
      <c r="K2" t="s">
        <v>1214</v>
      </c>
      <c r="L2" t="s">
        <v>1214</v>
      </c>
      <c r="M2" t="s">
        <v>1214</v>
      </c>
      <c r="N2" t="s">
        <v>1214</v>
      </c>
    </row>
    <row r="3" spans="1:14">
      <c r="A3" t="s">
        <v>554</v>
      </c>
      <c r="B3" t="s">
        <v>413</v>
      </c>
      <c r="C3" t="s">
        <v>413</v>
      </c>
      <c r="D3" t="s">
        <v>413</v>
      </c>
      <c r="E3" t="s">
        <v>413</v>
      </c>
      <c r="F3" t="s">
        <v>413</v>
      </c>
      <c r="G3" t="s">
        <v>413</v>
      </c>
      <c r="H3" t="s">
        <v>413</v>
      </c>
      <c r="I3" t="s">
        <v>413</v>
      </c>
      <c r="J3" t="s">
        <v>413</v>
      </c>
      <c r="K3" t="s">
        <v>413</v>
      </c>
      <c r="L3" t="s">
        <v>413</v>
      </c>
      <c r="M3" t="s">
        <v>413</v>
      </c>
      <c r="N3" t="s">
        <v>413</v>
      </c>
    </row>
    <row r="4" spans="1:14">
      <c r="A4" t="s">
        <v>554</v>
      </c>
      <c r="B4" t="s">
        <v>420</v>
      </c>
      <c r="C4" t="s">
        <v>421</v>
      </c>
      <c r="D4" t="s">
        <v>422</v>
      </c>
      <c r="E4" t="s">
        <v>423</v>
      </c>
      <c r="F4" t="s">
        <v>424</v>
      </c>
      <c r="G4" t="s">
        <v>425</v>
      </c>
      <c r="H4" t="s">
        <v>426</v>
      </c>
      <c r="I4" t="s">
        <v>427</v>
      </c>
      <c r="J4" t="s">
        <v>428</v>
      </c>
      <c r="K4" t="s">
        <v>429</v>
      </c>
      <c r="L4" t="s">
        <v>430</v>
      </c>
      <c r="M4" t="s">
        <v>431</v>
      </c>
      <c r="N4" t="s">
        <v>419</v>
      </c>
    </row>
    <row r="5" spans="1:14">
      <c r="A5" t="s">
        <v>752</v>
      </c>
      <c r="B5">
        <v>-582658</v>
      </c>
      <c r="C5">
        <v>-578704</v>
      </c>
      <c r="D5">
        <v>-580729</v>
      </c>
      <c r="E5">
        <v>-580729</v>
      </c>
      <c r="F5">
        <v>-580729</v>
      </c>
      <c r="G5">
        <v>-580729</v>
      </c>
      <c r="H5">
        <v>-580729</v>
      </c>
      <c r="I5">
        <v>-580729</v>
      </c>
      <c r="J5">
        <v>-580729</v>
      </c>
      <c r="K5">
        <v>-580729</v>
      </c>
      <c r="L5">
        <v>-580729</v>
      </c>
      <c r="M5">
        <v>-580729</v>
      </c>
      <c r="N5">
        <v>-6968656</v>
      </c>
    </row>
    <row r="6" spans="1:14">
      <c r="A6" t="s">
        <v>1245</v>
      </c>
      <c r="B6">
        <v>-35961768</v>
      </c>
      <c r="C6">
        <v>-35737149</v>
      </c>
      <c r="D6">
        <v>-35751967</v>
      </c>
      <c r="E6">
        <v>-35851253</v>
      </c>
      <c r="F6">
        <v>-35733543</v>
      </c>
      <c r="G6">
        <v>-35936720</v>
      </c>
      <c r="H6">
        <v>-35909892</v>
      </c>
      <c r="I6">
        <v>-35913389</v>
      </c>
      <c r="J6">
        <v>-35895676</v>
      </c>
      <c r="K6">
        <v>-35886281</v>
      </c>
      <c r="L6">
        <v>-35895279</v>
      </c>
      <c r="M6">
        <v>-35866083</v>
      </c>
      <c r="N6">
        <v>-430339000</v>
      </c>
    </row>
    <row r="7" spans="1:14">
      <c r="A7" t="s">
        <v>1246</v>
      </c>
      <c r="B7">
        <v>-615</v>
      </c>
      <c r="C7">
        <v>-616</v>
      </c>
      <c r="D7">
        <v>-642</v>
      </c>
      <c r="E7">
        <v>-642</v>
      </c>
      <c r="F7">
        <v>-642</v>
      </c>
      <c r="G7">
        <v>-642</v>
      </c>
      <c r="H7">
        <v>3850</v>
      </c>
      <c r="I7">
        <v>0</v>
      </c>
      <c r="J7">
        <v>0</v>
      </c>
      <c r="K7">
        <v>0</v>
      </c>
      <c r="L7">
        <v>0</v>
      </c>
      <c r="M7">
        <v>0</v>
      </c>
      <c r="N7">
        <v>51</v>
      </c>
    </row>
    <row r="8" spans="1:14">
      <c r="A8" t="s">
        <v>753</v>
      </c>
      <c r="B8">
        <v>-718779</v>
      </c>
      <c r="C8">
        <v>-654357</v>
      </c>
      <c r="D8">
        <v>-791276</v>
      </c>
      <c r="E8">
        <v>-784775</v>
      </c>
      <c r="F8">
        <v>-813845</v>
      </c>
      <c r="G8">
        <v>-824618</v>
      </c>
      <c r="H8">
        <v>-773430</v>
      </c>
      <c r="I8">
        <v>-796030</v>
      </c>
      <c r="J8">
        <v>-1007994</v>
      </c>
      <c r="K8">
        <v>-1034482</v>
      </c>
      <c r="L8">
        <v>-1086340</v>
      </c>
      <c r="M8">
        <v>-1111378</v>
      </c>
      <c r="N8">
        <v>-10397302</v>
      </c>
    </row>
    <row r="9" spans="1:14">
      <c r="A9" t="s">
        <v>1247</v>
      </c>
      <c r="B9">
        <v>-16900</v>
      </c>
      <c r="C9">
        <v>7228</v>
      </c>
      <c r="D9">
        <v>-4836</v>
      </c>
      <c r="E9">
        <v>-4836</v>
      </c>
      <c r="F9">
        <v>-4836</v>
      </c>
      <c r="G9">
        <v>-4836</v>
      </c>
      <c r="H9">
        <v>-4836</v>
      </c>
      <c r="I9">
        <v>-4836</v>
      </c>
      <c r="J9">
        <v>-4836</v>
      </c>
      <c r="K9">
        <v>-4836</v>
      </c>
      <c r="L9">
        <v>-4836</v>
      </c>
      <c r="M9">
        <v>-4836</v>
      </c>
      <c r="N9">
        <v>-58032</v>
      </c>
    </row>
    <row r="10" spans="1:14">
      <c r="A10" t="s">
        <v>1248</v>
      </c>
      <c r="B10">
        <v>-306553</v>
      </c>
      <c r="C10">
        <v>-333917</v>
      </c>
      <c r="D10">
        <v>-342626</v>
      </c>
      <c r="E10">
        <v>-338426</v>
      </c>
      <c r="F10">
        <v>-351330</v>
      </c>
      <c r="G10">
        <v>-419530</v>
      </c>
      <c r="H10">
        <v>-553073</v>
      </c>
      <c r="I10">
        <v>-553073</v>
      </c>
      <c r="J10">
        <v>-557273</v>
      </c>
      <c r="K10">
        <v>-553073</v>
      </c>
      <c r="L10">
        <v>-554073</v>
      </c>
      <c r="M10">
        <v>-558273</v>
      </c>
      <c r="N10">
        <v>-5421221</v>
      </c>
    </row>
    <row r="11" spans="1:14">
      <c r="A11" t="s">
        <v>1249</v>
      </c>
      <c r="B11">
        <v>-634726</v>
      </c>
      <c r="C11">
        <v>-957559</v>
      </c>
      <c r="D11">
        <v>-805762</v>
      </c>
      <c r="E11">
        <v>-740106</v>
      </c>
      <c r="F11">
        <v>-728625</v>
      </c>
      <c r="G11">
        <v>-726650</v>
      </c>
      <c r="H11">
        <v>-726650</v>
      </c>
      <c r="I11">
        <v>-724512</v>
      </c>
      <c r="J11">
        <v>-722927</v>
      </c>
      <c r="K11">
        <v>-728041</v>
      </c>
      <c r="L11">
        <v>-718069</v>
      </c>
      <c r="M11">
        <v>-724934</v>
      </c>
      <c r="N11">
        <v>-8938559</v>
      </c>
    </row>
    <row r="12" spans="1:14">
      <c r="A12" t="s">
        <v>754</v>
      </c>
      <c r="B12">
        <v>-38221999</v>
      </c>
      <c r="C12">
        <v>-38255072</v>
      </c>
      <c r="D12">
        <v>-38277839</v>
      </c>
      <c r="E12">
        <v>-38300768</v>
      </c>
      <c r="F12">
        <v>-38213550</v>
      </c>
      <c r="G12">
        <v>-38493726</v>
      </c>
      <c r="H12">
        <v>-38544759</v>
      </c>
      <c r="I12">
        <v>-38572569</v>
      </c>
      <c r="J12">
        <v>-38769435</v>
      </c>
      <c r="K12">
        <v>-38787443</v>
      </c>
      <c r="L12">
        <v>-38839326</v>
      </c>
      <c r="M12">
        <v>-38846232</v>
      </c>
      <c r="N12">
        <v>-462122718</v>
      </c>
    </row>
    <row r="13" spans="1:14">
      <c r="A13" t="s">
        <v>755</v>
      </c>
      <c r="B13">
        <v>-2256728</v>
      </c>
      <c r="C13">
        <v>-2278482</v>
      </c>
      <c r="D13">
        <v>-2271522</v>
      </c>
      <c r="E13">
        <v>-2432909</v>
      </c>
      <c r="F13">
        <v>-2344112</v>
      </c>
      <c r="G13">
        <v>-2321298</v>
      </c>
      <c r="H13">
        <v>-2381789</v>
      </c>
      <c r="I13">
        <v>-2368019</v>
      </c>
      <c r="J13">
        <v>-2368328</v>
      </c>
      <c r="K13">
        <v>-2368636</v>
      </c>
      <c r="L13">
        <v>-2368795</v>
      </c>
      <c r="M13">
        <v>-2368795</v>
      </c>
      <c r="N13">
        <v>-28129413</v>
      </c>
    </row>
    <row r="14" spans="1:14">
      <c r="A14" t="s">
        <v>1250</v>
      </c>
      <c r="B14">
        <v>-61527</v>
      </c>
      <c r="C14">
        <v>-71018</v>
      </c>
      <c r="D14">
        <v>-64817</v>
      </c>
      <c r="E14">
        <v>-64817</v>
      </c>
      <c r="F14">
        <v>-64817</v>
      </c>
      <c r="G14">
        <v>-64817</v>
      </c>
      <c r="H14">
        <v>-64818</v>
      </c>
      <c r="I14">
        <v>-64817</v>
      </c>
      <c r="J14">
        <v>-64817</v>
      </c>
      <c r="K14">
        <v>-64817</v>
      </c>
      <c r="L14">
        <v>-64818</v>
      </c>
      <c r="M14">
        <v>-64832</v>
      </c>
      <c r="N14">
        <v>-780732</v>
      </c>
    </row>
    <row r="15" spans="1:14">
      <c r="A15" t="s">
        <v>756</v>
      </c>
      <c r="B15">
        <v>-1258372</v>
      </c>
      <c r="C15">
        <v>-1349202</v>
      </c>
      <c r="D15">
        <v>-1287933</v>
      </c>
      <c r="E15">
        <v>-1708261</v>
      </c>
      <c r="F15">
        <v>-1210988</v>
      </c>
      <c r="G15">
        <v>-1282460</v>
      </c>
      <c r="H15">
        <v>-1310119</v>
      </c>
      <c r="I15">
        <v>-1298792</v>
      </c>
      <c r="J15">
        <v>-1274701</v>
      </c>
      <c r="K15">
        <v>-1301623</v>
      </c>
      <c r="L15">
        <v>-1293890</v>
      </c>
      <c r="M15">
        <v>-1340067</v>
      </c>
      <c r="N15">
        <v>-15916408</v>
      </c>
    </row>
    <row r="16" spans="1:14">
      <c r="A16" t="s">
        <v>757</v>
      </c>
      <c r="B16">
        <v>-3576628</v>
      </c>
      <c r="C16">
        <v>-3698702</v>
      </c>
      <c r="D16">
        <v>-3624272</v>
      </c>
      <c r="E16">
        <v>-4205987</v>
      </c>
      <c r="F16">
        <v>-3619917</v>
      </c>
      <c r="G16">
        <v>-3668575</v>
      </c>
      <c r="H16">
        <v>-3756726</v>
      </c>
      <c r="I16">
        <v>-3731628</v>
      </c>
      <c r="J16">
        <v>-3707847</v>
      </c>
      <c r="K16">
        <v>-3735076</v>
      </c>
      <c r="L16">
        <v>-3727503</v>
      </c>
      <c r="M16">
        <v>-3773693</v>
      </c>
      <c r="N16">
        <v>-44826554</v>
      </c>
    </row>
    <row r="17" spans="1:14">
      <c r="A17" t="s">
        <v>716</v>
      </c>
      <c r="B17">
        <v>-41798626</v>
      </c>
      <c r="C17">
        <v>-41953774</v>
      </c>
      <c r="D17">
        <v>-41902111</v>
      </c>
      <c r="E17">
        <v>-42506755</v>
      </c>
      <c r="F17">
        <v>-41833467</v>
      </c>
      <c r="G17">
        <v>-42162301</v>
      </c>
      <c r="H17">
        <v>-42301485</v>
      </c>
      <c r="I17">
        <v>-42304197</v>
      </c>
      <c r="J17">
        <v>-42477282</v>
      </c>
      <c r="K17">
        <v>-42522518</v>
      </c>
      <c r="L17">
        <v>-42566829</v>
      </c>
      <c r="M17">
        <v>-42619926</v>
      </c>
      <c r="N17">
        <v>-506949272</v>
      </c>
    </row>
    <row r="18" spans="1:14">
      <c r="A18" t="s">
        <v>758</v>
      </c>
      <c r="B18">
        <v>1084157</v>
      </c>
      <c r="C18">
        <v>1149705</v>
      </c>
      <c r="D18">
        <v>1100062</v>
      </c>
      <c r="E18">
        <v>1118281</v>
      </c>
      <c r="F18">
        <v>1121942</v>
      </c>
      <c r="G18">
        <v>1138633</v>
      </c>
      <c r="H18">
        <v>954293</v>
      </c>
      <c r="I18">
        <v>998219</v>
      </c>
      <c r="J18">
        <v>986393</v>
      </c>
      <c r="K18">
        <v>997644</v>
      </c>
      <c r="L18">
        <v>997936</v>
      </c>
      <c r="M18">
        <v>997909</v>
      </c>
      <c r="N18">
        <v>12645173</v>
      </c>
    </row>
    <row r="19" spans="1:14">
      <c r="A19" t="s">
        <v>759</v>
      </c>
      <c r="B19">
        <v>7730176</v>
      </c>
      <c r="C19">
        <v>7693852</v>
      </c>
      <c r="D19">
        <v>7650552</v>
      </c>
      <c r="E19">
        <v>7637558</v>
      </c>
      <c r="F19">
        <v>7803470</v>
      </c>
      <c r="G19">
        <v>7723874</v>
      </c>
      <c r="H19">
        <v>7521438</v>
      </c>
      <c r="I19">
        <v>7552716</v>
      </c>
      <c r="J19">
        <v>7555511</v>
      </c>
      <c r="K19">
        <v>7546094</v>
      </c>
      <c r="L19">
        <v>7479094</v>
      </c>
      <c r="M19">
        <v>7659399</v>
      </c>
      <c r="N19">
        <v>91553734</v>
      </c>
    </row>
    <row r="20" spans="1:14">
      <c r="A20" t="s">
        <v>1251</v>
      </c>
      <c r="B20">
        <v>9597178</v>
      </c>
      <c r="C20">
        <v>9656163</v>
      </c>
      <c r="D20">
        <v>9723526</v>
      </c>
      <c r="E20">
        <v>9614419</v>
      </c>
      <c r="F20">
        <v>9074833</v>
      </c>
      <c r="G20">
        <v>9290268</v>
      </c>
      <c r="H20">
        <v>9150287</v>
      </c>
      <c r="I20">
        <v>9339379</v>
      </c>
      <c r="J20">
        <v>9346941</v>
      </c>
      <c r="K20">
        <v>9340964</v>
      </c>
      <c r="L20">
        <v>9372570</v>
      </c>
      <c r="M20">
        <v>9259130</v>
      </c>
      <c r="N20">
        <v>112765659</v>
      </c>
    </row>
    <row r="21" spans="1:14">
      <c r="A21" t="s">
        <v>760</v>
      </c>
      <c r="B21">
        <v>3636520</v>
      </c>
      <c r="C21">
        <v>3657052</v>
      </c>
      <c r="D21">
        <v>3616201</v>
      </c>
      <c r="E21">
        <v>3521853</v>
      </c>
      <c r="F21">
        <v>3615742</v>
      </c>
      <c r="G21">
        <v>3710796</v>
      </c>
      <c r="H21">
        <v>3568949</v>
      </c>
      <c r="I21">
        <v>3607275</v>
      </c>
      <c r="J21">
        <v>3606899</v>
      </c>
      <c r="K21">
        <v>3605801</v>
      </c>
      <c r="L21">
        <v>3598461</v>
      </c>
      <c r="M21">
        <v>3598295</v>
      </c>
      <c r="N21">
        <v>43343843</v>
      </c>
    </row>
    <row r="22" spans="1:14">
      <c r="A22" t="s">
        <v>1252</v>
      </c>
      <c r="B22">
        <v>64726</v>
      </c>
      <c r="C22">
        <v>64726</v>
      </c>
      <c r="D22">
        <v>64726</v>
      </c>
      <c r="E22">
        <v>64726</v>
      </c>
      <c r="F22">
        <v>64726</v>
      </c>
      <c r="G22">
        <v>64726</v>
      </c>
      <c r="H22">
        <v>64726</v>
      </c>
      <c r="I22">
        <v>64164</v>
      </c>
      <c r="J22">
        <v>64304</v>
      </c>
      <c r="K22">
        <v>64304</v>
      </c>
      <c r="L22">
        <v>64304</v>
      </c>
      <c r="M22">
        <v>64304</v>
      </c>
      <c r="N22">
        <v>774467</v>
      </c>
    </row>
    <row r="23" spans="1:14">
      <c r="A23" t="s">
        <v>761</v>
      </c>
      <c r="B23">
        <v>2346661</v>
      </c>
      <c r="C23">
        <v>2330611</v>
      </c>
      <c r="D23">
        <v>2402149</v>
      </c>
      <c r="E23">
        <v>2326454</v>
      </c>
      <c r="F23">
        <v>2378893</v>
      </c>
      <c r="G23">
        <v>2157982</v>
      </c>
      <c r="H23">
        <v>2312009</v>
      </c>
      <c r="I23">
        <v>2299988</v>
      </c>
      <c r="J23">
        <v>2306168</v>
      </c>
      <c r="K23">
        <v>2299643</v>
      </c>
      <c r="L23">
        <v>2296692</v>
      </c>
      <c r="M23">
        <v>2318538</v>
      </c>
      <c r="N23">
        <v>27775789</v>
      </c>
    </row>
    <row r="24" spans="1:14">
      <c r="A24" t="s">
        <v>1253</v>
      </c>
      <c r="B24">
        <v>240992</v>
      </c>
      <c r="C24">
        <v>240991</v>
      </c>
      <c r="D24">
        <v>247426</v>
      </c>
      <c r="E24">
        <v>252524</v>
      </c>
      <c r="F24">
        <v>248157</v>
      </c>
      <c r="G24">
        <v>245100</v>
      </c>
      <c r="H24">
        <v>231675</v>
      </c>
      <c r="I24">
        <v>243582</v>
      </c>
      <c r="J24">
        <v>243582</v>
      </c>
      <c r="K24">
        <v>243582</v>
      </c>
      <c r="L24">
        <v>243582</v>
      </c>
      <c r="M24">
        <v>243582</v>
      </c>
      <c r="N24">
        <v>2924774</v>
      </c>
    </row>
    <row r="25" spans="1:14">
      <c r="A25" t="s">
        <v>762</v>
      </c>
      <c r="B25">
        <v>-45987</v>
      </c>
      <c r="C25">
        <v>-61980</v>
      </c>
      <c r="D25">
        <v>58693</v>
      </c>
      <c r="E25">
        <v>198047</v>
      </c>
      <c r="F25">
        <v>-108889</v>
      </c>
      <c r="G25">
        <v>15524</v>
      </c>
      <c r="H25">
        <v>2778</v>
      </c>
      <c r="I25">
        <v>13309</v>
      </c>
      <c r="J25">
        <v>13309</v>
      </c>
      <c r="K25">
        <v>13309</v>
      </c>
      <c r="L25">
        <v>3309</v>
      </c>
      <c r="M25">
        <v>-13274</v>
      </c>
      <c r="N25">
        <v>88151</v>
      </c>
    </row>
    <row r="26" spans="1:14">
      <c r="A26" t="s">
        <v>763</v>
      </c>
      <c r="B26">
        <v>24654423</v>
      </c>
      <c r="C26">
        <v>24731121</v>
      </c>
      <c r="D26">
        <v>24863336</v>
      </c>
      <c r="E26">
        <v>24733863</v>
      </c>
      <c r="F26">
        <v>24198876</v>
      </c>
      <c r="G26">
        <v>24346905</v>
      </c>
      <c r="H26">
        <v>23806155</v>
      </c>
      <c r="I26">
        <v>24118632</v>
      </c>
      <c r="J26">
        <v>24123107</v>
      </c>
      <c r="K26">
        <v>24111342</v>
      </c>
      <c r="L26">
        <v>24055949</v>
      </c>
      <c r="M26">
        <v>24127882</v>
      </c>
      <c r="N26">
        <v>291871590</v>
      </c>
    </row>
    <row r="27" spans="1:14">
      <c r="A27" t="s">
        <v>1254</v>
      </c>
      <c r="B27">
        <v>4520021</v>
      </c>
      <c r="C27">
        <v>4239178</v>
      </c>
      <c r="D27">
        <v>4228777</v>
      </c>
      <c r="E27">
        <v>4207723</v>
      </c>
      <c r="F27">
        <v>4198637</v>
      </c>
      <c r="G27">
        <v>4217241</v>
      </c>
      <c r="H27">
        <v>4191513</v>
      </c>
      <c r="I27">
        <v>4217937</v>
      </c>
      <c r="J27">
        <v>4225516</v>
      </c>
      <c r="K27">
        <v>4220836</v>
      </c>
      <c r="L27">
        <v>4269706</v>
      </c>
      <c r="M27">
        <v>4297562</v>
      </c>
      <c r="N27">
        <v>51034646</v>
      </c>
    </row>
    <row r="28" spans="1:14">
      <c r="A28" t="s">
        <v>1255</v>
      </c>
      <c r="B28">
        <v>4688788</v>
      </c>
      <c r="C28">
        <v>4301237</v>
      </c>
      <c r="D28">
        <v>4456804</v>
      </c>
      <c r="E28">
        <v>4026992</v>
      </c>
      <c r="F28">
        <v>4203762</v>
      </c>
      <c r="G28">
        <v>4160120</v>
      </c>
      <c r="H28">
        <v>3989982</v>
      </c>
      <c r="I28">
        <v>4156831</v>
      </c>
      <c r="J28">
        <v>4180203</v>
      </c>
      <c r="K28">
        <v>4189489</v>
      </c>
      <c r="L28">
        <v>4213361</v>
      </c>
      <c r="M28">
        <v>4220723</v>
      </c>
      <c r="N28">
        <v>50788293</v>
      </c>
    </row>
    <row r="29" spans="1:14">
      <c r="A29" t="s">
        <v>765</v>
      </c>
      <c r="B29">
        <v>1448272</v>
      </c>
      <c r="C29">
        <v>1446545</v>
      </c>
      <c r="D29">
        <v>1426157</v>
      </c>
      <c r="E29">
        <v>1437085</v>
      </c>
      <c r="F29">
        <v>1454724</v>
      </c>
      <c r="G29">
        <v>1426467</v>
      </c>
      <c r="H29">
        <v>1353868</v>
      </c>
      <c r="I29">
        <v>1374184</v>
      </c>
      <c r="J29">
        <v>1364052</v>
      </c>
      <c r="K29">
        <v>1363597</v>
      </c>
      <c r="L29">
        <v>1361247</v>
      </c>
      <c r="M29">
        <v>1361238</v>
      </c>
      <c r="N29">
        <v>16817437</v>
      </c>
    </row>
    <row r="30" spans="1:14">
      <c r="A30" t="s">
        <v>766</v>
      </c>
      <c r="B30">
        <v>516154</v>
      </c>
      <c r="C30">
        <v>509636</v>
      </c>
      <c r="D30">
        <v>514767</v>
      </c>
      <c r="E30">
        <v>461345</v>
      </c>
      <c r="F30">
        <v>462164</v>
      </c>
      <c r="G30">
        <v>596790</v>
      </c>
      <c r="H30">
        <v>516965</v>
      </c>
      <c r="I30">
        <v>532110</v>
      </c>
      <c r="J30">
        <v>494089</v>
      </c>
      <c r="K30">
        <v>502088</v>
      </c>
      <c r="L30">
        <v>545164</v>
      </c>
      <c r="M30">
        <v>554552</v>
      </c>
      <c r="N30">
        <v>6205824</v>
      </c>
    </row>
    <row r="31" spans="1:14">
      <c r="A31" t="s">
        <v>767</v>
      </c>
      <c r="B31">
        <v>81878</v>
      </c>
      <c r="C31">
        <v>77551</v>
      </c>
      <c r="D31">
        <v>77423</v>
      </c>
      <c r="E31">
        <v>83985</v>
      </c>
      <c r="F31">
        <v>77408</v>
      </c>
      <c r="G31">
        <v>36209</v>
      </c>
      <c r="H31">
        <v>66713</v>
      </c>
      <c r="I31">
        <v>66823</v>
      </c>
      <c r="J31">
        <v>66808</v>
      </c>
      <c r="K31">
        <v>76842</v>
      </c>
      <c r="L31">
        <v>90497</v>
      </c>
      <c r="M31">
        <v>91156</v>
      </c>
      <c r="N31">
        <v>893294</v>
      </c>
    </row>
    <row r="32" spans="1:14">
      <c r="A32" t="s">
        <v>548</v>
      </c>
      <c r="B32">
        <v>1868561</v>
      </c>
      <c r="C32">
        <v>1855391</v>
      </c>
      <c r="D32">
        <v>1767868</v>
      </c>
      <c r="E32">
        <v>1992494</v>
      </c>
      <c r="F32">
        <v>1685828</v>
      </c>
      <c r="G32">
        <v>1776277</v>
      </c>
      <c r="H32">
        <v>1757226</v>
      </c>
      <c r="I32">
        <v>1755614</v>
      </c>
      <c r="J32">
        <v>1793192</v>
      </c>
      <c r="K32">
        <v>1792598</v>
      </c>
      <c r="L32">
        <v>1772074</v>
      </c>
      <c r="M32">
        <v>1211661</v>
      </c>
      <c r="N32">
        <v>21028784</v>
      </c>
    </row>
    <row r="33" spans="1:14">
      <c r="A33" t="s">
        <v>1256</v>
      </c>
      <c r="B33">
        <v>483813</v>
      </c>
      <c r="C33">
        <v>585378</v>
      </c>
      <c r="D33">
        <v>531678</v>
      </c>
      <c r="E33">
        <v>494699</v>
      </c>
      <c r="F33">
        <v>494699</v>
      </c>
      <c r="G33">
        <v>494699</v>
      </c>
      <c r="H33">
        <v>494699</v>
      </c>
      <c r="I33">
        <v>483032</v>
      </c>
      <c r="J33">
        <v>483032</v>
      </c>
      <c r="K33">
        <v>483032</v>
      </c>
      <c r="L33">
        <v>483032</v>
      </c>
      <c r="M33">
        <v>483038</v>
      </c>
      <c r="N33">
        <v>5994832</v>
      </c>
    </row>
    <row r="34" spans="1:14">
      <c r="A34" t="s">
        <v>1257</v>
      </c>
      <c r="B34">
        <v>874044</v>
      </c>
      <c r="C34">
        <v>874044</v>
      </c>
      <c r="D34">
        <v>874044</v>
      </c>
      <c r="E34">
        <v>874044</v>
      </c>
      <c r="F34">
        <v>874044</v>
      </c>
      <c r="G34">
        <v>874044</v>
      </c>
      <c r="H34">
        <v>874044</v>
      </c>
      <c r="I34">
        <v>874044</v>
      </c>
      <c r="J34">
        <v>874044</v>
      </c>
      <c r="K34">
        <v>874044</v>
      </c>
      <c r="L34">
        <v>874044</v>
      </c>
      <c r="M34">
        <v>874044</v>
      </c>
      <c r="N34">
        <v>10488528</v>
      </c>
    </row>
    <row r="35" spans="1:14">
      <c r="A35" t="s">
        <v>769</v>
      </c>
      <c r="B35">
        <v>351438</v>
      </c>
      <c r="C35">
        <v>333414</v>
      </c>
      <c r="D35">
        <v>106927</v>
      </c>
      <c r="E35">
        <v>496121</v>
      </c>
      <c r="F35">
        <v>484362</v>
      </c>
      <c r="G35">
        <v>-232027</v>
      </c>
      <c r="H35">
        <v>201726</v>
      </c>
      <c r="I35">
        <v>574902</v>
      </c>
      <c r="J35">
        <v>559747</v>
      </c>
      <c r="K35">
        <v>484274</v>
      </c>
      <c r="L35">
        <f>318376-44000</f>
        <v>274376</v>
      </c>
      <c r="M35">
        <v>611812</v>
      </c>
      <c r="N35">
        <v>4291074</v>
      </c>
    </row>
    <row r="36" spans="1:14">
      <c r="A36" t="s">
        <v>768</v>
      </c>
      <c r="B36">
        <v>339295</v>
      </c>
      <c r="C36">
        <v>338640</v>
      </c>
      <c r="D36">
        <v>341738</v>
      </c>
      <c r="E36">
        <v>336620</v>
      </c>
      <c r="F36">
        <v>348365</v>
      </c>
      <c r="G36">
        <v>346468</v>
      </c>
      <c r="H36">
        <v>371514</v>
      </c>
      <c r="I36">
        <v>353929</v>
      </c>
      <c r="J36">
        <v>353929</v>
      </c>
      <c r="K36">
        <v>350810</v>
      </c>
      <c r="L36">
        <v>350810</v>
      </c>
      <c r="M36">
        <v>355499</v>
      </c>
      <c r="N36">
        <v>4187616</v>
      </c>
    </row>
    <row r="37" spans="1:14">
      <c r="A37" t="s">
        <v>764</v>
      </c>
      <c r="B37">
        <v>593904</v>
      </c>
      <c r="C37">
        <v>588738</v>
      </c>
      <c r="D37">
        <v>631945</v>
      </c>
      <c r="E37">
        <v>608965</v>
      </c>
      <c r="F37">
        <v>794428</v>
      </c>
      <c r="G37">
        <v>651708</v>
      </c>
      <c r="H37">
        <v>579467</v>
      </c>
      <c r="I37">
        <v>627135</v>
      </c>
      <c r="J37">
        <v>621303</v>
      </c>
      <c r="K37">
        <v>620302</v>
      </c>
      <c r="L37">
        <v>620302</v>
      </c>
      <c r="M37">
        <v>633636</v>
      </c>
      <c r="N37">
        <v>7571832</v>
      </c>
    </row>
    <row r="38" spans="1:14">
      <c r="A38" t="s">
        <v>770</v>
      </c>
      <c r="B38">
        <v>15766168</v>
      </c>
      <c r="C38">
        <v>15149751</v>
      </c>
      <c r="D38">
        <v>14958130</v>
      </c>
      <c r="E38">
        <v>15020074</v>
      </c>
      <c r="F38">
        <v>15078420</v>
      </c>
      <c r="G38">
        <v>14347997</v>
      </c>
      <c r="H38">
        <v>14397717</v>
      </c>
      <c r="I38">
        <v>15016541</v>
      </c>
      <c r="J38">
        <v>15015916</v>
      </c>
      <c r="K38">
        <v>14957912</v>
      </c>
      <c r="L38">
        <v>14898612</v>
      </c>
      <c r="M38">
        <v>14694923</v>
      </c>
      <c r="N38">
        <v>179302160</v>
      </c>
    </row>
    <row r="39" spans="1:14">
      <c r="A39" t="s">
        <v>1258</v>
      </c>
      <c r="B39">
        <v>0</v>
      </c>
      <c r="C39">
        <v>0</v>
      </c>
      <c r="D39">
        <v>0</v>
      </c>
      <c r="E39">
        <v>0</v>
      </c>
      <c r="F39">
        <v>0</v>
      </c>
      <c r="G39">
        <v>0</v>
      </c>
      <c r="H39">
        <v>0</v>
      </c>
      <c r="I39">
        <v>0</v>
      </c>
      <c r="J39">
        <v>0</v>
      </c>
      <c r="K39">
        <v>0</v>
      </c>
      <c r="L39">
        <v>0</v>
      </c>
      <c r="M39">
        <v>0</v>
      </c>
      <c r="N39">
        <v>0</v>
      </c>
    </row>
    <row r="40" spans="1:14">
      <c r="A40" t="s">
        <v>1259</v>
      </c>
      <c r="B40">
        <v>0</v>
      </c>
      <c r="C40">
        <v>0</v>
      </c>
      <c r="D40">
        <v>0</v>
      </c>
      <c r="E40">
        <v>0</v>
      </c>
      <c r="F40">
        <v>0</v>
      </c>
      <c r="G40">
        <v>0</v>
      </c>
      <c r="H40">
        <v>0</v>
      </c>
      <c r="I40">
        <v>0</v>
      </c>
      <c r="J40">
        <v>0</v>
      </c>
      <c r="K40">
        <v>0</v>
      </c>
      <c r="L40">
        <v>0</v>
      </c>
      <c r="M40">
        <v>0</v>
      </c>
      <c r="N40">
        <v>0</v>
      </c>
    </row>
    <row r="41" spans="1:14">
      <c r="A41" t="s">
        <v>1260</v>
      </c>
      <c r="B41">
        <v>0</v>
      </c>
      <c r="C41">
        <v>0</v>
      </c>
      <c r="D41">
        <v>0</v>
      </c>
      <c r="E41">
        <v>0</v>
      </c>
      <c r="F41">
        <v>0</v>
      </c>
      <c r="G41">
        <v>0</v>
      </c>
      <c r="H41">
        <v>0</v>
      </c>
      <c r="I41">
        <v>0</v>
      </c>
      <c r="J41">
        <v>0</v>
      </c>
      <c r="K41">
        <v>0</v>
      </c>
      <c r="L41">
        <v>0</v>
      </c>
      <c r="M41">
        <v>0</v>
      </c>
      <c r="N41">
        <v>0</v>
      </c>
    </row>
    <row r="42" spans="1:14">
      <c r="A42" t="s">
        <v>717</v>
      </c>
      <c r="B42">
        <v>40420590</v>
      </c>
      <c r="C42">
        <v>39880872</v>
      </c>
      <c r="D42">
        <v>39821465</v>
      </c>
      <c r="E42">
        <v>39753937</v>
      </c>
      <c r="F42">
        <v>39277295</v>
      </c>
      <c r="G42">
        <v>38694902</v>
      </c>
      <c r="H42">
        <v>38203872</v>
      </c>
      <c r="I42">
        <v>39135173</v>
      </c>
      <c r="J42">
        <v>39139023</v>
      </c>
      <c r="K42">
        <v>39069254</v>
      </c>
      <c r="L42">
        <v>38954561</v>
      </c>
      <c r="M42">
        <v>38822805</v>
      </c>
      <c r="N42">
        <v>471173750</v>
      </c>
    </row>
    <row r="43" spans="1:14">
      <c r="A43" t="s">
        <v>865</v>
      </c>
      <c r="B43">
        <v>-1378036</v>
      </c>
      <c r="C43">
        <v>-2072902</v>
      </c>
      <c r="D43">
        <v>-2080646</v>
      </c>
      <c r="E43">
        <v>-2752818</v>
      </c>
      <c r="F43">
        <v>-2556172</v>
      </c>
      <c r="G43">
        <v>-3467398</v>
      </c>
      <c r="H43">
        <v>-4097614</v>
      </c>
      <c r="I43">
        <v>-3169024</v>
      </c>
      <c r="J43">
        <v>-3338259</v>
      </c>
      <c r="K43">
        <v>-3453265</v>
      </c>
      <c r="L43">
        <v>-3612268</v>
      </c>
      <c r="M43">
        <v>-3797120</v>
      </c>
      <c r="N43">
        <v>-35775522</v>
      </c>
    </row>
    <row r="44" spans="1:14">
      <c r="A44" t="s">
        <v>1261</v>
      </c>
      <c r="B44">
        <v>1899917</v>
      </c>
      <c r="C44">
        <v>1899917</v>
      </c>
      <c r="D44">
        <v>1899917</v>
      </c>
      <c r="E44">
        <v>1947917</v>
      </c>
      <c r="F44">
        <v>1947917</v>
      </c>
      <c r="G44">
        <v>1947917</v>
      </c>
      <c r="H44">
        <v>2001501</v>
      </c>
      <c r="I44">
        <v>2001501</v>
      </c>
      <c r="J44">
        <v>2001501</v>
      </c>
      <c r="K44">
        <v>2105917</v>
      </c>
      <c r="L44">
        <v>2105917</v>
      </c>
      <c r="M44">
        <v>13609917</v>
      </c>
      <c r="N44">
        <v>35369758</v>
      </c>
    </row>
    <row r="45" spans="1:14">
      <c r="A45" t="s">
        <v>1262</v>
      </c>
      <c r="B45">
        <v>282133</v>
      </c>
      <c r="C45">
        <v>287133</v>
      </c>
      <c r="D45">
        <v>283133</v>
      </c>
      <c r="E45">
        <v>283133</v>
      </c>
      <c r="F45">
        <v>290133</v>
      </c>
      <c r="G45">
        <v>292133</v>
      </c>
      <c r="H45">
        <v>301133</v>
      </c>
      <c r="I45">
        <v>302133</v>
      </c>
      <c r="J45">
        <v>301133</v>
      </c>
      <c r="K45">
        <v>302133</v>
      </c>
      <c r="L45">
        <v>301133</v>
      </c>
      <c r="M45">
        <v>307133</v>
      </c>
      <c r="N45">
        <v>3532596</v>
      </c>
    </row>
    <row r="46" spans="1:14">
      <c r="A46" t="s">
        <v>10</v>
      </c>
      <c r="B46">
        <v>-6000</v>
      </c>
      <c r="C46">
        <v>-5000</v>
      </c>
      <c r="D46">
        <v>-5000</v>
      </c>
      <c r="E46">
        <v>-5000</v>
      </c>
      <c r="F46">
        <v>-5000</v>
      </c>
      <c r="G46">
        <v>-6000</v>
      </c>
      <c r="H46">
        <v>-6000</v>
      </c>
      <c r="I46">
        <v>-6000</v>
      </c>
      <c r="J46">
        <v>-6000</v>
      </c>
      <c r="K46">
        <v>-6000</v>
      </c>
      <c r="L46">
        <v>-6000</v>
      </c>
      <c r="M46">
        <v>-6000</v>
      </c>
      <c r="N46">
        <v>-68000</v>
      </c>
    </row>
    <row r="47" spans="1:14">
      <c r="A47" t="s">
        <v>1263</v>
      </c>
      <c r="B47">
        <v>-770323</v>
      </c>
      <c r="C47">
        <v>-228556</v>
      </c>
      <c r="D47">
        <v>-16438</v>
      </c>
      <c r="E47">
        <v>-40116</v>
      </c>
      <c r="F47">
        <v>-21130</v>
      </c>
      <c r="G47">
        <v>-37407</v>
      </c>
      <c r="H47">
        <v>-21130</v>
      </c>
      <c r="I47">
        <v>-176671</v>
      </c>
      <c r="J47">
        <v>-16277</v>
      </c>
      <c r="K47">
        <v>-23437</v>
      </c>
      <c r="L47">
        <v>-23437</v>
      </c>
      <c r="M47">
        <v>-17671</v>
      </c>
      <c r="N47">
        <v>-1392593</v>
      </c>
    </row>
    <row r="48" spans="1:14">
      <c r="A48" t="s">
        <v>1264</v>
      </c>
      <c r="B48">
        <v>647250</v>
      </c>
      <c r="C48">
        <v>646250</v>
      </c>
      <c r="D48">
        <v>685250</v>
      </c>
      <c r="E48">
        <v>659250</v>
      </c>
      <c r="F48">
        <v>658250</v>
      </c>
      <c r="G48">
        <v>637250</v>
      </c>
      <c r="H48">
        <v>756250</v>
      </c>
      <c r="I48">
        <v>676250</v>
      </c>
      <c r="J48">
        <v>727250</v>
      </c>
      <c r="K48">
        <v>684250</v>
      </c>
      <c r="L48">
        <v>821250</v>
      </c>
      <c r="M48">
        <v>507250</v>
      </c>
      <c r="N48">
        <v>8106000</v>
      </c>
    </row>
    <row r="49" spans="1:14">
      <c r="A49" t="s">
        <v>1265</v>
      </c>
      <c r="B49">
        <v>2052977</v>
      </c>
      <c r="C49">
        <v>2599744</v>
      </c>
      <c r="D49">
        <v>2846862</v>
      </c>
      <c r="E49">
        <v>2845184</v>
      </c>
      <c r="F49">
        <v>2870170</v>
      </c>
      <c r="G49">
        <v>2833893</v>
      </c>
      <c r="H49">
        <v>3031754</v>
      </c>
      <c r="I49">
        <v>2797213</v>
      </c>
      <c r="J49">
        <v>3007607</v>
      </c>
      <c r="K49">
        <v>3062863</v>
      </c>
      <c r="L49">
        <v>3198863</v>
      </c>
      <c r="M49">
        <v>14400629</v>
      </c>
      <c r="N49">
        <v>45547761</v>
      </c>
    </row>
    <row r="50" spans="1:14">
      <c r="A50" t="s">
        <v>631</v>
      </c>
      <c r="B50">
        <v>674941</v>
      </c>
      <c r="C50">
        <v>526842</v>
      </c>
      <c r="D50">
        <v>766217</v>
      </c>
      <c r="E50">
        <v>92366</v>
      </c>
      <c r="F50">
        <v>313999</v>
      </c>
      <c r="G50">
        <v>-633505</v>
      </c>
      <c r="H50">
        <v>-1065860</v>
      </c>
      <c r="I50">
        <v>-371812</v>
      </c>
      <c r="J50">
        <v>-330652</v>
      </c>
      <c r="K50">
        <v>-390401</v>
      </c>
      <c r="L50">
        <v>-413404</v>
      </c>
      <c r="M50">
        <v>10603509</v>
      </c>
      <c r="N50">
        <v>9772239</v>
      </c>
    </row>
    <row r="51" spans="1:14">
      <c r="A51" t="s">
        <v>1091</v>
      </c>
      <c r="B51">
        <v>-33000</v>
      </c>
      <c r="C51">
        <v>-30000</v>
      </c>
      <c r="D51">
        <v>-13000</v>
      </c>
      <c r="E51">
        <v>-53000</v>
      </c>
      <c r="F51">
        <v>-51000</v>
      </c>
      <c r="G51">
        <v>-33000</v>
      </c>
      <c r="H51">
        <v>-52000</v>
      </c>
      <c r="I51">
        <v>-56000</v>
      </c>
      <c r="J51">
        <v>-39000</v>
      </c>
      <c r="K51">
        <v>-40000</v>
      </c>
      <c r="L51">
        <v>-30000</v>
      </c>
      <c r="M51">
        <v>-70000</v>
      </c>
      <c r="N51">
        <v>-500000</v>
      </c>
    </row>
    <row r="52" spans="1:14">
      <c r="A52" t="s">
        <v>1267</v>
      </c>
      <c r="B52" t="s">
        <v>1244</v>
      </c>
      <c r="C52" t="s">
        <v>1244</v>
      </c>
      <c r="D52">
        <v>1000</v>
      </c>
      <c r="E52" t="s">
        <v>1244</v>
      </c>
      <c r="F52">
        <v>0</v>
      </c>
      <c r="G52">
        <v>1000</v>
      </c>
      <c r="H52">
        <v>0</v>
      </c>
      <c r="I52">
        <v>0</v>
      </c>
      <c r="J52">
        <v>1000</v>
      </c>
      <c r="K52">
        <v>1000</v>
      </c>
      <c r="L52">
        <v>1000</v>
      </c>
      <c r="M52">
        <v>9000</v>
      </c>
      <c r="N52">
        <v>14000</v>
      </c>
    </row>
    <row r="53" spans="1:14">
      <c r="A53" t="s">
        <v>1093</v>
      </c>
      <c r="B53">
        <v>70000</v>
      </c>
      <c r="C53">
        <v>70000</v>
      </c>
      <c r="D53">
        <v>70000</v>
      </c>
      <c r="E53">
        <v>70000</v>
      </c>
      <c r="F53">
        <v>70000</v>
      </c>
      <c r="G53">
        <v>70000</v>
      </c>
      <c r="H53">
        <v>70000</v>
      </c>
      <c r="I53">
        <v>70000</v>
      </c>
      <c r="J53">
        <v>70000</v>
      </c>
      <c r="K53">
        <v>70000</v>
      </c>
      <c r="L53">
        <v>70000</v>
      </c>
      <c r="M53">
        <v>70000</v>
      </c>
      <c r="N53">
        <v>840000</v>
      </c>
    </row>
    <row r="54" spans="1:14">
      <c r="A54" t="s">
        <v>1266</v>
      </c>
      <c r="B54" t="s">
        <v>1244</v>
      </c>
      <c r="C54" t="s">
        <v>1244</v>
      </c>
      <c r="D54" t="s">
        <v>1244</v>
      </c>
      <c r="E54" t="s">
        <v>1244</v>
      </c>
      <c r="F54" t="s">
        <v>1244</v>
      </c>
      <c r="G54" t="s">
        <v>1244</v>
      </c>
      <c r="H54" t="s">
        <v>1244</v>
      </c>
      <c r="I54" t="s">
        <v>1244</v>
      </c>
      <c r="J54" t="s">
        <v>1244</v>
      </c>
      <c r="K54" t="s">
        <v>1244</v>
      </c>
      <c r="L54" t="s">
        <v>1244</v>
      </c>
      <c r="M54">
        <v>11500000</v>
      </c>
      <c r="N54">
        <v>11500000</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topLeftCell="A13" workbookViewId="0">
      <selection activeCell="M38" sqref="M38"/>
    </sheetView>
  </sheetViews>
  <sheetFormatPr defaultRowHeight="13.2"/>
  <cols>
    <col min="1" max="1" width="45.88671875" bestFit="1" customWidth="1"/>
    <col min="2" max="15" width="14.44140625" customWidth="1"/>
  </cols>
  <sheetData>
    <row r="1" spans="1:16">
      <c r="B1" t="s">
        <v>1215</v>
      </c>
      <c r="C1" t="s">
        <v>629</v>
      </c>
      <c r="D1" t="s">
        <v>1214</v>
      </c>
      <c r="E1" t="s">
        <v>630</v>
      </c>
    </row>
    <row r="2" spans="1:16">
      <c r="A2" t="s">
        <v>554</v>
      </c>
      <c r="B2" t="s">
        <v>1272</v>
      </c>
      <c r="C2" t="s">
        <v>1272</v>
      </c>
      <c r="D2" t="s">
        <v>1272</v>
      </c>
      <c r="E2" t="s">
        <v>1272</v>
      </c>
      <c r="F2" t="s">
        <v>1272</v>
      </c>
      <c r="G2" t="s">
        <v>1272</v>
      </c>
      <c r="H2" t="s">
        <v>1272</v>
      </c>
      <c r="I2" t="s">
        <v>1272</v>
      </c>
      <c r="J2" t="s">
        <v>1272</v>
      </c>
      <c r="K2" t="s">
        <v>1272</v>
      </c>
      <c r="L2" t="s">
        <v>1272</v>
      </c>
      <c r="M2" t="s">
        <v>1272</v>
      </c>
      <c r="N2" t="s">
        <v>1272</v>
      </c>
      <c r="O2" t="s">
        <v>413</v>
      </c>
      <c r="P2" t="s">
        <v>1273</v>
      </c>
    </row>
    <row r="3" spans="1:16">
      <c r="A3" t="s">
        <v>554</v>
      </c>
      <c r="B3" t="s">
        <v>420</v>
      </c>
      <c r="C3" t="s">
        <v>421</v>
      </c>
      <c r="D3" t="s">
        <v>422</v>
      </c>
      <c r="E3" t="s">
        <v>423</v>
      </c>
      <c r="F3" t="s">
        <v>424</v>
      </c>
      <c r="G3" t="s">
        <v>425</v>
      </c>
      <c r="H3" t="s">
        <v>426</v>
      </c>
      <c r="I3" t="s">
        <v>427</v>
      </c>
      <c r="J3" t="s">
        <v>428</v>
      </c>
      <c r="K3" t="s">
        <v>429</v>
      </c>
      <c r="L3" t="s">
        <v>430</v>
      </c>
      <c r="M3" t="s">
        <v>431</v>
      </c>
      <c r="N3" t="s">
        <v>419</v>
      </c>
      <c r="O3" t="s">
        <v>419</v>
      </c>
      <c r="P3" t="s">
        <v>419</v>
      </c>
    </row>
    <row r="4" spans="1:16">
      <c r="A4" t="s">
        <v>751</v>
      </c>
      <c r="B4">
        <v>0</v>
      </c>
      <c r="C4">
        <v>-4000</v>
      </c>
      <c r="D4">
        <v>4000</v>
      </c>
      <c r="E4">
        <v>0</v>
      </c>
      <c r="F4">
        <v>0</v>
      </c>
      <c r="G4">
        <v>0</v>
      </c>
      <c r="H4">
        <v>-12476</v>
      </c>
      <c r="I4">
        <v>32</v>
      </c>
      <c r="J4">
        <v>32</v>
      </c>
      <c r="K4">
        <v>32</v>
      </c>
      <c r="L4">
        <v>32</v>
      </c>
      <c r="M4">
        <v>22</v>
      </c>
      <c r="N4">
        <v>-12326</v>
      </c>
      <c r="O4" t="s">
        <v>1244</v>
      </c>
      <c r="P4">
        <v>-12326</v>
      </c>
    </row>
    <row r="5" spans="1:16">
      <c r="A5" t="s">
        <v>752</v>
      </c>
      <c r="B5">
        <v>-520557</v>
      </c>
      <c r="C5">
        <v>-491288</v>
      </c>
      <c r="D5">
        <v>-497646</v>
      </c>
      <c r="E5">
        <v>-692093</v>
      </c>
      <c r="F5">
        <v>-690474</v>
      </c>
      <c r="G5">
        <v>-598185</v>
      </c>
      <c r="H5">
        <v>-522875</v>
      </c>
      <c r="I5">
        <v>-512740</v>
      </c>
      <c r="J5">
        <v>-567660</v>
      </c>
      <c r="K5">
        <v>-587336</v>
      </c>
      <c r="L5">
        <v>-587336</v>
      </c>
      <c r="M5">
        <v>-588336</v>
      </c>
      <c r="N5">
        <v>-6856526</v>
      </c>
      <c r="O5">
        <v>-6968656</v>
      </c>
      <c r="P5">
        <v>112129</v>
      </c>
    </row>
    <row r="6" spans="1:16">
      <c r="A6" t="s">
        <v>1245</v>
      </c>
      <c r="B6">
        <v>-35838584</v>
      </c>
      <c r="C6">
        <v>-35771782</v>
      </c>
      <c r="D6">
        <v>-34299251</v>
      </c>
      <c r="E6">
        <v>-35730709</v>
      </c>
      <c r="F6">
        <v>-36435395</v>
      </c>
      <c r="G6">
        <v>-36109721</v>
      </c>
      <c r="H6">
        <f>-39100030+500000</f>
        <v>-38600030</v>
      </c>
      <c r="I6">
        <f>-35483430-500000</f>
        <v>-35983430</v>
      </c>
      <c r="J6">
        <v>-35483430</v>
      </c>
      <c r="K6">
        <v>-35483429</v>
      </c>
      <c r="L6">
        <v>-35483429</v>
      </c>
      <c r="M6">
        <v>-35483432</v>
      </c>
      <c r="N6">
        <v>-430702623</v>
      </c>
      <c r="O6">
        <v>-430339000</v>
      </c>
      <c r="P6">
        <v>-363623</v>
      </c>
    </row>
    <row r="7" spans="1:16">
      <c r="A7" t="s">
        <v>1246</v>
      </c>
      <c r="B7">
        <v>0</v>
      </c>
      <c r="C7">
        <v>0</v>
      </c>
      <c r="D7">
        <v>0</v>
      </c>
      <c r="E7">
        <v>0</v>
      </c>
      <c r="F7">
        <v>0</v>
      </c>
      <c r="G7">
        <v>0</v>
      </c>
      <c r="H7">
        <v>0</v>
      </c>
      <c r="I7">
        <v>0</v>
      </c>
      <c r="J7">
        <v>0</v>
      </c>
      <c r="K7">
        <v>0</v>
      </c>
      <c r="L7">
        <v>0</v>
      </c>
      <c r="M7">
        <v>0</v>
      </c>
      <c r="N7">
        <v>1</v>
      </c>
      <c r="O7">
        <v>51</v>
      </c>
      <c r="P7">
        <v>-50</v>
      </c>
    </row>
    <row r="8" spans="1:16">
      <c r="A8" t="s">
        <v>753</v>
      </c>
      <c r="B8">
        <v>-639302</v>
      </c>
      <c r="C8">
        <v>-672225</v>
      </c>
      <c r="D8">
        <v>-515568</v>
      </c>
      <c r="E8">
        <v>-1434091</v>
      </c>
      <c r="F8">
        <v>-867102</v>
      </c>
      <c r="G8">
        <v>-874232</v>
      </c>
      <c r="H8">
        <v>-765627</v>
      </c>
      <c r="I8">
        <v>-875071</v>
      </c>
      <c r="J8">
        <v>-1144684</v>
      </c>
      <c r="K8">
        <v>-1202984</v>
      </c>
      <c r="L8">
        <v>-1108484</v>
      </c>
      <c r="M8">
        <v>-1182763</v>
      </c>
      <c r="N8">
        <v>-11282131</v>
      </c>
      <c r="O8">
        <v>-10397302</v>
      </c>
      <c r="P8">
        <v>-884829</v>
      </c>
    </row>
    <row r="9" spans="1:16">
      <c r="A9" t="s">
        <v>1247</v>
      </c>
      <c r="B9">
        <v>-4670</v>
      </c>
      <c r="C9">
        <v>-4670</v>
      </c>
      <c r="D9">
        <v>-4900</v>
      </c>
      <c r="E9">
        <v>-6651</v>
      </c>
      <c r="F9">
        <v>-4670</v>
      </c>
      <c r="G9">
        <v>9340</v>
      </c>
      <c r="H9">
        <v>-17798</v>
      </c>
      <c r="I9">
        <v>-4836</v>
      </c>
      <c r="J9">
        <v>-4836</v>
      </c>
      <c r="K9">
        <v>-4836</v>
      </c>
      <c r="L9">
        <v>-4836</v>
      </c>
      <c r="M9">
        <v>-4836</v>
      </c>
      <c r="N9">
        <v>-58199</v>
      </c>
      <c r="O9">
        <v>-58032</v>
      </c>
      <c r="P9">
        <v>-167</v>
      </c>
    </row>
    <row r="10" spans="1:16">
      <c r="A10" t="s">
        <v>1248</v>
      </c>
      <c r="B10">
        <v>-261435</v>
      </c>
      <c r="C10">
        <v>-472726</v>
      </c>
      <c r="D10">
        <v>-362004</v>
      </c>
      <c r="E10">
        <v>-355695</v>
      </c>
      <c r="F10">
        <v>-344750</v>
      </c>
      <c r="G10">
        <v>-255448</v>
      </c>
      <c r="H10">
        <v>-380013</v>
      </c>
      <c r="I10">
        <v>-344914</v>
      </c>
      <c r="J10">
        <v>-345614</v>
      </c>
      <c r="K10">
        <v>-344914</v>
      </c>
      <c r="L10">
        <v>-344914</v>
      </c>
      <c r="M10">
        <v>-345614</v>
      </c>
      <c r="N10">
        <v>-4158041</v>
      </c>
      <c r="O10">
        <v>-5421221</v>
      </c>
      <c r="P10">
        <v>1263180</v>
      </c>
    </row>
    <row r="11" spans="1:16">
      <c r="A11" t="s">
        <v>1249</v>
      </c>
      <c r="B11">
        <v>-780485</v>
      </c>
      <c r="C11">
        <v>-693040</v>
      </c>
      <c r="D11">
        <v>-735188</v>
      </c>
      <c r="E11">
        <v>-633346</v>
      </c>
      <c r="F11">
        <v>-638512</v>
      </c>
      <c r="G11">
        <v>-755652</v>
      </c>
      <c r="H11">
        <v>-732122</v>
      </c>
      <c r="I11">
        <v>-728686</v>
      </c>
      <c r="J11">
        <v>-682336</v>
      </c>
      <c r="K11">
        <v>-688867</v>
      </c>
      <c r="L11">
        <v>-687895</v>
      </c>
      <c r="M11">
        <v>-687895</v>
      </c>
      <c r="N11">
        <v>-8444023</v>
      </c>
      <c r="O11">
        <v>-8938559</v>
      </c>
      <c r="P11">
        <v>494536</v>
      </c>
    </row>
    <row r="12" spans="1:16">
      <c r="A12" t="s">
        <v>754</v>
      </c>
      <c r="B12">
        <v>-38045033</v>
      </c>
      <c r="C12">
        <v>-38109732</v>
      </c>
      <c r="D12">
        <v>-36410557</v>
      </c>
      <c r="E12">
        <v>-38852585</v>
      </c>
      <c r="F12">
        <v>-38980903</v>
      </c>
      <c r="G12">
        <v>-38583898</v>
      </c>
      <c r="H12">
        <v>-41530941</v>
      </c>
      <c r="I12">
        <v>-37949645</v>
      </c>
      <c r="J12">
        <v>-38228527</v>
      </c>
      <c r="K12">
        <v>-38312333</v>
      </c>
      <c r="L12">
        <v>-38216861</v>
      </c>
      <c r="M12">
        <v>-38292853</v>
      </c>
      <c r="N12">
        <v>-461513868</v>
      </c>
      <c r="O12">
        <v>-462122718</v>
      </c>
      <c r="P12">
        <v>608850</v>
      </c>
    </row>
    <row r="13" spans="1:16">
      <c r="A13" t="s">
        <v>755</v>
      </c>
      <c r="B13">
        <v>-2397197</v>
      </c>
      <c r="C13">
        <v>-2173836</v>
      </c>
      <c r="D13">
        <v>-2304448</v>
      </c>
      <c r="E13">
        <v>-2892149</v>
      </c>
      <c r="F13">
        <v>-2384440</v>
      </c>
      <c r="G13">
        <v>-3059237</v>
      </c>
      <c r="H13">
        <v>-2794786</v>
      </c>
      <c r="I13">
        <v>-2521764</v>
      </c>
      <c r="J13">
        <v>-2522073</v>
      </c>
      <c r="K13">
        <v>-2522073</v>
      </c>
      <c r="L13">
        <v>-2520134</v>
      </c>
      <c r="M13">
        <v>-2513811</v>
      </c>
      <c r="N13">
        <v>-30605950</v>
      </c>
      <c r="O13">
        <v>-28129413</v>
      </c>
      <c r="P13">
        <v>-2476537</v>
      </c>
    </row>
    <row r="14" spans="1:16">
      <c r="A14" t="s">
        <v>1250</v>
      </c>
      <c r="B14">
        <v>-70410</v>
      </c>
      <c r="C14">
        <v>-82705</v>
      </c>
      <c r="D14">
        <v>-75239</v>
      </c>
      <c r="E14">
        <v>-67292</v>
      </c>
      <c r="F14">
        <v>-34268</v>
      </c>
      <c r="G14">
        <v>-112116</v>
      </c>
      <c r="H14">
        <v>-74444</v>
      </c>
      <c r="I14">
        <v>-62619</v>
      </c>
      <c r="J14">
        <v>-62619</v>
      </c>
      <c r="K14">
        <v>-62619</v>
      </c>
      <c r="L14">
        <v>-62619</v>
      </c>
      <c r="M14">
        <v>-62623</v>
      </c>
      <c r="N14">
        <v>-829572</v>
      </c>
      <c r="O14">
        <v>-780732</v>
      </c>
      <c r="P14">
        <v>-48840</v>
      </c>
    </row>
    <row r="15" spans="1:16">
      <c r="A15" t="s">
        <v>756</v>
      </c>
      <c r="B15">
        <v>-1252070</v>
      </c>
      <c r="C15">
        <v>-1257048</v>
      </c>
      <c r="D15">
        <v>-1273784</v>
      </c>
      <c r="E15">
        <v>-1411111</v>
      </c>
      <c r="F15">
        <v>-1218556</v>
      </c>
      <c r="G15">
        <v>-1277891</v>
      </c>
      <c r="H15">
        <v>-1388503</v>
      </c>
      <c r="I15">
        <v>-1319420</v>
      </c>
      <c r="J15">
        <v>-1359023</v>
      </c>
      <c r="K15">
        <v>-1397887</v>
      </c>
      <c r="L15">
        <v>-1398154</v>
      </c>
      <c r="M15">
        <v>-1429507</v>
      </c>
      <c r="N15">
        <v>-15982955</v>
      </c>
      <c r="O15">
        <v>-15916408</v>
      </c>
      <c r="P15">
        <v>-66546</v>
      </c>
    </row>
    <row r="16" spans="1:16">
      <c r="A16" t="s">
        <v>757</v>
      </c>
      <c r="B16">
        <v>-3719678</v>
      </c>
      <c r="C16">
        <v>-3513589</v>
      </c>
      <c r="D16">
        <v>-3653471</v>
      </c>
      <c r="E16">
        <v>-4370552</v>
      </c>
      <c r="F16">
        <v>-3637264</v>
      </c>
      <c r="G16">
        <v>-4449245</v>
      </c>
      <c r="H16">
        <v>-4257733</v>
      </c>
      <c r="I16">
        <v>-3903803</v>
      </c>
      <c r="J16">
        <v>-3943714</v>
      </c>
      <c r="K16">
        <v>-3982579</v>
      </c>
      <c r="L16">
        <v>-3980907</v>
      </c>
      <c r="M16">
        <v>-4005941</v>
      </c>
      <c r="N16">
        <v>-47418476</v>
      </c>
      <c r="O16">
        <v>-44826554</v>
      </c>
      <c r="P16">
        <v>-2591923</v>
      </c>
    </row>
    <row r="17" spans="1:16">
      <c r="A17" t="s">
        <v>716</v>
      </c>
      <c r="B17">
        <v>-41764711</v>
      </c>
      <c r="C17">
        <v>-41623321</v>
      </c>
      <c r="D17">
        <v>-40064028</v>
      </c>
      <c r="E17">
        <v>-43223137</v>
      </c>
      <c r="F17">
        <v>-42618167</v>
      </c>
      <c r="G17">
        <v>-43033143</v>
      </c>
      <c r="H17">
        <v>-45788675</v>
      </c>
      <c r="I17">
        <v>-41853448</v>
      </c>
      <c r="J17">
        <v>-42172242</v>
      </c>
      <c r="K17">
        <v>-42294912</v>
      </c>
      <c r="L17">
        <v>-42197768</v>
      </c>
      <c r="M17">
        <v>-42298794</v>
      </c>
      <c r="N17">
        <v>-508932345</v>
      </c>
      <c r="O17">
        <v>-506949272</v>
      </c>
      <c r="P17">
        <v>-1983073</v>
      </c>
    </row>
    <row r="18" spans="1:16">
      <c r="A18" t="s">
        <v>758</v>
      </c>
      <c r="B18">
        <v>954987</v>
      </c>
      <c r="C18">
        <v>1027654</v>
      </c>
      <c r="D18">
        <v>1095199</v>
      </c>
      <c r="E18">
        <v>988208</v>
      </c>
      <c r="F18">
        <v>1081397</v>
      </c>
      <c r="G18">
        <v>1021915</v>
      </c>
      <c r="H18">
        <v>1121482</v>
      </c>
      <c r="I18">
        <v>1030368</v>
      </c>
      <c r="J18">
        <v>1049939</v>
      </c>
      <c r="K18">
        <v>1058786</v>
      </c>
      <c r="L18">
        <v>1061429</v>
      </c>
      <c r="M18">
        <v>1039273</v>
      </c>
      <c r="N18">
        <v>12530637</v>
      </c>
      <c r="O18">
        <v>12645173</v>
      </c>
      <c r="P18">
        <v>-114536</v>
      </c>
    </row>
    <row r="19" spans="1:16">
      <c r="A19" t="s">
        <v>759</v>
      </c>
      <c r="B19">
        <v>7781916</v>
      </c>
      <c r="C19">
        <v>7782813</v>
      </c>
      <c r="D19">
        <v>7895541</v>
      </c>
      <c r="E19">
        <v>7721336</v>
      </c>
      <c r="F19">
        <v>7976204</v>
      </c>
      <c r="G19">
        <v>7976535</v>
      </c>
      <c r="H19">
        <v>8140600</v>
      </c>
      <c r="I19">
        <v>7769797</v>
      </c>
      <c r="J19">
        <v>7713212</v>
      </c>
      <c r="K19">
        <v>7750796</v>
      </c>
      <c r="L19">
        <v>7665634</v>
      </c>
      <c r="M19">
        <v>7851524</v>
      </c>
      <c r="N19">
        <v>94025908</v>
      </c>
      <c r="O19">
        <v>91553734</v>
      </c>
      <c r="P19">
        <v>2472174</v>
      </c>
    </row>
    <row r="20" spans="1:16">
      <c r="A20" t="s">
        <v>1251</v>
      </c>
      <c r="B20">
        <v>9436914</v>
      </c>
      <c r="C20">
        <v>9856587</v>
      </c>
      <c r="D20">
        <v>9743819</v>
      </c>
      <c r="E20">
        <v>9658266</v>
      </c>
      <c r="F20">
        <v>9953599</v>
      </c>
      <c r="G20">
        <v>9918943</v>
      </c>
      <c r="H20">
        <v>9847446</v>
      </c>
      <c r="I20">
        <v>9232764</v>
      </c>
      <c r="J20">
        <v>9270335</v>
      </c>
      <c r="K20">
        <v>9278100</v>
      </c>
      <c r="L20">
        <v>9274412</v>
      </c>
      <c r="M20">
        <v>9226604</v>
      </c>
      <c r="N20">
        <v>114697789</v>
      </c>
      <c r="O20">
        <v>112765659</v>
      </c>
      <c r="P20">
        <v>1932130</v>
      </c>
    </row>
    <row r="21" spans="1:16">
      <c r="A21" t="s">
        <v>760</v>
      </c>
      <c r="B21">
        <v>3616527</v>
      </c>
      <c r="C21">
        <v>3588329</v>
      </c>
      <c r="D21">
        <v>3613478</v>
      </c>
      <c r="E21">
        <v>3588167</v>
      </c>
      <c r="F21">
        <v>3589164</v>
      </c>
      <c r="G21">
        <v>3696110</v>
      </c>
      <c r="H21">
        <v>3777186</v>
      </c>
      <c r="I21">
        <v>3535712</v>
      </c>
      <c r="J21">
        <v>3531967</v>
      </c>
      <c r="K21">
        <v>3554415</v>
      </c>
      <c r="L21">
        <v>3589510</v>
      </c>
      <c r="M21">
        <v>3611722</v>
      </c>
      <c r="N21">
        <v>43292286</v>
      </c>
      <c r="O21">
        <v>43343843</v>
      </c>
      <c r="P21">
        <v>-51557</v>
      </c>
    </row>
    <row r="22" spans="1:16">
      <c r="A22" t="s">
        <v>1252</v>
      </c>
      <c r="B22">
        <v>54275</v>
      </c>
      <c r="C22">
        <v>48073</v>
      </c>
      <c r="D22">
        <v>45993</v>
      </c>
      <c r="E22">
        <v>49080</v>
      </c>
      <c r="F22">
        <v>45566</v>
      </c>
      <c r="G22">
        <v>47667</v>
      </c>
      <c r="H22">
        <v>45723</v>
      </c>
      <c r="I22">
        <v>56711</v>
      </c>
      <c r="J22">
        <v>56711</v>
      </c>
      <c r="K22">
        <v>56711</v>
      </c>
      <c r="L22">
        <v>56711</v>
      </c>
      <c r="M22">
        <v>56711</v>
      </c>
      <c r="N22">
        <v>619931</v>
      </c>
      <c r="O22">
        <v>774467</v>
      </c>
      <c r="P22">
        <v>-154537</v>
      </c>
    </row>
    <row r="23" spans="1:16">
      <c r="A23" t="s">
        <v>761</v>
      </c>
      <c r="B23">
        <v>2412852</v>
      </c>
      <c r="C23">
        <v>2449982</v>
      </c>
      <c r="D23">
        <v>2552602</v>
      </c>
      <c r="E23">
        <v>2574798</v>
      </c>
      <c r="F23">
        <v>2562509</v>
      </c>
      <c r="G23">
        <v>2524881</v>
      </c>
      <c r="H23">
        <v>2557024</v>
      </c>
      <c r="I23">
        <v>2355088</v>
      </c>
      <c r="J23">
        <v>2361518</v>
      </c>
      <c r="K23">
        <v>2361719</v>
      </c>
      <c r="L23">
        <v>2363118</v>
      </c>
      <c r="M23">
        <v>2383679</v>
      </c>
      <c r="N23">
        <v>29459770</v>
      </c>
      <c r="O23">
        <v>27775789</v>
      </c>
      <c r="P23">
        <v>1683982</v>
      </c>
    </row>
    <row r="24" spans="1:16">
      <c r="A24" t="s">
        <v>1253</v>
      </c>
      <c r="B24">
        <v>239639</v>
      </c>
      <c r="C24">
        <v>288498</v>
      </c>
      <c r="D24">
        <v>249601</v>
      </c>
      <c r="E24">
        <v>246753</v>
      </c>
      <c r="F24">
        <v>217016</v>
      </c>
      <c r="G24">
        <v>228240</v>
      </c>
      <c r="H24">
        <v>232064</v>
      </c>
      <c r="I24">
        <v>224186</v>
      </c>
      <c r="J24">
        <v>224186</v>
      </c>
      <c r="K24">
        <v>224186</v>
      </c>
      <c r="L24">
        <v>224186</v>
      </c>
      <c r="M24">
        <v>224186</v>
      </c>
      <c r="N24">
        <v>2822744</v>
      </c>
      <c r="O24">
        <v>2924774</v>
      </c>
      <c r="P24">
        <v>-102030</v>
      </c>
    </row>
    <row r="25" spans="1:16">
      <c r="A25" t="s">
        <v>762</v>
      </c>
      <c r="B25">
        <v>-4147</v>
      </c>
      <c r="C25">
        <v>19553</v>
      </c>
      <c r="D25">
        <v>1678</v>
      </c>
      <c r="E25">
        <v>50559</v>
      </c>
      <c r="F25">
        <v>15082</v>
      </c>
      <c r="G25">
        <v>-7867</v>
      </c>
      <c r="H25">
        <v>-2063</v>
      </c>
      <c r="I25">
        <v>4436</v>
      </c>
      <c r="J25">
        <v>11722</v>
      </c>
      <c r="K25">
        <v>4922</v>
      </c>
      <c r="L25">
        <v>3722</v>
      </c>
      <c r="M25">
        <v>-15078</v>
      </c>
      <c r="N25">
        <v>82521</v>
      </c>
      <c r="O25">
        <v>88151</v>
      </c>
      <c r="P25">
        <v>-5630</v>
      </c>
    </row>
    <row r="26" spans="1:16">
      <c r="A26" t="s">
        <v>763</v>
      </c>
      <c r="B26">
        <v>24492961</v>
      </c>
      <c r="C26">
        <v>25061489</v>
      </c>
      <c r="D26">
        <v>25197912</v>
      </c>
      <c r="E26">
        <v>24877167</v>
      </c>
      <c r="F26">
        <v>25440538</v>
      </c>
      <c r="G26">
        <v>25406424</v>
      </c>
      <c r="H26">
        <v>25719462</v>
      </c>
      <c r="I26">
        <v>24209063</v>
      </c>
      <c r="J26">
        <v>24219591</v>
      </c>
      <c r="K26">
        <v>24289636</v>
      </c>
      <c r="L26">
        <v>24238723</v>
      </c>
      <c r="M26">
        <v>24378621</v>
      </c>
      <c r="N26">
        <v>297531587</v>
      </c>
      <c r="O26">
        <v>291871590</v>
      </c>
      <c r="P26">
        <v>5659997</v>
      </c>
    </row>
    <row r="27" spans="1:16">
      <c r="A27" t="s">
        <v>764</v>
      </c>
      <c r="B27">
        <v>549319</v>
      </c>
      <c r="C27">
        <v>608729</v>
      </c>
      <c r="D27">
        <v>542373</v>
      </c>
      <c r="E27">
        <v>806519</v>
      </c>
      <c r="F27">
        <v>668584</v>
      </c>
      <c r="G27">
        <v>539683</v>
      </c>
      <c r="H27">
        <v>625311</v>
      </c>
      <c r="I27">
        <v>656993</v>
      </c>
      <c r="J27">
        <v>657966</v>
      </c>
      <c r="K27">
        <v>656788</v>
      </c>
      <c r="L27">
        <v>655868</v>
      </c>
      <c r="M27">
        <v>645130</v>
      </c>
      <c r="N27">
        <v>7613263</v>
      </c>
      <c r="O27">
        <v>7571832</v>
      </c>
      <c r="P27">
        <v>41431</v>
      </c>
    </row>
    <row r="28" spans="1:16">
      <c r="A28" t="s">
        <v>1256</v>
      </c>
      <c r="B28">
        <v>456348</v>
      </c>
      <c r="C28">
        <v>653683</v>
      </c>
      <c r="D28">
        <v>605447</v>
      </c>
      <c r="E28">
        <v>647654</v>
      </c>
      <c r="F28">
        <v>475049</v>
      </c>
      <c r="G28">
        <v>607662</v>
      </c>
      <c r="H28">
        <v>519084</v>
      </c>
      <c r="I28">
        <v>566348</v>
      </c>
      <c r="J28">
        <v>552494</v>
      </c>
      <c r="K28">
        <v>550848</v>
      </c>
      <c r="L28">
        <v>576848</v>
      </c>
      <c r="M28">
        <v>576848</v>
      </c>
      <c r="N28">
        <v>6788314</v>
      </c>
      <c r="O28">
        <v>5994832</v>
      </c>
      <c r="P28">
        <v>793482</v>
      </c>
    </row>
    <row r="29" spans="1:16">
      <c r="A29" t="s">
        <v>1254</v>
      </c>
      <c r="B29">
        <v>4506317</v>
      </c>
      <c r="C29">
        <v>4448659</v>
      </c>
      <c r="D29">
        <v>2640631</v>
      </c>
      <c r="E29">
        <v>4243711</v>
      </c>
      <c r="F29">
        <v>4729303</v>
      </c>
      <c r="G29">
        <v>4473586</v>
      </c>
      <c r="H29">
        <v>4869036</v>
      </c>
      <c r="I29">
        <v>4412036</v>
      </c>
      <c r="J29">
        <v>4403827</v>
      </c>
      <c r="K29">
        <v>4403827</v>
      </c>
      <c r="L29">
        <v>4407674</v>
      </c>
      <c r="M29">
        <v>4406772</v>
      </c>
      <c r="N29">
        <v>51945379</v>
      </c>
      <c r="O29">
        <v>51034646</v>
      </c>
      <c r="P29">
        <v>910733</v>
      </c>
    </row>
    <row r="30" spans="1:16">
      <c r="A30" t="s">
        <v>1255</v>
      </c>
      <c r="B30">
        <v>4836311</v>
      </c>
      <c r="C30">
        <v>4436787</v>
      </c>
      <c r="D30">
        <v>4826195</v>
      </c>
      <c r="E30">
        <v>4999848</v>
      </c>
      <c r="F30">
        <v>3414687</v>
      </c>
      <c r="G30">
        <v>4369291</v>
      </c>
      <c r="H30">
        <v>5096574</v>
      </c>
      <c r="I30">
        <v>4180509</v>
      </c>
      <c r="J30">
        <v>4242494</v>
      </c>
      <c r="K30">
        <v>4303697</v>
      </c>
      <c r="L30">
        <v>4189128</v>
      </c>
      <c r="M30">
        <v>4213328</v>
      </c>
      <c r="N30">
        <v>53108848</v>
      </c>
      <c r="O30">
        <v>50788293</v>
      </c>
      <c r="P30">
        <v>2320555</v>
      </c>
    </row>
    <row r="31" spans="1:16">
      <c r="A31" t="s">
        <v>765</v>
      </c>
      <c r="B31">
        <v>1152977</v>
      </c>
      <c r="C31">
        <v>1595743</v>
      </c>
      <c r="D31">
        <v>1220515</v>
      </c>
      <c r="E31">
        <v>1504422</v>
      </c>
      <c r="F31">
        <v>1647665</v>
      </c>
      <c r="G31">
        <v>1414822</v>
      </c>
      <c r="H31">
        <v>1347716</v>
      </c>
      <c r="I31">
        <v>1438229</v>
      </c>
      <c r="J31">
        <v>1433374</v>
      </c>
      <c r="K31">
        <v>1431096</v>
      </c>
      <c r="L31">
        <v>1432546</v>
      </c>
      <c r="M31">
        <v>1432205</v>
      </c>
      <c r="N31">
        <v>17051309</v>
      </c>
      <c r="O31">
        <v>16817437</v>
      </c>
      <c r="P31">
        <v>233872</v>
      </c>
    </row>
    <row r="32" spans="1:16">
      <c r="A32" t="s">
        <v>766</v>
      </c>
      <c r="B32">
        <v>560110</v>
      </c>
      <c r="C32">
        <v>485898</v>
      </c>
      <c r="D32">
        <v>443007</v>
      </c>
      <c r="E32">
        <v>457647</v>
      </c>
      <c r="F32">
        <v>791387</v>
      </c>
      <c r="G32">
        <v>536478</v>
      </c>
      <c r="H32">
        <v>492740</v>
      </c>
      <c r="I32">
        <v>562675</v>
      </c>
      <c r="J32">
        <v>521770</v>
      </c>
      <c r="K32">
        <v>523021</v>
      </c>
      <c r="L32">
        <v>511005</v>
      </c>
      <c r="M32">
        <v>592593</v>
      </c>
      <c r="N32">
        <v>6478331</v>
      </c>
      <c r="O32">
        <v>6205824</v>
      </c>
      <c r="P32">
        <v>272507</v>
      </c>
    </row>
    <row r="33" spans="1:16">
      <c r="A33" t="s">
        <v>767</v>
      </c>
      <c r="B33">
        <v>100113</v>
      </c>
      <c r="C33">
        <v>91415</v>
      </c>
      <c r="D33">
        <v>97594</v>
      </c>
      <c r="E33">
        <v>77289</v>
      </c>
      <c r="F33">
        <v>77739</v>
      </c>
      <c r="G33">
        <v>33716</v>
      </c>
      <c r="H33">
        <v>89178</v>
      </c>
      <c r="I33">
        <v>88859</v>
      </c>
      <c r="J33">
        <v>91180</v>
      </c>
      <c r="K33">
        <v>88790</v>
      </c>
      <c r="L33">
        <v>95793</v>
      </c>
      <c r="M33">
        <v>112561</v>
      </c>
      <c r="N33">
        <v>1044226</v>
      </c>
      <c r="O33">
        <v>893294</v>
      </c>
      <c r="P33">
        <v>150932</v>
      </c>
    </row>
    <row r="34" spans="1:16">
      <c r="A34" t="s">
        <v>548</v>
      </c>
      <c r="B34">
        <v>1760724</v>
      </c>
      <c r="C34">
        <v>1704021</v>
      </c>
      <c r="D34">
        <v>1917164</v>
      </c>
      <c r="E34">
        <v>1796016</v>
      </c>
      <c r="F34">
        <v>1280737</v>
      </c>
      <c r="G34">
        <v>1036272</v>
      </c>
      <c r="H34">
        <v>1820136</v>
      </c>
      <c r="I34">
        <v>1531696</v>
      </c>
      <c r="J34">
        <v>1546754</v>
      </c>
      <c r="K34">
        <v>1568068</v>
      </c>
      <c r="L34">
        <v>1524509</v>
      </c>
      <c r="M34">
        <v>1571175</v>
      </c>
      <c r="N34">
        <v>19057272</v>
      </c>
      <c r="O34">
        <v>21028784</v>
      </c>
      <c r="P34">
        <v>-1971512</v>
      </c>
    </row>
    <row r="35" spans="1:16">
      <c r="A35" t="s">
        <v>768</v>
      </c>
      <c r="B35">
        <v>344491</v>
      </c>
      <c r="C35">
        <v>311126</v>
      </c>
      <c r="D35">
        <v>336987</v>
      </c>
      <c r="E35">
        <v>259272</v>
      </c>
      <c r="F35">
        <v>295395</v>
      </c>
      <c r="G35">
        <v>298363</v>
      </c>
      <c r="H35">
        <v>344082</v>
      </c>
      <c r="I35">
        <v>350822</v>
      </c>
      <c r="J35">
        <v>343628</v>
      </c>
      <c r="K35">
        <v>353595</v>
      </c>
      <c r="L35">
        <v>346572</v>
      </c>
      <c r="M35">
        <v>352114</v>
      </c>
      <c r="N35">
        <v>3936447</v>
      </c>
      <c r="O35">
        <v>4187616</v>
      </c>
      <c r="P35">
        <v>-251168</v>
      </c>
    </row>
    <row r="36" spans="1:16">
      <c r="A36" t="s">
        <v>1257</v>
      </c>
      <c r="B36">
        <v>874044</v>
      </c>
      <c r="C36">
        <v>874044</v>
      </c>
      <c r="D36">
        <v>874044</v>
      </c>
      <c r="E36">
        <v>874044</v>
      </c>
      <c r="F36">
        <v>874044</v>
      </c>
      <c r="G36">
        <v>874044</v>
      </c>
      <c r="H36">
        <v>875852</v>
      </c>
      <c r="I36">
        <v>874044</v>
      </c>
      <c r="J36">
        <v>874044</v>
      </c>
      <c r="K36">
        <v>874044</v>
      </c>
      <c r="L36">
        <v>874044</v>
      </c>
      <c r="M36">
        <v>874044</v>
      </c>
      <c r="N36">
        <v>10490336</v>
      </c>
      <c r="O36">
        <v>10488528</v>
      </c>
      <c r="P36">
        <v>1808</v>
      </c>
    </row>
    <row r="37" spans="1:16">
      <c r="A37" t="s">
        <v>769</v>
      </c>
      <c r="B37">
        <v>36149</v>
      </c>
      <c r="C37">
        <v>72726</v>
      </c>
      <c r="D37">
        <v>108389</v>
      </c>
      <c r="E37">
        <v>-45182</v>
      </c>
      <c r="F37">
        <v>248801</v>
      </c>
      <c r="G37">
        <v>249210</v>
      </c>
      <c r="H37">
        <f>290235-30000+31000</f>
        <v>291235</v>
      </c>
      <c r="I37">
        <f>778445-1000000</f>
        <v>-221555</v>
      </c>
      <c r="J37">
        <f>302621-1000000</f>
        <v>-697379</v>
      </c>
      <c r="K37">
        <f>303848-1000000</f>
        <v>-696152</v>
      </c>
      <c r="L37">
        <f>746929-1000000</f>
        <v>-253071</v>
      </c>
      <c r="M37">
        <f>311027-826000+30000-154000+22000</f>
        <v>-616973</v>
      </c>
      <c r="N37">
        <f>3403199</f>
        <v>3403199</v>
      </c>
      <c r="O37">
        <v>4291074</v>
      </c>
      <c r="P37">
        <v>-887875</v>
      </c>
    </row>
    <row r="38" spans="1:16">
      <c r="A38" t="s">
        <v>770</v>
      </c>
      <c r="B38">
        <v>15176903</v>
      </c>
      <c r="C38">
        <v>15282832</v>
      </c>
      <c r="D38">
        <v>13612346</v>
      </c>
      <c r="E38">
        <v>15621239</v>
      </c>
      <c r="F38">
        <v>14503391</v>
      </c>
      <c r="G38">
        <v>14433126</v>
      </c>
      <c r="H38">
        <v>16369944</v>
      </c>
      <c r="I38">
        <v>15440656</v>
      </c>
      <c r="J38">
        <v>14970153</v>
      </c>
      <c r="K38">
        <v>15057623</v>
      </c>
      <c r="L38">
        <v>15360916</v>
      </c>
      <c r="M38">
        <v>15087796</v>
      </c>
      <c r="N38">
        <v>180916925</v>
      </c>
      <c r="O38">
        <v>179302160</v>
      </c>
      <c r="P38">
        <v>1614765</v>
      </c>
    </row>
    <row r="39" spans="1:16">
      <c r="A39" t="s">
        <v>1258</v>
      </c>
      <c r="B39">
        <v>0</v>
      </c>
      <c r="C39">
        <v>0</v>
      </c>
      <c r="D39">
        <v>0</v>
      </c>
      <c r="E39">
        <v>0</v>
      </c>
      <c r="F39">
        <v>0</v>
      </c>
      <c r="G39">
        <v>0</v>
      </c>
      <c r="H39">
        <v>0</v>
      </c>
      <c r="I39">
        <v>-2747</v>
      </c>
      <c r="J39">
        <v>-2747</v>
      </c>
      <c r="K39">
        <v>-2747</v>
      </c>
      <c r="L39">
        <v>-2747</v>
      </c>
      <c r="M39">
        <v>-2747</v>
      </c>
      <c r="N39">
        <v>-13735</v>
      </c>
      <c r="O39">
        <v>0</v>
      </c>
      <c r="P39">
        <v>-13735</v>
      </c>
    </row>
    <row r="40" spans="1:16">
      <c r="A40" t="s">
        <v>1259</v>
      </c>
      <c r="B40">
        <v>0</v>
      </c>
      <c r="C40">
        <v>0</v>
      </c>
      <c r="D40">
        <v>0</v>
      </c>
      <c r="E40">
        <v>0</v>
      </c>
      <c r="F40">
        <v>2185</v>
      </c>
      <c r="G40">
        <v>0</v>
      </c>
      <c r="H40">
        <v>-2185</v>
      </c>
      <c r="I40">
        <v>10</v>
      </c>
      <c r="J40">
        <v>10</v>
      </c>
      <c r="K40">
        <v>10</v>
      </c>
      <c r="L40">
        <v>10</v>
      </c>
      <c r="M40">
        <v>10</v>
      </c>
      <c r="N40">
        <v>50</v>
      </c>
      <c r="O40">
        <v>0</v>
      </c>
      <c r="P40">
        <v>50</v>
      </c>
    </row>
    <row r="41" spans="1:16">
      <c r="A41" t="s">
        <v>1260</v>
      </c>
      <c r="B41">
        <v>0</v>
      </c>
      <c r="C41">
        <v>0</v>
      </c>
      <c r="D41">
        <v>0</v>
      </c>
      <c r="E41">
        <v>0</v>
      </c>
      <c r="F41">
        <v>2185</v>
      </c>
      <c r="G41">
        <v>0</v>
      </c>
      <c r="H41">
        <v>-2185</v>
      </c>
      <c r="I41">
        <v>-2737</v>
      </c>
      <c r="J41">
        <v>-2737</v>
      </c>
      <c r="K41">
        <v>-2737</v>
      </c>
      <c r="L41">
        <v>-2737</v>
      </c>
      <c r="M41">
        <v>-2737</v>
      </c>
      <c r="N41">
        <v>-13685</v>
      </c>
      <c r="O41">
        <v>0</v>
      </c>
      <c r="P41">
        <v>-13685</v>
      </c>
    </row>
    <row r="42" spans="1:16">
      <c r="A42" t="s">
        <v>717</v>
      </c>
      <c r="B42">
        <v>39669864</v>
      </c>
      <c r="C42">
        <v>40344321</v>
      </c>
      <c r="D42">
        <v>38810258</v>
      </c>
      <c r="E42">
        <v>40498406</v>
      </c>
      <c r="F42">
        <v>39946114</v>
      </c>
      <c r="G42">
        <v>39839550</v>
      </c>
      <c r="H42">
        <v>42087221</v>
      </c>
      <c r="I42">
        <v>39646982</v>
      </c>
      <c r="J42">
        <v>39187006</v>
      </c>
      <c r="K42">
        <v>39344522</v>
      </c>
      <c r="L42">
        <v>39596902</v>
      </c>
      <c r="M42">
        <v>39463680</v>
      </c>
      <c r="N42">
        <v>478434827</v>
      </c>
      <c r="O42">
        <v>471173750</v>
      </c>
      <c r="P42">
        <v>7261077</v>
      </c>
    </row>
    <row r="43" spans="1:16">
      <c r="A43" t="s">
        <v>865</v>
      </c>
      <c r="B43">
        <v>-2094847</v>
      </c>
      <c r="C43">
        <v>-1279000</v>
      </c>
      <c r="D43">
        <v>-1253770</v>
      </c>
      <c r="E43">
        <v>-2724731</v>
      </c>
      <c r="F43">
        <v>-2672052</v>
      </c>
      <c r="G43">
        <v>-3193593</v>
      </c>
      <c r="H43">
        <v>-3701453</v>
      </c>
      <c r="I43">
        <v>-2206466</v>
      </c>
      <c r="J43">
        <v>-2985235</v>
      </c>
      <c r="K43">
        <v>-2950390</v>
      </c>
      <c r="L43">
        <v>-2600866</v>
      </c>
      <c r="M43">
        <v>-2835114</v>
      </c>
      <c r="N43">
        <v>-30497518</v>
      </c>
      <c r="O43">
        <v>-35775522</v>
      </c>
      <c r="P43">
        <v>5278004</v>
      </c>
    </row>
    <row r="44" spans="1:16">
      <c r="A44" t="s">
        <v>1263</v>
      </c>
      <c r="B44">
        <v>-23626</v>
      </c>
      <c r="C44">
        <v>-506166</v>
      </c>
      <c r="D44">
        <v>-242762</v>
      </c>
      <c r="E44">
        <v>-57111</v>
      </c>
      <c r="F44">
        <v>-32629</v>
      </c>
      <c r="G44">
        <v>0</v>
      </c>
      <c r="H44">
        <v>-23915</v>
      </c>
      <c r="I44">
        <v>-176671</v>
      </c>
      <c r="J44">
        <v>-16277</v>
      </c>
      <c r="K44">
        <v>-23437</v>
      </c>
      <c r="L44">
        <v>-23437</v>
      </c>
      <c r="M44">
        <v>-17671</v>
      </c>
      <c r="N44">
        <v>-1143702</v>
      </c>
      <c r="O44">
        <v>-1392593</v>
      </c>
      <c r="P44">
        <v>248891</v>
      </c>
    </row>
    <row r="45" spans="1:16">
      <c r="A45" t="s">
        <v>1262</v>
      </c>
      <c r="B45">
        <v>283879</v>
      </c>
      <c r="C45">
        <v>279750</v>
      </c>
      <c r="D45">
        <v>273621</v>
      </c>
      <c r="E45">
        <v>284723</v>
      </c>
      <c r="F45">
        <v>283767</v>
      </c>
      <c r="G45">
        <v>284854</v>
      </c>
      <c r="H45">
        <v>291268</v>
      </c>
      <c r="I45">
        <v>312199</v>
      </c>
      <c r="J45">
        <v>319199</v>
      </c>
      <c r="K45">
        <v>320199</v>
      </c>
      <c r="L45">
        <v>319199</v>
      </c>
      <c r="M45">
        <v>328199</v>
      </c>
      <c r="N45">
        <v>3580857</v>
      </c>
      <c r="O45">
        <v>3532596</v>
      </c>
      <c r="P45">
        <v>48261</v>
      </c>
    </row>
    <row r="46" spans="1:16">
      <c r="A46" t="s">
        <v>10</v>
      </c>
      <c r="B46">
        <v>-6406</v>
      </c>
      <c r="C46">
        <v>-8672</v>
      </c>
      <c r="D46">
        <v>-8149</v>
      </c>
      <c r="E46">
        <v>-10214</v>
      </c>
      <c r="F46">
        <v>-6831</v>
      </c>
      <c r="G46">
        <v>-7611</v>
      </c>
      <c r="H46">
        <v>-5458</v>
      </c>
      <c r="I46">
        <v>-5000</v>
      </c>
      <c r="J46">
        <v>-6000</v>
      </c>
      <c r="K46">
        <v>-6000</v>
      </c>
      <c r="L46">
        <v>-6000</v>
      </c>
      <c r="M46">
        <v>-6000</v>
      </c>
      <c r="N46">
        <v>-82342</v>
      </c>
      <c r="O46">
        <v>-68000</v>
      </c>
      <c r="P46">
        <v>-14342</v>
      </c>
    </row>
    <row r="47" spans="1:16">
      <c r="A47" t="s">
        <v>1261</v>
      </c>
      <c r="B47">
        <v>1883000</v>
      </c>
      <c r="C47">
        <v>1883000</v>
      </c>
      <c r="D47">
        <v>1883000</v>
      </c>
      <c r="E47">
        <v>1893876</v>
      </c>
      <c r="F47">
        <v>1886124</v>
      </c>
      <c r="G47">
        <v>1890014</v>
      </c>
      <c r="H47">
        <v>2033000</v>
      </c>
      <c r="I47">
        <v>2037000</v>
      </c>
      <c r="J47">
        <v>2039000</v>
      </c>
      <c r="K47">
        <v>2146000</v>
      </c>
      <c r="L47">
        <v>2148000</v>
      </c>
      <c r="M47">
        <v>13651000</v>
      </c>
      <c r="N47">
        <v>35373014</v>
      </c>
      <c r="O47">
        <v>35369758</v>
      </c>
      <c r="P47">
        <v>3256</v>
      </c>
    </row>
    <row r="48" spans="1:16">
      <c r="A48" t="s">
        <v>1264</v>
      </c>
      <c r="B48">
        <v>648000</v>
      </c>
      <c r="C48">
        <v>646000</v>
      </c>
      <c r="D48">
        <v>644000</v>
      </c>
      <c r="E48">
        <v>646000</v>
      </c>
      <c r="F48">
        <v>644000</v>
      </c>
      <c r="G48">
        <v>626000</v>
      </c>
      <c r="H48">
        <v>682000</v>
      </c>
      <c r="I48">
        <v>653000</v>
      </c>
      <c r="J48">
        <v>653000</v>
      </c>
      <c r="K48">
        <v>655000</v>
      </c>
      <c r="L48">
        <v>657000</v>
      </c>
      <c r="M48">
        <v>459000</v>
      </c>
      <c r="N48">
        <v>7613000</v>
      </c>
      <c r="O48">
        <v>8106000</v>
      </c>
      <c r="P48">
        <v>-493000</v>
      </c>
    </row>
    <row r="49" spans="1:16">
      <c r="A49" t="s">
        <v>1265</v>
      </c>
      <c r="B49">
        <v>2784848</v>
      </c>
      <c r="C49">
        <v>2293912</v>
      </c>
      <c r="D49">
        <v>2549709</v>
      </c>
      <c r="E49">
        <v>2757274</v>
      </c>
      <c r="F49">
        <v>2774431</v>
      </c>
      <c r="G49">
        <v>2793257</v>
      </c>
      <c r="H49">
        <v>2976894</v>
      </c>
      <c r="I49">
        <v>2820528</v>
      </c>
      <c r="J49">
        <v>2988922</v>
      </c>
      <c r="K49">
        <v>3091762</v>
      </c>
      <c r="L49">
        <v>3094762</v>
      </c>
      <c r="M49">
        <v>14414528</v>
      </c>
      <c r="N49">
        <v>45340828</v>
      </c>
      <c r="O49">
        <v>45547761</v>
      </c>
      <c r="P49">
        <v>-206933</v>
      </c>
    </row>
    <row r="50" spans="1:16">
      <c r="A50" t="s">
        <v>631</v>
      </c>
      <c r="B50">
        <v>690001</v>
      </c>
      <c r="C50">
        <v>1014912</v>
      </c>
      <c r="D50">
        <v>1295939</v>
      </c>
      <c r="E50">
        <v>32543</v>
      </c>
      <c r="F50">
        <v>102379</v>
      </c>
      <c r="G50">
        <v>-400336</v>
      </c>
      <c r="H50">
        <v>-724559</v>
      </c>
      <c r="I50">
        <v>614062</v>
      </c>
      <c r="J50">
        <v>3687</v>
      </c>
      <c r="K50">
        <v>141372</v>
      </c>
      <c r="L50">
        <v>493896</v>
      </c>
      <c r="M50">
        <v>11579414</v>
      </c>
      <c r="N50">
        <v>14843310</v>
      </c>
      <c r="O50">
        <v>9772239</v>
      </c>
      <c r="P50">
        <v>5071071</v>
      </c>
    </row>
    <row r="51" spans="1:16">
      <c r="A51" t="s">
        <v>1091</v>
      </c>
      <c r="B51">
        <v>-10360</v>
      </c>
      <c r="C51">
        <v>-28656</v>
      </c>
      <c r="D51">
        <v>33042</v>
      </c>
      <c r="E51">
        <v>-77453</v>
      </c>
      <c r="F51">
        <v>0</v>
      </c>
      <c r="G51">
        <v>6</v>
      </c>
      <c r="H51">
        <v>-6500</v>
      </c>
      <c r="I51">
        <v>-30000</v>
      </c>
      <c r="J51">
        <v>-74000</v>
      </c>
      <c r="K51">
        <v>-102000</v>
      </c>
      <c r="L51">
        <v>-100000</v>
      </c>
      <c r="M51">
        <v>-111000</v>
      </c>
      <c r="N51">
        <v>-506921</v>
      </c>
      <c r="O51">
        <v>-500000</v>
      </c>
      <c r="P51">
        <v>-6921</v>
      </c>
    </row>
    <row r="52" spans="1:16">
      <c r="A52" t="s">
        <v>1093</v>
      </c>
      <c r="B52">
        <v>70200</v>
      </c>
      <c r="C52">
        <v>70201</v>
      </c>
      <c r="D52">
        <v>72506</v>
      </c>
      <c r="E52">
        <v>70969</v>
      </c>
      <c r="F52">
        <v>70968</v>
      </c>
      <c r="G52">
        <v>70970</v>
      </c>
      <c r="H52">
        <v>70969</v>
      </c>
      <c r="I52">
        <v>73000</v>
      </c>
      <c r="J52">
        <v>73000</v>
      </c>
      <c r="K52">
        <v>73000</v>
      </c>
      <c r="L52">
        <v>73000</v>
      </c>
      <c r="M52">
        <v>73000</v>
      </c>
      <c r="N52">
        <v>861783</v>
      </c>
      <c r="O52">
        <v>840000</v>
      </c>
      <c r="P52">
        <v>21783</v>
      </c>
    </row>
    <row r="53" spans="1:16">
      <c r="A53" t="s">
        <v>1266</v>
      </c>
      <c r="B53" t="s">
        <v>1244</v>
      </c>
      <c r="C53" t="s">
        <v>1244</v>
      </c>
      <c r="D53" t="s">
        <v>1244</v>
      </c>
      <c r="E53" t="s">
        <v>1244</v>
      </c>
      <c r="F53" t="s">
        <v>1244</v>
      </c>
      <c r="G53" t="s">
        <v>1244</v>
      </c>
      <c r="H53" t="s">
        <v>1244</v>
      </c>
      <c r="I53">
        <v>0</v>
      </c>
      <c r="J53">
        <v>0</v>
      </c>
      <c r="K53">
        <v>0</v>
      </c>
      <c r="L53">
        <v>0</v>
      </c>
      <c r="M53">
        <v>11500000</v>
      </c>
      <c r="N53">
        <v>11500000</v>
      </c>
      <c r="O53">
        <v>11500000</v>
      </c>
      <c r="P53">
        <v>0</v>
      </c>
    </row>
    <row r="54" spans="1:16">
      <c r="A54" t="s">
        <v>1267</v>
      </c>
      <c r="B54" t="s">
        <v>1244</v>
      </c>
      <c r="C54" t="s">
        <v>1244</v>
      </c>
      <c r="D54" t="s">
        <v>1244</v>
      </c>
      <c r="E54" t="s">
        <v>1244</v>
      </c>
      <c r="F54" t="s">
        <v>1244</v>
      </c>
      <c r="G54" t="s">
        <v>1244</v>
      </c>
      <c r="H54" t="s">
        <v>1244</v>
      </c>
      <c r="I54" t="s">
        <v>1244</v>
      </c>
      <c r="J54">
        <v>1000</v>
      </c>
      <c r="K54">
        <v>1000</v>
      </c>
      <c r="L54">
        <v>1000</v>
      </c>
      <c r="M54">
        <v>9000</v>
      </c>
      <c r="N54">
        <v>12000</v>
      </c>
      <c r="O54">
        <v>14000</v>
      </c>
      <c r="P54">
        <v>-2000</v>
      </c>
    </row>
    <row r="55" spans="1:16">
      <c r="A55" t="s">
        <v>1268</v>
      </c>
      <c r="B55">
        <v>-1013860</v>
      </c>
      <c r="C55">
        <v>-718059</v>
      </c>
      <c r="D55">
        <v>295801</v>
      </c>
      <c r="E55">
        <v>940000</v>
      </c>
      <c r="F55">
        <v>2100799</v>
      </c>
      <c r="G55">
        <v>1160800</v>
      </c>
      <c r="H55">
        <v>10272239</v>
      </c>
      <c r="I55">
        <v>15350231</v>
      </c>
      <c r="J55">
        <v>5077991</v>
      </c>
    </row>
    <row r="56" spans="1:16">
      <c r="A56" t="s">
        <v>1269</v>
      </c>
      <c r="B56">
        <v>-1083860</v>
      </c>
      <c r="C56">
        <v>-789028</v>
      </c>
      <c r="D56">
        <v>294833</v>
      </c>
      <c r="E56">
        <v>450000</v>
      </c>
      <c r="F56">
        <v>1604017</v>
      </c>
      <c r="G56">
        <v>1154017</v>
      </c>
      <c r="H56">
        <v>9432239</v>
      </c>
      <c r="I56">
        <v>14488448</v>
      </c>
      <c r="J56">
        <v>5056209</v>
      </c>
    </row>
    <row r="57" spans="1:16">
      <c r="A57" t="s">
        <v>1270</v>
      </c>
      <c r="B57" t="s">
        <v>1244</v>
      </c>
      <c r="C57" t="s">
        <v>1244</v>
      </c>
      <c r="D57" t="s">
        <v>1244</v>
      </c>
      <c r="E57" t="s">
        <v>1244</v>
      </c>
      <c r="F57" t="s">
        <v>1244</v>
      </c>
      <c r="G57" t="s">
        <v>1244</v>
      </c>
      <c r="H57">
        <v>-2067761</v>
      </c>
      <c r="I57">
        <v>2988448</v>
      </c>
      <c r="J57">
        <v>5056209</v>
      </c>
    </row>
    <row r="58" spans="1:16">
      <c r="A58" t="s">
        <v>1271</v>
      </c>
      <c r="B58" t="s">
        <v>1244</v>
      </c>
      <c r="C58" t="s">
        <v>1244</v>
      </c>
      <c r="D58" t="s">
        <v>1244</v>
      </c>
      <c r="E58" t="s">
        <v>1244</v>
      </c>
      <c r="F58" t="s">
        <v>1244</v>
      </c>
      <c r="G58" t="s">
        <v>1244</v>
      </c>
      <c r="H58">
        <v>-2081761</v>
      </c>
      <c r="I58">
        <v>2976448</v>
      </c>
      <c r="J58">
        <v>5058209</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8"/>
  </sheetPr>
  <dimension ref="A1:AM70"/>
  <sheetViews>
    <sheetView zoomScale="86" zoomScaleNormal="86" workbookViewId="0">
      <pane xSplit="2" ySplit="7" topLeftCell="C49" activePane="bottomRight" state="frozen"/>
      <selection activeCell="C70" sqref="C70"/>
      <selection pane="topRight" activeCell="C70" sqref="C70"/>
      <selection pane="bottomLeft" activeCell="C70" sqref="C70"/>
      <selection pane="bottomRight" activeCell="C70" sqref="C70"/>
    </sheetView>
  </sheetViews>
  <sheetFormatPr defaultColWidth="9.109375" defaultRowHeight="14.4"/>
  <cols>
    <col min="1" max="1" width="23.5546875" style="1924" customWidth="1"/>
    <col min="2" max="2" width="8.44140625" style="1924" customWidth="1"/>
    <col min="3" max="3" width="17.33203125" style="1924" customWidth="1"/>
    <col min="4" max="4" width="15.5546875" style="1924" customWidth="1"/>
    <col min="5" max="5" width="13.88671875" style="1924" customWidth="1"/>
    <col min="6" max="6" width="1.5546875" style="1924" customWidth="1"/>
    <col min="7" max="7" width="16" style="1924" customWidth="1"/>
    <col min="8" max="8" width="16.33203125" style="1924" bestFit="1" customWidth="1"/>
    <col min="9" max="9" width="15.33203125" style="1924" customWidth="1"/>
    <col min="10" max="10" width="1.5546875" style="1924" customWidth="1"/>
    <col min="11" max="23" width="14.44140625" style="1924" customWidth="1"/>
    <col min="24" max="24" width="5.33203125" style="1924" customWidth="1"/>
    <col min="25" max="37" width="14.44140625" style="1924" customWidth="1"/>
    <col min="38" max="39" width="1.5546875" style="1924" customWidth="1"/>
    <col min="40" max="16384" width="9.109375" style="1924"/>
  </cols>
  <sheetData>
    <row r="1" spans="1:39">
      <c r="A1" s="2015"/>
      <c r="B1" s="2015"/>
      <c r="C1" s="2015"/>
      <c r="D1" s="2015"/>
      <c r="E1" s="2015"/>
      <c r="F1" s="2015"/>
      <c r="G1" s="2015"/>
      <c r="H1" s="2015"/>
      <c r="I1" s="2015"/>
      <c r="J1" s="2015"/>
      <c r="K1" s="2015"/>
      <c r="L1" s="2015"/>
      <c r="M1" s="2015"/>
      <c r="N1" s="2015"/>
      <c r="O1" s="2015"/>
      <c r="P1" s="2015"/>
      <c r="Q1" s="2015"/>
      <c r="R1" s="2015"/>
      <c r="S1" s="2015"/>
      <c r="T1" s="2015"/>
      <c r="U1" s="2015"/>
      <c r="V1" s="2015"/>
      <c r="W1" s="2015"/>
      <c r="X1" s="2015"/>
      <c r="Y1" s="2015"/>
      <c r="Z1" s="2015"/>
      <c r="AA1" s="2015"/>
      <c r="AB1" s="2015"/>
      <c r="AC1" s="2015"/>
      <c r="AD1" s="2015"/>
      <c r="AE1" s="2015"/>
      <c r="AF1" s="2015"/>
      <c r="AG1" s="2015"/>
      <c r="AH1" s="2015"/>
      <c r="AI1" s="2015"/>
      <c r="AJ1" s="2015"/>
      <c r="AK1" s="2015"/>
      <c r="AL1" s="2015"/>
      <c r="AM1" s="2015"/>
    </row>
    <row r="2" spans="1:39">
      <c r="A2" s="2015"/>
      <c r="B2" s="2015"/>
      <c r="C2" s="2015"/>
      <c r="D2" s="2015"/>
      <c r="E2" s="2015"/>
      <c r="F2" s="2015"/>
      <c r="G2" s="2015"/>
      <c r="H2" s="2015"/>
      <c r="I2" s="2015"/>
      <c r="J2" s="2015"/>
      <c r="K2" s="2015"/>
      <c r="L2" s="2015"/>
      <c r="M2" s="2015"/>
      <c r="N2" s="2015"/>
      <c r="O2" s="2015"/>
      <c r="P2" s="2015"/>
      <c r="Q2" s="2015"/>
      <c r="R2" s="2015"/>
      <c r="S2" s="2015"/>
      <c r="T2" s="2015"/>
      <c r="U2" s="2015"/>
      <c r="V2" s="2015"/>
      <c r="W2" s="2015"/>
      <c r="X2" s="2015"/>
      <c r="Y2" s="2015"/>
      <c r="Z2" s="2015"/>
      <c r="AA2" s="2015"/>
      <c r="AB2" s="2015"/>
      <c r="AC2" s="2015"/>
      <c r="AD2" s="2015"/>
      <c r="AE2" s="2015"/>
      <c r="AF2" s="2015"/>
      <c r="AG2" s="2015"/>
      <c r="AH2" s="2015"/>
      <c r="AI2" s="2015"/>
      <c r="AJ2" s="2015"/>
      <c r="AK2" s="2015"/>
      <c r="AL2" s="2015"/>
      <c r="AM2" s="2015"/>
    </row>
    <row r="3" spans="1:39">
      <c r="A3" s="2379" t="s">
        <v>1363</v>
      </c>
      <c r="B3" s="2379"/>
      <c r="C3" s="2379"/>
      <c r="D3" s="2379"/>
      <c r="E3" s="2379"/>
      <c r="F3" s="2379"/>
      <c r="G3" s="2379"/>
      <c r="H3" s="2379"/>
      <c r="I3" s="2379"/>
      <c r="J3" s="2379"/>
      <c r="K3" s="2379"/>
      <c r="L3" s="2379"/>
      <c r="M3" s="2379"/>
      <c r="N3" s="2379"/>
      <c r="O3" s="2379"/>
      <c r="P3" s="2379"/>
      <c r="Q3" s="2379"/>
      <c r="R3" s="2379"/>
      <c r="S3" s="2379"/>
      <c r="T3" s="2379"/>
      <c r="U3" s="2379"/>
      <c r="V3" s="2379"/>
      <c r="W3" s="2379"/>
      <c r="X3" s="2379"/>
      <c r="Y3" s="2379"/>
      <c r="Z3" s="2379"/>
      <c r="AA3" s="2379"/>
      <c r="AB3" s="2379"/>
      <c r="AC3" s="2379"/>
      <c r="AD3" s="2379"/>
      <c r="AE3" s="2379"/>
      <c r="AF3" s="2379"/>
      <c r="AG3" s="2379"/>
      <c r="AH3" s="2379"/>
      <c r="AI3" s="2379"/>
      <c r="AJ3" s="2379"/>
      <c r="AK3" s="2379"/>
      <c r="AL3" s="2379"/>
      <c r="AM3" s="2379"/>
    </row>
    <row r="4" spans="1:39">
      <c r="A4" s="2375" t="s">
        <v>1274</v>
      </c>
      <c r="B4" s="2375"/>
      <c r="C4" s="2375"/>
      <c r="D4" s="2375"/>
      <c r="E4" s="2375"/>
      <c r="F4" s="2375"/>
      <c r="G4" s="2375"/>
      <c r="H4" s="2375"/>
      <c r="I4" s="2375"/>
      <c r="J4" s="2375"/>
      <c r="K4" s="2375"/>
      <c r="L4" s="2375"/>
      <c r="M4" s="2375"/>
      <c r="N4" s="2375"/>
      <c r="O4" s="2375"/>
      <c r="P4" s="2375"/>
      <c r="Q4" s="2375"/>
      <c r="R4" s="2375"/>
      <c r="S4" s="2375"/>
      <c r="T4" s="2375"/>
      <c r="U4" s="2375"/>
      <c r="V4" s="2375"/>
      <c r="W4" s="2375"/>
      <c r="X4" s="2375"/>
      <c r="Y4" s="2375"/>
      <c r="Z4" s="2375"/>
      <c r="AA4" s="2375"/>
      <c r="AB4" s="2375"/>
      <c r="AC4" s="2375"/>
      <c r="AD4" s="2375"/>
      <c r="AE4" s="2375"/>
      <c r="AF4" s="2375"/>
      <c r="AG4" s="2375"/>
      <c r="AH4" s="2375"/>
      <c r="AI4" s="2375"/>
      <c r="AJ4" s="2375"/>
      <c r="AK4" s="2375"/>
      <c r="AL4" s="2375"/>
      <c r="AM4" s="2375"/>
    </row>
    <row r="5" spans="1:39" ht="28.2">
      <c r="A5" s="2376" t="s">
        <v>306</v>
      </c>
      <c r="B5" s="2376"/>
      <c r="C5" s="1941" t="s">
        <v>413</v>
      </c>
      <c r="D5" s="1941" t="s">
        <v>722</v>
      </c>
      <c r="E5" s="1942" t="s">
        <v>40</v>
      </c>
      <c r="F5" s="2016"/>
      <c r="G5" s="1943" t="s">
        <v>413</v>
      </c>
      <c r="H5" s="1944" t="s">
        <v>1272</v>
      </c>
      <c r="I5" s="1942" t="s">
        <v>1273</v>
      </c>
      <c r="J5" s="2016"/>
      <c r="K5" s="1945" t="s">
        <v>834</v>
      </c>
      <c r="L5" s="1945" t="s">
        <v>834</v>
      </c>
      <c r="M5" s="1945" t="s">
        <v>834</v>
      </c>
      <c r="N5" s="1945" t="s">
        <v>834</v>
      </c>
      <c r="O5" s="1945" t="s">
        <v>834</v>
      </c>
      <c r="P5" s="1945" t="s">
        <v>834</v>
      </c>
      <c r="Q5" s="1945" t="s">
        <v>834</v>
      </c>
      <c r="R5" s="1945" t="s">
        <v>834</v>
      </c>
      <c r="S5" s="1945" t="s">
        <v>834</v>
      </c>
      <c r="T5" s="1945" t="s">
        <v>834</v>
      </c>
      <c r="U5" s="1945" t="s">
        <v>834</v>
      </c>
      <c r="V5" s="1945" t="s">
        <v>834</v>
      </c>
      <c r="W5" s="1945" t="s">
        <v>834</v>
      </c>
      <c r="X5" s="2016"/>
      <c r="Y5" s="1946" t="s">
        <v>413</v>
      </c>
      <c r="Z5" s="1946" t="s">
        <v>413</v>
      </c>
      <c r="AA5" s="1946" t="s">
        <v>413</v>
      </c>
      <c r="AB5" s="1946" t="s">
        <v>413</v>
      </c>
      <c r="AC5" s="1946" t="s">
        <v>413</v>
      </c>
      <c r="AD5" s="1946" t="s">
        <v>413</v>
      </c>
      <c r="AE5" s="1946" t="s">
        <v>413</v>
      </c>
      <c r="AF5" s="1946" t="s">
        <v>413</v>
      </c>
      <c r="AG5" s="1946" t="s">
        <v>413</v>
      </c>
      <c r="AH5" s="1946" t="s">
        <v>413</v>
      </c>
      <c r="AI5" s="1946" t="s">
        <v>413</v>
      </c>
      <c r="AJ5" s="1946" t="s">
        <v>413</v>
      </c>
      <c r="AK5" s="1946" t="s">
        <v>413</v>
      </c>
      <c r="AL5" s="2017"/>
      <c r="AM5" s="2015"/>
    </row>
    <row r="6" spans="1:39">
      <c r="A6" s="2377" t="s">
        <v>306</v>
      </c>
      <c r="B6" s="2377"/>
      <c r="C6" s="1947" t="s">
        <v>1364</v>
      </c>
      <c r="D6" s="1947" t="s">
        <v>1364</v>
      </c>
      <c r="E6" s="2001" t="s">
        <v>1364</v>
      </c>
      <c r="F6" s="2018"/>
      <c r="G6" s="1948" t="s">
        <v>419</v>
      </c>
      <c r="H6" s="1948" t="s">
        <v>419</v>
      </c>
      <c r="I6" s="1947" t="s">
        <v>419</v>
      </c>
      <c r="J6" s="2018"/>
      <c r="K6" s="1949" t="s">
        <v>420</v>
      </c>
      <c r="L6" s="1949" t="s">
        <v>421</v>
      </c>
      <c r="M6" s="1949" t="s">
        <v>422</v>
      </c>
      <c r="N6" s="1949" t="s">
        <v>423</v>
      </c>
      <c r="O6" s="1949" t="s">
        <v>424</v>
      </c>
      <c r="P6" s="1949" t="s">
        <v>425</v>
      </c>
      <c r="Q6" s="1949" t="s">
        <v>426</v>
      </c>
      <c r="R6" s="1949" t="s">
        <v>427</v>
      </c>
      <c r="S6" s="1949" t="s">
        <v>428</v>
      </c>
      <c r="T6" s="1949" t="s">
        <v>429</v>
      </c>
      <c r="U6" s="1949" t="s">
        <v>430</v>
      </c>
      <c r="V6" s="1949" t="s">
        <v>431</v>
      </c>
      <c r="W6" s="1949" t="s">
        <v>419</v>
      </c>
      <c r="X6" s="2018"/>
      <c r="Y6" s="1950" t="s">
        <v>420</v>
      </c>
      <c r="Z6" s="1950" t="s">
        <v>421</v>
      </c>
      <c r="AA6" s="1950" t="s">
        <v>422</v>
      </c>
      <c r="AB6" s="1950" t="s">
        <v>423</v>
      </c>
      <c r="AC6" s="1950" t="s">
        <v>424</v>
      </c>
      <c r="AD6" s="1950" t="s">
        <v>425</v>
      </c>
      <c r="AE6" s="1950" t="s">
        <v>426</v>
      </c>
      <c r="AF6" s="1950" t="s">
        <v>427</v>
      </c>
      <c r="AG6" s="1950" t="s">
        <v>428</v>
      </c>
      <c r="AH6" s="1950" t="s">
        <v>429</v>
      </c>
      <c r="AI6" s="1950" t="s">
        <v>430</v>
      </c>
      <c r="AJ6" s="1950" t="s">
        <v>431</v>
      </c>
      <c r="AK6" s="1950" t="s">
        <v>419</v>
      </c>
      <c r="AL6" s="2019"/>
      <c r="AM6" s="2015"/>
    </row>
    <row r="7" spans="1:39">
      <c r="A7" s="2376" t="s">
        <v>306</v>
      </c>
      <c r="B7" s="2376"/>
      <c r="C7" s="1951" t="s">
        <v>1275</v>
      </c>
      <c r="D7" s="1951" t="s">
        <v>1275</v>
      </c>
      <c r="E7" s="1951" t="s">
        <v>1275</v>
      </c>
      <c r="F7" s="2016"/>
      <c r="G7" s="1946" t="s">
        <v>1275</v>
      </c>
      <c r="H7" s="1946" t="s">
        <v>1275</v>
      </c>
      <c r="I7" s="1951" t="s">
        <v>1275</v>
      </c>
      <c r="J7" s="2016"/>
      <c r="K7" s="1952" t="s">
        <v>1275</v>
      </c>
      <c r="L7" s="1952" t="s">
        <v>1275</v>
      </c>
      <c r="M7" s="1952" t="s">
        <v>1275</v>
      </c>
      <c r="N7" s="1952" t="s">
        <v>1275</v>
      </c>
      <c r="O7" s="1952" t="s">
        <v>1275</v>
      </c>
      <c r="P7" s="1952" t="s">
        <v>1275</v>
      </c>
      <c r="Q7" s="1952" t="s">
        <v>1275</v>
      </c>
      <c r="R7" s="1952" t="s">
        <v>1275</v>
      </c>
      <c r="S7" s="1952" t="s">
        <v>1275</v>
      </c>
      <c r="T7" s="1952" t="s">
        <v>1275</v>
      </c>
      <c r="U7" s="1952" t="s">
        <v>1275</v>
      </c>
      <c r="V7" s="1952" t="s">
        <v>1275</v>
      </c>
      <c r="W7" s="1952" t="s">
        <v>1275</v>
      </c>
      <c r="X7" s="2016"/>
      <c r="Y7" s="1953" t="s">
        <v>1275</v>
      </c>
      <c r="Z7" s="1953" t="s">
        <v>1275</v>
      </c>
      <c r="AA7" s="1953" t="s">
        <v>1275</v>
      </c>
      <c r="AB7" s="1953" t="s">
        <v>1275</v>
      </c>
      <c r="AC7" s="1953" t="s">
        <v>1275</v>
      </c>
      <c r="AD7" s="1953" t="s">
        <v>1275</v>
      </c>
      <c r="AE7" s="1953" t="s">
        <v>1275</v>
      </c>
      <c r="AF7" s="1953" t="s">
        <v>1275</v>
      </c>
      <c r="AG7" s="1953" t="s">
        <v>1275</v>
      </c>
      <c r="AH7" s="1953" t="s">
        <v>1275</v>
      </c>
      <c r="AI7" s="1953" t="s">
        <v>1275</v>
      </c>
      <c r="AJ7" s="1953" t="s">
        <v>1275</v>
      </c>
      <c r="AK7" s="1953" t="s">
        <v>1275</v>
      </c>
      <c r="AL7" s="2017"/>
      <c r="AM7" s="2015"/>
    </row>
    <row r="8" spans="1:39">
      <c r="A8" s="2374" t="s">
        <v>751</v>
      </c>
      <c r="B8" s="2374"/>
      <c r="C8" s="1936"/>
      <c r="D8" s="1936"/>
      <c r="E8" s="1936"/>
      <c r="F8" s="2020"/>
      <c r="G8" s="1936"/>
      <c r="H8" s="1936"/>
      <c r="I8" s="1936"/>
      <c r="J8" s="2020"/>
      <c r="K8" s="1936"/>
      <c r="L8" s="1936"/>
      <c r="M8" s="1936"/>
      <c r="N8" s="1936"/>
      <c r="O8" s="1936"/>
      <c r="P8" s="1936"/>
      <c r="Q8" s="1936"/>
      <c r="R8" s="1936"/>
      <c r="S8" s="1936"/>
      <c r="T8" s="1936"/>
      <c r="U8" s="1936"/>
      <c r="V8" s="1936"/>
      <c r="W8" s="1936"/>
      <c r="X8" s="2020"/>
      <c r="Y8" s="1936"/>
      <c r="Z8" s="1936"/>
      <c r="AA8" s="1936"/>
      <c r="AB8" s="1936"/>
      <c r="AC8" s="1936"/>
      <c r="AD8" s="1936"/>
      <c r="AE8" s="1936"/>
      <c r="AF8" s="1936"/>
      <c r="AG8" s="1936"/>
      <c r="AH8" s="1936"/>
      <c r="AI8" s="1936"/>
      <c r="AJ8" s="1936"/>
      <c r="AK8" s="1936"/>
      <c r="AL8" s="2020"/>
      <c r="AM8" s="2015"/>
    </row>
    <row r="9" spans="1:39">
      <c r="A9" s="2374" t="s">
        <v>752</v>
      </c>
      <c r="B9" s="2374"/>
      <c r="C9" s="1936">
        <v>-1317255</v>
      </c>
      <c r="D9" s="1936">
        <v>-1229523</v>
      </c>
      <c r="E9" s="1937">
        <v>87731</v>
      </c>
      <c r="F9" s="2020"/>
      <c r="G9" s="1936">
        <v>-8391471</v>
      </c>
      <c r="H9" s="1936">
        <v>-8218068</v>
      </c>
      <c r="I9" s="1937">
        <v>173403</v>
      </c>
      <c r="J9" s="2020"/>
      <c r="K9" s="1936">
        <v>-598429</v>
      </c>
      <c r="L9" s="1936">
        <v>-631094</v>
      </c>
      <c r="M9" s="1936">
        <v>-659452</v>
      </c>
      <c r="N9" s="1936">
        <v>-700188</v>
      </c>
      <c r="O9" s="1936">
        <v>-700902</v>
      </c>
      <c r="P9" s="1936">
        <v>-700185</v>
      </c>
      <c r="Q9" s="1936">
        <v>-704994</v>
      </c>
      <c r="R9" s="1936">
        <v>-704280</v>
      </c>
      <c r="S9" s="1936">
        <v>-704991</v>
      </c>
      <c r="T9" s="1936">
        <v>-704280</v>
      </c>
      <c r="U9" s="1936">
        <v>-704993</v>
      </c>
      <c r="V9" s="1936">
        <v>-704280</v>
      </c>
      <c r="W9" s="1936">
        <v>-8218068</v>
      </c>
      <c r="X9" s="2020"/>
      <c r="Y9" s="1936">
        <v>-658634</v>
      </c>
      <c r="Z9" s="1936">
        <v>-658621</v>
      </c>
      <c r="AA9" s="1936">
        <v>-653621</v>
      </c>
      <c r="AB9" s="1936">
        <v>-713177</v>
      </c>
      <c r="AC9" s="1936">
        <v>-713179</v>
      </c>
      <c r="AD9" s="1936">
        <v>-713174</v>
      </c>
      <c r="AE9" s="1936">
        <v>-713179</v>
      </c>
      <c r="AF9" s="1936">
        <v>-713177</v>
      </c>
      <c r="AG9" s="1936">
        <v>-713176</v>
      </c>
      <c r="AH9" s="1936">
        <v>-713177</v>
      </c>
      <c r="AI9" s="1936">
        <v>-714179</v>
      </c>
      <c r="AJ9" s="1936">
        <v>-714178</v>
      </c>
      <c r="AK9" s="1936">
        <v>-8391471</v>
      </c>
      <c r="AL9" s="2020"/>
      <c r="AM9" s="2015"/>
    </row>
    <row r="10" spans="1:39">
      <c r="A10" s="2374" t="s">
        <v>1245</v>
      </c>
      <c r="B10" s="2374"/>
      <c r="C10" s="1936">
        <v>-78527428</v>
      </c>
      <c r="D10" s="1936">
        <v>-76555480</v>
      </c>
      <c r="E10" s="1937">
        <v>1971947</v>
      </c>
      <c r="F10" s="2020"/>
      <c r="G10" s="1936">
        <v>-470460461</v>
      </c>
      <c r="H10" s="1936">
        <v>-474767521</v>
      </c>
      <c r="I10" s="1936">
        <v>-4307061</v>
      </c>
      <c r="J10" s="2020"/>
      <c r="K10" s="1936">
        <v>-38613278</v>
      </c>
      <c r="L10" s="1936">
        <v>-37942202</v>
      </c>
      <c r="M10" s="1936">
        <v>-38380922</v>
      </c>
      <c r="N10" s="1936">
        <v>-41987959</v>
      </c>
      <c r="O10" s="1936">
        <v>-38349452</v>
      </c>
      <c r="P10" s="1936">
        <v>-38357252</v>
      </c>
      <c r="Q10" s="1936">
        <v>-41934511</v>
      </c>
      <c r="R10" s="1936">
        <v>-38360021</v>
      </c>
      <c r="S10" s="1936">
        <v>-38408090</v>
      </c>
      <c r="T10" s="1936">
        <v>-42008089</v>
      </c>
      <c r="U10" s="1936">
        <v>-38409089</v>
      </c>
      <c r="V10" s="1936">
        <v>-42016652</v>
      </c>
      <c r="W10" s="1936">
        <v>-474767521</v>
      </c>
      <c r="X10" s="2020"/>
      <c r="Y10" s="1936">
        <v>-39275439</v>
      </c>
      <c r="Z10" s="1936">
        <v>-39251988</v>
      </c>
      <c r="AA10" s="1936">
        <v>-39193021</v>
      </c>
      <c r="AB10" s="1936">
        <v>-39200058</v>
      </c>
      <c r="AC10" s="1936">
        <v>-39161551</v>
      </c>
      <c r="AD10" s="1936">
        <v>-39169351</v>
      </c>
      <c r="AE10" s="1936">
        <v>-39146611</v>
      </c>
      <c r="AF10" s="1936">
        <v>-39172121</v>
      </c>
      <c r="AG10" s="1936">
        <v>-39220191</v>
      </c>
      <c r="AH10" s="1936">
        <v>-39220190</v>
      </c>
      <c r="AI10" s="1936">
        <v>-39221189</v>
      </c>
      <c r="AJ10" s="1936">
        <v>-39228752</v>
      </c>
      <c r="AK10" s="1936">
        <v>-470460461</v>
      </c>
      <c r="AL10" s="2020"/>
      <c r="AM10" s="2015"/>
    </row>
    <row r="11" spans="1:39">
      <c r="A11" s="2374" t="s">
        <v>1246</v>
      </c>
      <c r="B11" s="2374"/>
      <c r="C11" s="1936">
        <v>-1</v>
      </c>
      <c r="D11" s="1936"/>
      <c r="E11" s="1937">
        <v>1</v>
      </c>
      <c r="F11" s="2020"/>
      <c r="G11" s="1936">
        <v>-4</v>
      </c>
      <c r="H11" s="1936">
        <v>-7</v>
      </c>
      <c r="I11" s="1936">
        <v>-3</v>
      </c>
      <c r="J11" s="2020"/>
      <c r="K11" s="1936"/>
      <c r="L11" s="1936"/>
      <c r="M11" s="1936">
        <v>-1</v>
      </c>
      <c r="N11" s="1936">
        <v>-1</v>
      </c>
      <c r="O11" s="1936">
        <v>-1</v>
      </c>
      <c r="P11" s="1936">
        <v>-1</v>
      </c>
      <c r="Q11" s="1936">
        <v>-1</v>
      </c>
      <c r="R11" s="1936">
        <v>-1</v>
      </c>
      <c r="S11" s="1937">
        <v>0</v>
      </c>
      <c r="T11" s="1936">
        <v>-1</v>
      </c>
      <c r="U11" s="1937">
        <v>0</v>
      </c>
      <c r="V11" s="1936">
        <v>-1</v>
      </c>
      <c r="W11" s="1936">
        <v>-7</v>
      </c>
      <c r="X11" s="2020"/>
      <c r="Y11" s="1936"/>
      <c r="Z11" s="1936">
        <v>-1</v>
      </c>
      <c r="AA11" s="1937">
        <v>0</v>
      </c>
      <c r="AB11" s="1937">
        <v>0</v>
      </c>
      <c r="AC11" s="1937">
        <v>0</v>
      </c>
      <c r="AD11" s="1937">
        <v>0</v>
      </c>
      <c r="AE11" s="1937">
        <v>0</v>
      </c>
      <c r="AF11" s="1937">
        <v>0</v>
      </c>
      <c r="AG11" s="1937">
        <v>0</v>
      </c>
      <c r="AH11" s="1937">
        <v>0</v>
      </c>
      <c r="AI11" s="1937">
        <v>0</v>
      </c>
      <c r="AJ11" s="1937">
        <v>0</v>
      </c>
      <c r="AK11" s="1936">
        <v>-4</v>
      </c>
      <c r="AL11" s="2020"/>
      <c r="AM11" s="2015"/>
    </row>
    <row r="12" spans="1:39">
      <c r="A12" s="2374" t="s">
        <v>753</v>
      </c>
      <c r="B12" s="2374"/>
      <c r="C12" s="1936">
        <v>-1736928</v>
      </c>
      <c r="D12" s="1936">
        <v>-1693256</v>
      </c>
      <c r="E12" s="1937">
        <v>43672</v>
      </c>
      <c r="F12" s="2020"/>
      <c r="G12" s="1936">
        <v>-11141378</v>
      </c>
      <c r="H12" s="1936">
        <v>-10241507</v>
      </c>
      <c r="I12" s="1937">
        <v>899871</v>
      </c>
      <c r="J12" s="2020"/>
      <c r="K12" s="1936">
        <v>-775859</v>
      </c>
      <c r="L12" s="1936">
        <v>-917398</v>
      </c>
      <c r="M12" s="1936">
        <v>-836326</v>
      </c>
      <c r="N12" s="1936">
        <v>-904209</v>
      </c>
      <c r="O12" s="1936">
        <v>-931618</v>
      </c>
      <c r="P12" s="1936">
        <v>-871594</v>
      </c>
      <c r="Q12" s="1936">
        <v>-862624</v>
      </c>
      <c r="R12" s="1936">
        <v>-840020</v>
      </c>
      <c r="S12" s="1936">
        <v>-817783</v>
      </c>
      <c r="T12" s="1936">
        <v>-825705</v>
      </c>
      <c r="U12" s="1936">
        <v>-823567</v>
      </c>
      <c r="V12" s="1936">
        <v>-834806</v>
      </c>
      <c r="W12" s="1936">
        <v>-10241507</v>
      </c>
      <c r="X12" s="2020"/>
      <c r="Y12" s="1936">
        <v>-851496</v>
      </c>
      <c r="Z12" s="1936">
        <v>-885432</v>
      </c>
      <c r="AA12" s="1936">
        <v>-939865</v>
      </c>
      <c r="AB12" s="1936">
        <v>-926608</v>
      </c>
      <c r="AC12" s="1936">
        <v>-945111</v>
      </c>
      <c r="AD12" s="1936">
        <v>-961834</v>
      </c>
      <c r="AE12" s="1936">
        <v>-992864</v>
      </c>
      <c r="AF12" s="1936">
        <v>-972360</v>
      </c>
      <c r="AG12" s="1936">
        <v>-916190</v>
      </c>
      <c r="AH12" s="1936">
        <v>-919190</v>
      </c>
      <c r="AI12" s="1936">
        <v>-917190</v>
      </c>
      <c r="AJ12" s="1936">
        <v>-913237</v>
      </c>
      <c r="AK12" s="1936">
        <v>-11141378</v>
      </c>
      <c r="AL12" s="2020"/>
      <c r="AM12" s="2015"/>
    </row>
    <row r="13" spans="1:39">
      <c r="A13" s="2374" t="s">
        <v>1247</v>
      </c>
      <c r="B13" s="2374"/>
      <c r="C13" s="1936">
        <v>-12602</v>
      </c>
      <c r="D13" s="1936"/>
      <c r="E13" s="1937">
        <v>12602</v>
      </c>
      <c r="F13" s="2020"/>
      <c r="G13" s="1936">
        <v>-75614</v>
      </c>
      <c r="H13" s="1936">
        <v>-19542</v>
      </c>
      <c r="I13" s="1937">
        <v>56072</v>
      </c>
      <c r="J13" s="2020"/>
      <c r="K13" s="1936"/>
      <c r="L13" s="1936"/>
      <c r="M13" s="1936">
        <v>-1954</v>
      </c>
      <c r="N13" s="1936">
        <v>-1954</v>
      </c>
      <c r="O13" s="1936">
        <v>-1954</v>
      </c>
      <c r="P13" s="1936">
        <v>-1954</v>
      </c>
      <c r="Q13" s="1936">
        <v>-1954</v>
      </c>
      <c r="R13" s="1936">
        <v>-1954</v>
      </c>
      <c r="S13" s="1936">
        <v>-1954</v>
      </c>
      <c r="T13" s="1936">
        <v>-1954</v>
      </c>
      <c r="U13" s="1936">
        <v>-1954</v>
      </c>
      <c r="V13" s="1936">
        <v>-1954</v>
      </c>
      <c r="W13" s="1936">
        <v>-19542</v>
      </c>
      <c r="X13" s="2020"/>
      <c r="Y13" s="1936">
        <v>-6301</v>
      </c>
      <c r="Z13" s="1936">
        <v>-6301</v>
      </c>
      <c r="AA13" s="1936">
        <v>-6301</v>
      </c>
      <c r="AB13" s="1936">
        <v>-6301</v>
      </c>
      <c r="AC13" s="1936">
        <v>-6301</v>
      </c>
      <c r="AD13" s="1936">
        <v>-6301</v>
      </c>
      <c r="AE13" s="1936">
        <v>-6301</v>
      </c>
      <c r="AF13" s="1936">
        <v>-6301</v>
      </c>
      <c r="AG13" s="1936">
        <v>-6301</v>
      </c>
      <c r="AH13" s="1936">
        <v>-6301</v>
      </c>
      <c r="AI13" s="1936">
        <v>-6301</v>
      </c>
      <c r="AJ13" s="1936">
        <v>-6301</v>
      </c>
      <c r="AK13" s="1936">
        <v>-75614</v>
      </c>
      <c r="AL13" s="2020"/>
      <c r="AM13" s="2015"/>
    </row>
    <row r="14" spans="1:39">
      <c r="A14" s="2374" t="s">
        <v>1248</v>
      </c>
      <c r="B14" s="2374"/>
      <c r="C14" s="1936">
        <v>-722451</v>
      </c>
      <c r="D14" s="1936">
        <v>-546094</v>
      </c>
      <c r="E14" s="1937">
        <v>176357</v>
      </c>
      <c r="F14" s="2020"/>
      <c r="G14" s="1936">
        <v>-4592253</v>
      </c>
      <c r="H14" s="1936">
        <v>-4368041</v>
      </c>
      <c r="I14" s="1937">
        <v>224213</v>
      </c>
      <c r="J14" s="2020"/>
      <c r="K14" s="1936">
        <v>-221584</v>
      </c>
      <c r="L14" s="1936">
        <v>-324509</v>
      </c>
      <c r="M14" s="1936">
        <v>-339104</v>
      </c>
      <c r="N14" s="1936">
        <v>-371498</v>
      </c>
      <c r="O14" s="1936">
        <v>-386420</v>
      </c>
      <c r="P14" s="1936">
        <v>-386419</v>
      </c>
      <c r="Q14" s="1936">
        <v>-386421</v>
      </c>
      <c r="R14" s="1936">
        <v>-386419</v>
      </c>
      <c r="S14" s="1936">
        <v>-391420</v>
      </c>
      <c r="T14" s="1936">
        <v>-391420</v>
      </c>
      <c r="U14" s="1936">
        <v>-391420</v>
      </c>
      <c r="V14" s="1936">
        <v>-391410</v>
      </c>
      <c r="W14" s="1936">
        <v>-4368041</v>
      </c>
      <c r="X14" s="2020"/>
      <c r="Y14" s="1936">
        <v>-361226</v>
      </c>
      <c r="Z14" s="1936">
        <v>-361224</v>
      </c>
      <c r="AA14" s="1936">
        <v>-389842</v>
      </c>
      <c r="AB14" s="1936">
        <v>-389842</v>
      </c>
      <c r="AC14" s="1936">
        <v>-389842</v>
      </c>
      <c r="AD14" s="1936">
        <v>-389841</v>
      </c>
      <c r="AE14" s="1936">
        <v>-389843</v>
      </c>
      <c r="AF14" s="1936">
        <v>-389841</v>
      </c>
      <c r="AG14" s="1936">
        <v>-389842</v>
      </c>
      <c r="AH14" s="1936">
        <v>-389842</v>
      </c>
      <c r="AI14" s="1936">
        <v>-389842</v>
      </c>
      <c r="AJ14" s="1936">
        <v>-361224</v>
      </c>
      <c r="AK14" s="1936">
        <v>-4592253</v>
      </c>
      <c r="AL14" s="2020"/>
      <c r="AM14" s="2015"/>
    </row>
    <row r="15" spans="1:39">
      <c r="A15" s="2374" t="s">
        <v>1294</v>
      </c>
      <c r="B15" s="2374"/>
      <c r="C15" s="1936">
        <v>-285078</v>
      </c>
      <c r="D15" s="1936">
        <v>-310260</v>
      </c>
      <c r="E15" s="1936">
        <v>-25182</v>
      </c>
      <c r="F15" s="2020"/>
      <c r="G15" s="1936">
        <v>-1710469</v>
      </c>
      <c r="H15" s="1936">
        <v>-1735651</v>
      </c>
      <c r="I15" s="1936">
        <v>-25182</v>
      </c>
      <c r="J15" s="2020"/>
      <c r="K15" s="1936">
        <v>-66167</v>
      </c>
      <c r="L15" s="1936">
        <v>-244094</v>
      </c>
      <c r="M15" s="1936">
        <v>-142539</v>
      </c>
      <c r="N15" s="1936">
        <v>-142539</v>
      </c>
      <c r="O15" s="1936">
        <v>-142539</v>
      </c>
      <c r="P15" s="1936">
        <v>-142539</v>
      </c>
      <c r="Q15" s="1936">
        <v>-142539</v>
      </c>
      <c r="R15" s="1936">
        <v>-142539</v>
      </c>
      <c r="S15" s="1936">
        <v>-142539</v>
      </c>
      <c r="T15" s="1936">
        <v>-142539</v>
      </c>
      <c r="U15" s="1936">
        <v>-142539</v>
      </c>
      <c r="V15" s="1936">
        <v>-142539</v>
      </c>
      <c r="W15" s="1936">
        <v>-1735651</v>
      </c>
      <c r="X15" s="2020"/>
      <c r="Y15" s="1936">
        <v>-142539</v>
      </c>
      <c r="Z15" s="1936">
        <v>-142539</v>
      </c>
      <c r="AA15" s="1936">
        <v>-142539</v>
      </c>
      <c r="AB15" s="1936">
        <v>-142539</v>
      </c>
      <c r="AC15" s="1936">
        <v>-142539</v>
      </c>
      <c r="AD15" s="1936">
        <v>-142539</v>
      </c>
      <c r="AE15" s="1936">
        <v>-142539</v>
      </c>
      <c r="AF15" s="1936">
        <v>-142539</v>
      </c>
      <c r="AG15" s="1936">
        <v>-142539</v>
      </c>
      <c r="AH15" s="1936">
        <v>-142539</v>
      </c>
      <c r="AI15" s="1936">
        <v>-142539</v>
      </c>
      <c r="AJ15" s="1936">
        <v>-142539</v>
      </c>
      <c r="AK15" s="1936">
        <v>-1710469</v>
      </c>
      <c r="AL15" s="2020"/>
      <c r="AM15" s="2015"/>
    </row>
    <row r="16" spans="1:39">
      <c r="A16" s="2374" t="s">
        <v>1249</v>
      </c>
      <c r="B16" s="2374"/>
      <c r="C16" s="1936">
        <v>-367564</v>
      </c>
      <c r="D16" s="1936">
        <v>-144019</v>
      </c>
      <c r="E16" s="1937">
        <v>223544</v>
      </c>
      <c r="F16" s="2020"/>
      <c r="G16" s="1936">
        <v>-2205386</v>
      </c>
      <c r="H16" s="1936">
        <v>-1376189</v>
      </c>
      <c r="I16" s="1937">
        <v>829197</v>
      </c>
      <c r="J16" s="2020"/>
      <c r="K16" s="1936">
        <v>-96282</v>
      </c>
      <c r="L16" s="1936">
        <v>-47737</v>
      </c>
      <c r="M16" s="1936">
        <v>-107010</v>
      </c>
      <c r="N16" s="1936">
        <v>-107009</v>
      </c>
      <c r="O16" s="1936">
        <v>-112009</v>
      </c>
      <c r="P16" s="1936">
        <v>-117010</v>
      </c>
      <c r="Q16" s="1936">
        <v>-117009</v>
      </c>
      <c r="R16" s="1936">
        <v>-127009</v>
      </c>
      <c r="S16" s="1936">
        <v>-127010</v>
      </c>
      <c r="T16" s="1936">
        <v>-139367</v>
      </c>
      <c r="U16" s="1936">
        <v>-139367</v>
      </c>
      <c r="V16" s="1936">
        <v>-139368</v>
      </c>
      <c r="W16" s="1936">
        <v>-1376189</v>
      </c>
      <c r="X16" s="2020"/>
      <c r="Y16" s="1936">
        <v>-183782</v>
      </c>
      <c r="Z16" s="1936">
        <v>-183782</v>
      </c>
      <c r="AA16" s="1936">
        <v>-183783</v>
      </c>
      <c r="AB16" s="1936">
        <v>-183782</v>
      </c>
      <c r="AC16" s="1936">
        <v>-183782</v>
      </c>
      <c r="AD16" s="1936">
        <v>-183783</v>
      </c>
      <c r="AE16" s="1936">
        <v>-183782</v>
      </c>
      <c r="AF16" s="1936">
        <v>-183782</v>
      </c>
      <c r="AG16" s="1936">
        <v>-183783</v>
      </c>
      <c r="AH16" s="1936">
        <v>-183782</v>
      </c>
      <c r="AI16" s="1936">
        <v>-183782</v>
      </c>
      <c r="AJ16" s="1936">
        <v>-183783</v>
      </c>
      <c r="AK16" s="1936">
        <v>-2205386</v>
      </c>
      <c r="AL16" s="2020"/>
      <c r="AM16" s="2015"/>
    </row>
    <row r="17" spans="1:39">
      <c r="A17" s="2374" t="s">
        <v>1295</v>
      </c>
      <c r="B17" s="2374"/>
      <c r="C17" s="1936">
        <v>-717659</v>
      </c>
      <c r="D17" s="1936">
        <v>-751735</v>
      </c>
      <c r="E17" s="1936">
        <v>-34076</v>
      </c>
      <c r="F17" s="2020"/>
      <c r="G17" s="1936">
        <v>-4305954</v>
      </c>
      <c r="H17" s="1936">
        <v>-4281161</v>
      </c>
      <c r="I17" s="1937">
        <v>24793</v>
      </c>
      <c r="J17" s="2020"/>
      <c r="K17" s="1936">
        <v>-350226</v>
      </c>
      <c r="L17" s="1936">
        <v>-401509</v>
      </c>
      <c r="M17" s="1936">
        <v>-352943</v>
      </c>
      <c r="N17" s="1936">
        <v>-352943</v>
      </c>
      <c r="O17" s="1936">
        <v>-352943</v>
      </c>
      <c r="P17" s="1936">
        <v>-352943</v>
      </c>
      <c r="Q17" s="1936">
        <v>-352943</v>
      </c>
      <c r="R17" s="1936">
        <v>-352943</v>
      </c>
      <c r="S17" s="1936">
        <v>-352943</v>
      </c>
      <c r="T17" s="1936">
        <v>-352943</v>
      </c>
      <c r="U17" s="1936">
        <v>-352943</v>
      </c>
      <c r="V17" s="1936">
        <v>-352943</v>
      </c>
      <c r="W17" s="1936">
        <v>-4281161</v>
      </c>
      <c r="X17" s="2020"/>
      <c r="Y17" s="1936">
        <v>-358830</v>
      </c>
      <c r="Z17" s="1936">
        <v>-358830</v>
      </c>
      <c r="AA17" s="1936">
        <v>-358830</v>
      </c>
      <c r="AB17" s="1936">
        <v>-358830</v>
      </c>
      <c r="AC17" s="1936">
        <v>-358830</v>
      </c>
      <c r="AD17" s="1936">
        <v>-358830</v>
      </c>
      <c r="AE17" s="1936">
        <v>-358830</v>
      </c>
      <c r="AF17" s="1936">
        <v>-358830</v>
      </c>
      <c r="AG17" s="1936">
        <v>-358830</v>
      </c>
      <c r="AH17" s="1936">
        <v>-358830</v>
      </c>
      <c r="AI17" s="1936">
        <v>-358830</v>
      </c>
      <c r="AJ17" s="1936">
        <v>-358830</v>
      </c>
      <c r="AK17" s="1936">
        <v>-4305954</v>
      </c>
      <c r="AL17" s="2020"/>
      <c r="AM17" s="2015"/>
    </row>
    <row r="18" spans="1:39">
      <c r="A18" s="2374" t="s">
        <v>1296</v>
      </c>
      <c r="B18" s="2374"/>
      <c r="C18" s="1936">
        <v>-32854</v>
      </c>
      <c r="D18" s="1936">
        <v>-77880</v>
      </c>
      <c r="E18" s="1936">
        <v>-45026</v>
      </c>
      <c r="F18" s="2020"/>
      <c r="G18" s="1936">
        <v>-247125</v>
      </c>
      <c r="H18" s="1936">
        <v>-242151</v>
      </c>
      <c r="I18" s="1937">
        <v>4974</v>
      </c>
      <c r="J18" s="2020"/>
      <c r="K18" s="1936">
        <v>-81389</v>
      </c>
      <c r="L18" s="1937">
        <v>3509</v>
      </c>
      <c r="M18" s="1936">
        <v>-16427</v>
      </c>
      <c r="N18" s="1936">
        <v>-16427</v>
      </c>
      <c r="O18" s="1936">
        <v>-16427</v>
      </c>
      <c r="P18" s="1936">
        <v>-16427</v>
      </c>
      <c r="Q18" s="1936">
        <v>-16427</v>
      </c>
      <c r="R18" s="1936">
        <v>-16427</v>
      </c>
      <c r="S18" s="1936">
        <v>-16427</v>
      </c>
      <c r="T18" s="1936">
        <v>-16427</v>
      </c>
      <c r="U18" s="1936">
        <v>-16427</v>
      </c>
      <c r="V18" s="1936">
        <v>-16427</v>
      </c>
      <c r="W18" s="1936">
        <v>-242151</v>
      </c>
      <c r="X18" s="2020"/>
      <c r="Y18" s="1936">
        <v>-16427</v>
      </c>
      <c r="Z18" s="1936">
        <v>-16427</v>
      </c>
      <c r="AA18" s="1936">
        <v>-16427</v>
      </c>
      <c r="AB18" s="1936">
        <v>-21983</v>
      </c>
      <c r="AC18" s="1936">
        <v>-21983</v>
      </c>
      <c r="AD18" s="1936">
        <v>-21983</v>
      </c>
      <c r="AE18" s="1936">
        <v>-21983</v>
      </c>
      <c r="AF18" s="1936">
        <v>-21983</v>
      </c>
      <c r="AG18" s="1936">
        <v>-21983</v>
      </c>
      <c r="AH18" s="1936">
        <v>-21983</v>
      </c>
      <c r="AI18" s="1936">
        <v>-21983</v>
      </c>
      <c r="AJ18" s="1936">
        <v>-21983</v>
      </c>
      <c r="AK18" s="1936">
        <v>-247125</v>
      </c>
      <c r="AL18" s="2020"/>
      <c r="AM18" s="2015"/>
    </row>
    <row r="19" spans="1:39">
      <c r="A19" s="2374" t="s">
        <v>754</v>
      </c>
      <c r="B19" s="2374"/>
      <c r="C19" s="1936">
        <v>-83719819</v>
      </c>
      <c r="D19" s="1936">
        <v>-81308248</v>
      </c>
      <c r="E19" s="1937">
        <v>2411571</v>
      </c>
      <c r="F19" s="2020"/>
      <c r="G19" s="1936">
        <v>-503130116</v>
      </c>
      <c r="H19" s="1936">
        <v>-505249839</v>
      </c>
      <c r="I19" s="1936">
        <v>-2119723</v>
      </c>
      <c r="J19" s="2020"/>
      <c r="K19" s="1936">
        <v>-40803214</v>
      </c>
      <c r="L19" s="1936">
        <v>-40505034</v>
      </c>
      <c r="M19" s="1936">
        <v>-40836677</v>
      </c>
      <c r="N19" s="1936">
        <v>-44584727</v>
      </c>
      <c r="O19" s="1936">
        <v>-40994265</v>
      </c>
      <c r="P19" s="1936">
        <v>-40946324</v>
      </c>
      <c r="Q19" s="1936">
        <v>-44519423</v>
      </c>
      <c r="R19" s="1936">
        <v>-40931613</v>
      </c>
      <c r="S19" s="1936">
        <v>-40963157</v>
      </c>
      <c r="T19" s="1936">
        <v>-44582725</v>
      </c>
      <c r="U19" s="1936">
        <v>-40982300</v>
      </c>
      <c r="V19" s="1936">
        <v>-44600380</v>
      </c>
      <c r="W19" s="1936">
        <v>-505249839</v>
      </c>
      <c r="X19" s="2020"/>
      <c r="Y19" s="1936">
        <v>-41854674</v>
      </c>
      <c r="Z19" s="1936">
        <v>-41865145</v>
      </c>
      <c r="AA19" s="1936">
        <v>-41884230</v>
      </c>
      <c r="AB19" s="1936">
        <v>-41943119</v>
      </c>
      <c r="AC19" s="1936">
        <v>-41923118</v>
      </c>
      <c r="AD19" s="1936">
        <v>-41947636</v>
      </c>
      <c r="AE19" s="1936">
        <v>-41955931</v>
      </c>
      <c r="AF19" s="1936">
        <v>-41960933</v>
      </c>
      <c r="AG19" s="1936">
        <v>-41952835</v>
      </c>
      <c r="AH19" s="1936">
        <v>-41955834</v>
      </c>
      <c r="AI19" s="1936">
        <v>-41955835</v>
      </c>
      <c r="AJ19" s="1936">
        <v>-41930826</v>
      </c>
      <c r="AK19" s="1936">
        <v>-503130116</v>
      </c>
      <c r="AL19" s="2020"/>
      <c r="AM19" s="2015"/>
    </row>
    <row r="20" spans="1:39">
      <c r="A20" s="2374" t="s">
        <v>1297</v>
      </c>
      <c r="B20" s="2374"/>
      <c r="C20" s="1936">
        <v>-5408195</v>
      </c>
      <c r="D20" s="1936">
        <v>-4861752</v>
      </c>
      <c r="E20" s="1937">
        <v>546443</v>
      </c>
      <c r="F20" s="2020"/>
      <c r="G20" s="1936">
        <v>-32458891</v>
      </c>
      <c r="H20" s="1936">
        <v>-31991623</v>
      </c>
      <c r="I20" s="1937">
        <v>467267</v>
      </c>
      <c r="J20" s="2020"/>
      <c r="K20" s="1936">
        <v>-2388375</v>
      </c>
      <c r="L20" s="1936">
        <v>-2473377</v>
      </c>
      <c r="M20" s="1936">
        <v>-2714786</v>
      </c>
      <c r="N20" s="1936">
        <v>-2713935</v>
      </c>
      <c r="O20" s="1936">
        <v>-2715029</v>
      </c>
      <c r="P20" s="1936">
        <v>-2717706</v>
      </c>
      <c r="Q20" s="1936">
        <v>-2714625</v>
      </c>
      <c r="R20" s="1936">
        <v>-2711025</v>
      </c>
      <c r="S20" s="1936">
        <v>-2711370</v>
      </c>
      <c r="T20" s="1936">
        <v>-2710575</v>
      </c>
      <c r="U20" s="1936">
        <v>-2710485</v>
      </c>
      <c r="V20" s="1936">
        <v>-2710335</v>
      </c>
      <c r="W20" s="1936">
        <v>-31991623</v>
      </c>
      <c r="X20" s="2020"/>
      <c r="Y20" s="1936">
        <v>-2704097</v>
      </c>
      <c r="Z20" s="1936">
        <v>-2704098</v>
      </c>
      <c r="AA20" s="1936">
        <v>-2707278</v>
      </c>
      <c r="AB20" s="1936">
        <v>-2707278</v>
      </c>
      <c r="AC20" s="1936">
        <v>-2707278</v>
      </c>
      <c r="AD20" s="1936">
        <v>-2706850</v>
      </c>
      <c r="AE20" s="1936">
        <v>-2703668</v>
      </c>
      <c r="AF20" s="1936">
        <v>-2703668</v>
      </c>
      <c r="AG20" s="1936">
        <v>-2703668</v>
      </c>
      <c r="AH20" s="1936">
        <v>-2703668</v>
      </c>
      <c r="AI20" s="1936">
        <v>-2703668</v>
      </c>
      <c r="AJ20" s="1936">
        <v>-2703676</v>
      </c>
      <c r="AK20" s="1936">
        <v>-32458891</v>
      </c>
      <c r="AL20" s="2020"/>
      <c r="AM20" s="2015"/>
    </row>
    <row r="21" spans="1:39">
      <c r="A21" s="2374" t="s">
        <v>1298</v>
      </c>
      <c r="B21" s="2374"/>
      <c r="C21" s="1936">
        <v>-1096463</v>
      </c>
      <c r="D21" s="1936">
        <v>-863500</v>
      </c>
      <c r="E21" s="1937">
        <v>232963</v>
      </c>
      <c r="F21" s="2020"/>
      <c r="G21" s="1936">
        <v>-6578780</v>
      </c>
      <c r="H21" s="1936">
        <v>-6581471</v>
      </c>
      <c r="I21" s="1936">
        <v>-2690</v>
      </c>
      <c r="J21" s="2020"/>
      <c r="K21" s="1936">
        <v>-343085</v>
      </c>
      <c r="L21" s="1936">
        <v>-520415</v>
      </c>
      <c r="M21" s="1936">
        <v>-496856</v>
      </c>
      <c r="N21" s="1936">
        <v>-494856</v>
      </c>
      <c r="O21" s="1936">
        <v>-494856</v>
      </c>
      <c r="P21" s="1936">
        <v>-598095</v>
      </c>
      <c r="Q21" s="1936">
        <v>-605552</v>
      </c>
      <c r="R21" s="1936">
        <v>-605552</v>
      </c>
      <c r="S21" s="1936">
        <v>-605552</v>
      </c>
      <c r="T21" s="1936">
        <v>-605552</v>
      </c>
      <c r="U21" s="1936">
        <v>-605550</v>
      </c>
      <c r="V21" s="1936">
        <v>-605550</v>
      </c>
      <c r="W21" s="1936">
        <v>-6581471</v>
      </c>
      <c r="X21" s="2020"/>
      <c r="Y21" s="1936">
        <v>-548232</v>
      </c>
      <c r="Z21" s="1936">
        <v>-548232</v>
      </c>
      <c r="AA21" s="1936">
        <v>-548232</v>
      </c>
      <c r="AB21" s="1936">
        <v>-548232</v>
      </c>
      <c r="AC21" s="1936">
        <v>-548232</v>
      </c>
      <c r="AD21" s="1936">
        <v>-548232</v>
      </c>
      <c r="AE21" s="1936">
        <v>-548232</v>
      </c>
      <c r="AF21" s="1936">
        <v>-548232</v>
      </c>
      <c r="AG21" s="1936">
        <v>-548232</v>
      </c>
      <c r="AH21" s="1936">
        <v>-548232</v>
      </c>
      <c r="AI21" s="1936">
        <v>-548232</v>
      </c>
      <c r="AJ21" s="1936">
        <v>-548232</v>
      </c>
      <c r="AK21" s="1936">
        <v>-6578780</v>
      </c>
      <c r="AL21" s="2020"/>
      <c r="AM21" s="2015"/>
    </row>
    <row r="22" spans="1:39">
      <c r="A22" s="2374" t="s">
        <v>1276</v>
      </c>
      <c r="B22" s="2374"/>
      <c r="C22" s="1936"/>
      <c r="D22" s="1936"/>
      <c r="E22" s="1936"/>
      <c r="F22" s="2020"/>
      <c r="G22" s="1936"/>
      <c r="H22" s="1936"/>
      <c r="I22" s="1936"/>
      <c r="J22" s="2020"/>
      <c r="K22" s="1936"/>
      <c r="L22" s="1936"/>
      <c r="M22" s="1936"/>
      <c r="N22" s="1936"/>
      <c r="O22" s="1936"/>
      <c r="P22" s="1936"/>
      <c r="Q22" s="1936"/>
      <c r="R22" s="1936"/>
      <c r="S22" s="1936"/>
      <c r="T22" s="1936"/>
      <c r="U22" s="1936"/>
      <c r="V22" s="1936"/>
      <c r="W22" s="1936"/>
      <c r="X22" s="2020"/>
      <c r="Y22" s="1936"/>
      <c r="Z22" s="1936"/>
      <c r="AA22" s="1936"/>
      <c r="AB22" s="1936"/>
      <c r="AC22" s="1936"/>
      <c r="AD22" s="1936"/>
      <c r="AE22" s="1936"/>
      <c r="AF22" s="1936"/>
      <c r="AG22" s="1936"/>
      <c r="AH22" s="1936"/>
      <c r="AI22" s="1936"/>
      <c r="AJ22" s="1936"/>
      <c r="AK22" s="1936"/>
      <c r="AL22" s="2020"/>
      <c r="AM22" s="2015"/>
    </row>
    <row r="23" spans="1:39">
      <c r="A23" s="2374" t="s">
        <v>1250</v>
      </c>
      <c r="B23" s="2374"/>
      <c r="C23" s="1936">
        <v>-360481</v>
      </c>
      <c r="D23" s="1936">
        <v>-392838</v>
      </c>
      <c r="E23" s="1936">
        <v>-32357</v>
      </c>
      <c r="F23" s="2020"/>
      <c r="G23" s="1936">
        <v>-2183886</v>
      </c>
      <c r="H23" s="1936">
        <v>-2527215</v>
      </c>
      <c r="I23" s="1936">
        <v>-343329</v>
      </c>
      <c r="J23" s="2020"/>
      <c r="K23" s="1936">
        <v>-204471</v>
      </c>
      <c r="L23" s="1936">
        <v>-188367</v>
      </c>
      <c r="M23" s="1936">
        <v>-212438</v>
      </c>
      <c r="N23" s="1936">
        <v>-213549</v>
      </c>
      <c r="O23" s="1936">
        <v>-213550</v>
      </c>
      <c r="P23" s="1936">
        <v>-213549</v>
      </c>
      <c r="Q23" s="1936">
        <v>-213550</v>
      </c>
      <c r="R23" s="1936">
        <v>-213549</v>
      </c>
      <c r="S23" s="1936">
        <v>-213549</v>
      </c>
      <c r="T23" s="1936">
        <v>-213550</v>
      </c>
      <c r="U23" s="1936">
        <v>-213549</v>
      </c>
      <c r="V23" s="1936">
        <v>-213548</v>
      </c>
      <c r="W23" s="1936">
        <v>-2527215</v>
      </c>
      <c r="X23" s="2020"/>
      <c r="Y23" s="1936">
        <v>-180241</v>
      </c>
      <c r="Z23" s="1936">
        <v>-180240</v>
      </c>
      <c r="AA23" s="1936">
        <v>-182240</v>
      </c>
      <c r="AB23" s="1936">
        <v>-182351</v>
      </c>
      <c r="AC23" s="1936">
        <v>-182352</v>
      </c>
      <c r="AD23" s="1936">
        <v>-182351</v>
      </c>
      <c r="AE23" s="1936">
        <v>-182352</v>
      </c>
      <c r="AF23" s="1936">
        <v>-182351</v>
      </c>
      <c r="AG23" s="1936">
        <v>-182351</v>
      </c>
      <c r="AH23" s="1936">
        <v>-182352</v>
      </c>
      <c r="AI23" s="1936">
        <v>-182351</v>
      </c>
      <c r="AJ23" s="1936">
        <v>-182350</v>
      </c>
      <c r="AK23" s="1936">
        <v>-2183886</v>
      </c>
      <c r="AL23" s="2020"/>
      <c r="AM23" s="2015"/>
    </row>
    <row r="24" spans="1:39">
      <c r="A24" s="2374" t="s">
        <v>756</v>
      </c>
      <c r="B24" s="2374"/>
      <c r="C24" s="1936">
        <v>-877040</v>
      </c>
      <c r="D24" s="1936">
        <v>-860824</v>
      </c>
      <c r="E24" s="1937">
        <v>16217</v>
      </c>
      <c r="F24" s="2020"/>
      <c r="G24" s="1936">
        <v>-5284607</v>
      </c>
      <c r="H24" s="1936">
        <v>-5502827</v>
      </c>
      <c r="I24" s="1936">
        <v>-218219</v>
      </c>
      <c r="J24" s="2020"/>
      <c r="K24" s="1936">
        <v>-490254</v>
      </c>
      <c r="L24" s="1936">
        <v>-370570</v>
      </c>
      <c r="M24" s="1936">
        <v>-438470</v>
      </c>
      <c r="N24" s="1936">
        <v>-498469</v>
      </c>
      <c r="O24" s="1936">
        <v>-507818</v>
      </c>
      <c r="P24" s="1936">
        <v>-476698</v>
      </c>
      <c r="Q24" s="1936">
        <v>-428988</v>
      </c>
      <c r="R24" s="1936">
        <v>-443987</v>
      </c>
      <c r="S24" s="1936">
        <v>-448988</v>
      </c>
      <c r="T24" s="1936">
        <v>-448988</v>
      </c>
      <c r="U24" s="1936">
        <v>-455608</v>
      </c>
      <c r="V24" s="1936">
        <v>-493988</v>
      </c>
      <c r="W24" s="1936">
        <v>-5502827</v>
      </c>
      <c r="X24" s="2020"/>
      <c r="Y24" s="1936">
        <v>-453756</v>
      </c>
      <c r="Z24" s="1936">
        <v>-423284</v>
      </c>
      <c r="AA24" s="1936">
        <v>-432020</v>
      </c>
      <c r="AB24" s="1936">
        <v>-429019</v>
      </c>
      <c r="AC24" s="1936">
        <v>-434020</v>
      </c>
      <c r="AD24" s="1936">
        <v>-434020</v>
      </c>
      <c r="AE24" s="1936">
        <v>-423915</v>
      </c>
      <c r="AF24" s="1936">
        <v>-433914</v>
      </c>
      <c r="AG24" s="1936">
        <v>-443915</v>
      </c>
      <c r="AH24" s="1936">
        <v>-443915</v>
      </c>
      <c r="AI24" s="1936">
        <v>-443915</v>
      </c>
      <c r="AJ24" s="1936">
        <v>-488914</v>
      </c>
      <c r="AK24" s="1936">
        <v>-5284607</v>
      </c>
      <c r="AL24" s="2020"/>
      <c r="AM24" s="2015"/>
    </row>
    <row r="25" spans="1:39">
      <c r="A25" s="2374" t="s">
        <v>757</v>
      </c>
      <c r="B25" s="2374"/>
      <c r="C25" s="1936">
        <v>-7742180</v>
      </c>
      <c r="D25" s="1936">
        <v>-6978913</v>
      </c>
      <c r="E25" s="1937">
        <v>763267</v>
      </c>
      <c r="F25" s="2020"/>
      <c r="G25" s="1936">
        <v>-46506164</v>
      </c>
      <c r="H25" s="1936">
        <v>-46603135</v>
      </c>
      <c r="I25" s="1936">
        <v>-96971</v>
      </c>
      <c r="J25" s="2020"/>
      <c r="K25" s="1936">
        <v>-3426184</v>
      </c>
      <c r="L25" s="1936">
        <v>-3552729</v>
      </c>
      <c r="M25" s="1936">
        <v>-3862550</v>
      </c>
      <c r="N25" s="1936">
        <v>-3920809</v>
      </c>
      <c r="O25" s="1936">
        <v>-3931252</v>
      </c>
      <c r="P25" s="1936">
        <v>-4006048</v>
      </c>
      <c r="Q25" s="1936">
        <v>-3962715</v>
      </c>
      <c r="R25" s="1936">
        <v>-3974113</v>
      </c>
      <c r="S25" s="1936">
        <v>-3979459</v>
      </c>
      <c r="T25" s="1936">
        <v>-3978665</v>
      </c>
      <c r="U25" s="1936">
        <v>-3985192</v>
      </c>
      <c r="V25" s="1936">
        <v>-4023421</v>
      </c>
      <c r="W25" s="1936">
        <v>-46603135</v>
      </c>
      <c r="X25" s="2020"/>
      <c r="Y25" s="1936">
        <v>-3886326</v>
      </c>
      <c r="Z25" s="1936">
        <v>-3855854</v>
      </c>
      <c r="AA25" s="1936">
        <v>-3869770</v>
      </c>
      <c r="AB25" s="1936">
        <v>-3866879</v>
      </c>
      <c r="AC25" s="1936">
        <v>-3871881</v>
      </c>
      <c r="AD25" s="1936">
        <v>-3871453</v>
      </c>
      <c r="AE25" s="1936">
        <v>-3858167</v>
      </c>
      <c r="AF25" s="1936">
        <v>-3868165</v>
      </c>
      <c r="AG25" s="1936">
        <v>-3878166</v>
      </c>
      <c r="AH25" s="1936">
        <v>-3878167</v>
      </c>
      <c r="AI25" s="1936">
        <v>-3878166</v>
      </c>
      <c r="AJ25" s="1936">
        <v>-3923171</v>
      </c>
      <c r="AK25" s="1936">
        <v>-46506164</v>
      </c>
      <c r="AL25" s="2020"/>
      <c r="AM25" s="2015"/>
    </row>
    <row r="26" spans="1:39">
      <c r="A26" s="2374" t="s">
        <v>716</v>
      </c>
      <c r="B26" s="2374"/>
      <c r="C26" s="1936">
        <v>-91461999</v>
      </c>
      <c r="D26" s="1936">
        <v>-88287161</v>
      </c>
      <c r="E26" s="1937">
        <v>3174838</v>
      </c>
      <c r="F26" s="2020"/>
      <c r="G26" s="1936">
        <v>-549636280</v>
      </c>
      <c r="H26" s="1936">
        <v>-551852974</v>
      </c>
      <c r="I26" s="1936">
        <v>-2216694</v>
      </c>
      <c r="J26" s="2020"/>
      <c r="K26" s="1936">
        <v>-44229398</v>
      </c>
      <c r="L26" s="1936">
        <v>-44057763</v>
      </c>
      <c r="M26" s="1936">
        <v>-44699227</v>
      </c>
      <c r="N26" s="1936">
        <v>-48505535</v>
      </c>
      <c r="O26" s="1936">
        <v>-44925516</v>
      </c>
      <c r="P26" s="1936">
        <v>-44952372</v>
      </c>
      <c r="Q26" s="1936">
        <v>-48482138</v>
      </c>
      <c r="R26" s="1936">
        <v>-44905726</v>
      </c>
      <c r="S26" s="1936">
        <v>-44942616</v>
      </c>
      <c r="T26" s="1936">
        <v>-48561390</v>
      </c>
      <c r="U26" s="1936">
        <v>-44967491</v>
      </c>
      <c r="V26" s="1936">
        <v>-48623801</v>
      </c>
      <c r="W26" s="1936">
        <v>-551852974</v>
      </c>
      <c r="X26" s="2020"/>
      <c r="Y26" s="1936">
        <v>-45741001</v>
      </c>
      <c r="Z26" s="1936">
        <v>-45720999</v>
      </c>
      <c r="AA26" s="1936">
        <v>-45754000</v>
      </c>
      <c r="AB26" s="1936">
        <v>-45809999</v>
      </c>
      <c r="AC26" s="1936">
        <v>-45794999</v>
      </c>
      <c r="AD26" s="1936">
        <v>-45819089</v>
      </c>
      <c r="AE26" s="1936">
        <v>-45814098</v>
      </c>
      <c r="AF26" s="1936">
        <v>-45829098</v>
      </c>
      <c r="AG26" s="1936">
        <v>-45831000</v>
      </c>
      <c r="AH26" s="1936">
        <v>-45834000</v>
      </c>
      <c r="AI26" s="1936">
        <v>-45834000</v>
      </c>
      <c r="AJ26" s="1936">
        <v>-45853997</v>
      </c>
      <c r="AK26" s="1936">
        <v>-549636280</v>
      </c>
      <c r="AL26" s="2020"/>
      <c r="AM26" s="2015"/>
    </row>
    <row r="27" spans="1:39">
      <c r="A27" s="2374" t="s">
        <v>758</v>
      </c>
      <c r="B27" s="2374"/>
      <c r="C27" s="1937">
        <v>2388404</v>
      </c>
      <c r="D27" s="1937">
        <v>2280436</v>
      </c>
      <c r="E27" s="1936">
        <v>-107968</v>
      </c>
      <c r="F27" s="2020"/>
      <c r="G27" s="1937">
        <v>14331097</v>
      </c>
      <c r="H27" s="1937">
        <v>14351262</v>
      </c>
      <c r="I27" s="1937">
        <v>20165</v>
      </c>
      <c r="J27" s="2020"/>
      <c r="K27" s="1937">
        <v>1126098</v>
      </c>
      <c r="L27" s="1937">
        <v>1154338</v>
      </c>
      <c r="M27" s="1937">
        <v>1118614</v>
      </c>
      <c r="N27" s="1937">
        <v>1160156</v>
      </c>
      <c r="O27" s="1937">
        <v>1181581</v>
      </c>
      <c r="P27" s="1937">
        <v>1235996</v>
      </c>
      <c r="Q27" s="1937">
        <v>1226896</v>
      </c>
      <c r="R27" s="1937">
        <v>1223924</v>
      </c>
      <c r="S27" s="1937">
        <v>1223924</v>
      </c>
      <c r="T27" s="1937">
        <v>1223924</v>
      </c>
      <c r="U27" s="1937">
        <v>1225914</v>
      </c>
      <c r="V27" s="1937">
        <v>1249895</v>
      </c>
      <c r="W27" s="1937">
        <v>14351262</v>
      </c>
      <c r="X27" s="2020"/>
      <c r="Y27" s="1937">
        <v>1194199</v>
      </c>
      <c r="Z27" s="1937">
        <v>1194205</v>
      </c>
      <c r="AA27" s="1937">
        <v>1194369</v>
      </c>
      <c r="AB27" s="1937">
        <v>1194258</v>
      </c>
      <c r="AC27" s="1937">
        <v>1194258</v>
      </c>
      <c r="AD27" s="1937">
        <v>1194258</v>
      </c>
      <c r="AE27" s="1937">
        <v>1194258</v>
      </c>
      <c r="AF27" s="1937">
        <v>1194258</v>
      </c>
      <c r="AG27" s="1937">
        <v>1194258</v>
      </c>
      <c r="AH27" s="1937">
        <v>1194258</v>
      </c>
      <c r="AI27" s="1937">
        <v>1194258</v>
      </c>
      <c r="AJ27" s="1937">
        <v>1194264</v>
      </c>
      <c r="AK27" s="1937">
        <v>14331097</v>
      </c>
      <c r="AL27" s="2020"/>
      <c r="AM27" s="2015"/>
    </row>
    <row r="28" spans="1:39">
      <c r="A28" s="2374" t="s">
        <v>759</v>
      </c>
      <c r="B28" s="2374"/>
      <c r="C28" s="1937">
        <v>17111939</v>
      </c>
      <c r="D28" s="1937">
        <v>16904239</v>
      </c>
      <c r="E28" s="1936">
        <v>-207699</v>
      </c>
      <c r="F28" s="2020"/>
      <c r="G28" s="1937">
        <v>99634119</v>
      </c>
      <c r="H28" s="1937">
        <v>99426335</v>
      </c>
      <c r="I28" s="1936">
        <v>-207784</v>
      </c>
      <c r="J28" s="2020"/>
      <c r="K28" s="1937">
        <v>8496962</v>
      </c>
      <c r="L28" s="1937">
        <v>8407277</v>
      </c>
      <c r="M28" s="1937">
        <v>8540238</v>
      </c>
      <c r="N28" s="1937">
        <v>8254094</v>
      </c>
      <c r="O28" s="1937">
        <v>8253902</v>
      </c>
      <c r="P28" s="1937">
        <v>8254684</v>
      </c>
      <c r="Q28" s="1937">
        <v>8207400</v>
      </c>
      <c r="R28" s="1937">
        <v>8202954</v>
      </c>
      <c r="S28" s="1937">
        <v>8201955</v>
      </c>
      <c r="T28" s="1937">
        <v>8201955</v>
      </c>
      <c r="U28" s="1937">
        <v>8202955</v>
      </c>
      <c r="V28" s="1937">
        <v>8201960</v>
      </c>
      <c r="W28" s="1937">
        <v>99426335</v>
      </c>
      <c r="X28" s="2020"/>
      <c r="Y28" s="1937">
        <v>8556683</v>
      </c>
      <c r="Z28" s="1937">
        <v>8555256</v>
      </c>
      <c r="AA28" s="1937">
        <v>8538539</v>
      </c>
      <c r="AB28" s="1937">
        <v>8254396</v>
      </c>
      <c r="AC28" s="1937">
        <v>8254395</v>
      </c>
      <c r="AD28" s="1937">
        <v>8254397</v>
      </c>
      <c r="AE28" s="1937">
        <v>8207112</v>
      </c>
      <c r="AF28" s="1937">
        <v>8202667</v>
      </c>
      <c r="AG28" s="1937">
        <v>8202667</v>
      </c>
      <c r="AH28" s="1937">
        <v>8202668</v>
      </c>
      <c r="AI28" s="1937">
        <v>8202668</v>
      </c>
      <c r="AJ28" s="1937">
        <v>8202673</v>
      </c>
      <c r="AK28" s="1937">
        <v>99634119</v>
      </c>
      <c r="AL28" s="2020"/>
      <c r="AM28" s="2015"/>
    </row>
    <row r="29" spans="1:39">
      <c r="A29" s="2374" t="s">
        <v>1251</v>
      </c>
      <c r="B29" s="2374"/>
      <c r="C29" s="1937">
        <v>21930945</v>
      </c>
      <c r="D29" s="1937">
        <v>22143986</v>
      </c>
      <c r="E29" s="1937">
        <v>213042</v>
      </c>
      <c r="F29" s="2020"/>
      <c r="G29" s="1937">
        <v>128006324</v>
      </c>
      <c r="H29" s="1937">
        <v>127993881</v>
      </c>
      <c r="I29" s="1936">
        <v>-12443</v>
      </c>
      <c r="J29" s="2020"/>
      <c r="K29" s="1937">
        <v>11228134</v>
      </c>
      <c r="L29" s="1937">
        <v>10915852</v>
      </c>
      <c r="M29" s="1937">
        <v>11072167</v>
      </c>
      <c r="N29" s="1937">
        <v>10524225</v>
      </c>
      <c r="O29" s="1937">
        <v>10481674</v>
      </c>
      <c r="P29" s="1937">
        <v>10464158</v>
      </c>
      <c r="Q29" s="1937">
        <v>10547565</v>
      </c>
      <c r="R29" s="1937">
        <v>10537505</v>
      </c>
      <c r="S29" s="1937">
        <v>10557724</v>
      </c>
      <c r="T29" s="1937">
        <v>10555365</v>
      </c>
      <c r="U29" s="1937">
        <v>10555363</v>
      </c>
      <c r="V29" s="1937">
        <v>10554149</v>
      </c>
      <c r="W29" s="1937">
        <v>127993881</v>
      </c>
      <c r="X29" s="2020"/>
      <c r="Y29" s="1937">
        <v>10964790</v>
      </c>
      <c r="Z29" s="1937">
        <v>10966155</v>
      </c>
      <c r="AA29" s="1937">
        <v>11045522</v>
      </c>
      <c r="AB29" s="1937">
        <v>10386107</v>
      </c>
      <c r="AC29" s="1937">
        <v>10573844</v>
      </c>
      <c r="AD29" s="1937">
        <v>10554240</v>
      </c>
      <c r="AE29" s="1937">
        <v>10587647</v>
      </c>
      <c r="AF29" s="1937">
        <v>10574407</v>
      </c>
      <c r="AG29" s="1937">
        <v>10591579</v>
      </c>
      <c r="AH29" s="1937">
        <v>10587131</v>
      </c>
      <c r="AI29" s="1937">
        <v>10587129</v>
      </c>
      <c r="AJ29" s="1937">
        <v>10587775</v>
      </c>
      <c r="AK29" s="1937">
        <v>128006324</v>
      </c>
      <c r="AL29" s="2020"/>
      <c r="AM29" s="2015"/>
    </row>
    <row r="30" spans="1:39">
      <c r="A30" s="2374" t="s">
        <v>760</v>
      </c>
      <c r="B30" s="2374"/>
      <c r="C30" s="1937">
        <v>7755440</v>
      </c>
      <c r="D30" s="1937">
        <v>7854996</v>
      </c>
      <c r="E30" s="1937">
        <v>99556</v>
      </c>
      <c r="F30" s="2020"/>
      <c r="G30" s="1937">
        <v>46218770</v>
      </c>
      <c r="H30" s="1937">
        <v>46414895</v>
      </c>
      <c r="I30" s="1937">
        <v>196125</v>
      </c>
      <c r="J30" s="2020"/>
      <c r="K30" s="1937">
        <v>3907616</v>
      </c>
      <c r="L30" s="1937">
        <v>3947380</v>
      </c>
      <c r="M30" s="1937">
        <v>3886975</v>
      </c>
      <c r="N30" s="1937">
        <v>3886794</v>
      </c>
      <c r="O30" s="1937">
        <v>3886869</v>
      </c>
      <c r="P30" s="1937">
        <v>3885708</v>
      </c>
      <c r="Q30" s="1937">
        <v>3833768</v>
      </c>
      <c r="R30" s="1937">
        <v>3833768</v>
      </c>
      <c r="S30" s="1937">
        <v>3833768</v>
      </c>
      <c r="T30" s="1937">
        <v>3833768</v>
      </c>
      <c r="U30" s="1937">
        <v>3833768</v>
      </c>
      <c r="V30" s="1937">
        <v>3844712</v>
      </c>
      <c r="W30" s="1937">
        <v>46414895</v>
      </c>
      <c r="X30" s="2020"/>
      <c r="Y30" s="1937">
        <v>3877720</v>
      </c>
      <c r="Z30" s="1937">
        <v>3877720</v>
      </c>
      <c r="AA30" s="1937">
        <v>3877041</v>
      </c>
      <c r="AB30" s="1937">
        <v>3876862</v>
      </c>
      <c r="AC30" s="1937">
        <v>3876935</v>
      </c>
      <c r="AD30" s="1937">
        <v>3875774</v>
      </c>
      <c r="AE30" s="1937">
        <v>3826120</v>
      </c>
      <c r="AF30" s="1937">
        <v>3826119</v>
      </c>
      <c r="AG30" s="1937">
        <v>3826119</v>
      </c>
      <c r="AH30" s="1937">
        <v>3826120</v>
      </c>
      <c r="AI30" s="1937">
        <v>3826119</v>
      </c>
      <c r="AJ30" s="1937">
        <v>3826122</v>
      </c>
      <c r="AK30" s="1937">
        <v>46218770</v>
      </c>
      <c r="AL30" s="2020"/>
      <c r="AM30" s="2015"/>
    </row>
    <row r="31" spans="1:39">
      <c r="A31" s="2374" t="s">
        <v>1252</v>
      </c>
      <c r="B31" s="2374"/>
      <c r="C31" s="1937">
        <v>2441846</v>
      </c>
      <c r="D31" s="1937">
        <v>2438189</v>
      </c>
      <c r="E31" s="1936">
        <v>-3656</v>
      </c>
      <c r="F31" s="2020"/>
      <c r="G31" s="1937">
        <v>14651075</v>
      </c>
      <c r="H31" s="1937">
        <v>14681949</v>
      </c>
      <c r="I31" s="1937">
        <v>30874</v>
      </c>
      <c r="J31" s="2020"/>
      <c r="K31" s="1937">
        <v>1240373</v>
      </c>
      <c r="L31" s="1937">
        <v>1197817</v>
      </c>
      <c r="M31" s="1937">
        <v>1223801</v>
      </c>
      <c r="N31" s="1937">
        <v>1224440</v>
      </c>
      <c r="O31" s="1937">
        <v>1224440</v>
      </c>
      <c r="P31" s="1937">
        <v>1224440</v>
      </c>
      <c r="Q31" s="1937">
        <v>1224440</v>
      </c>
      <c r="R31" s="1937">
        <v>1224440</v>
      </c>
      <c r="S31" s="1937">
        <v>1224440</v>
      </c>
      <c r="T31" s="1937">
        <v>1224440</v>
      </c>
      <c r="U31" s="1937">
        <v>1224440</v>
      </c>
      <c r="V31" s="1937">
        <v>1224440</v>
      </c>
      <c r="W31" s="1937">
        <v>14681949</v>
      </c>
      <c r="X31" s="2020"/>
      <c r="Y31" s="1937">
        <v>1220923</v>
      </c>
      <c r="Z31" s="1937">
        <v>1220923</v>
      </c>
      <c r="AA31" s="1937">
        <v>1220923</v>
      </c>
      <c r="AB31" s="1937">
        <v>1220923</v>
      </c>
      <c r="AC31" s="1937">
        <v>1220923</v>
      </c>
      <c r="AD31" s="1937">
        <v>1220923</v>
      </c>
      <c r="AE31" s="1937">
        <v>1220923</v>
      </c>
      <c r="AF31" s="1937">
        <v>1220923</v>
      </c>
      <c r="AG31" s="1937">
        <v>1220923</v>
      </c>
      <c r="AH31" s="1937">
        <v>1220923</v>
      </c>
      <c r="AI31" s="1937">
        <v>1220923</v>
      </c>
      <c r="AJ31" s="1937">
        <v>1220923</v>
      </c>
      <c r="AK31" s="1937">
        <v>14651075</v>
      </c>
      <c r="AL31" s="2020"/>
      <c r="AM31" s="2015"/>
    </row>
    <row r="32" spans="1:39">
      <c r="A32" s="2374" t="s">
        <v>761</v>
      </c>
      <c r="B32" s="2374"/>
      <c r="C32" s="1937">
        <v>5512603</v>
      </c>
      <c r="D32" s="1937">
        <v>5510803</v>
      </c>
      <c r="E32" s="1936">
        <v>-1800</v>
      </c>
      <c r="F32" s="2020"/>
      <c r="G32" s="1937">
        <v>33076006</v>
      </c>
      <c r="H32" s="1937">
        <v>33070084</v>
      </c>
      <c r="I32" s="1936">
        <v>-5922</v>
      </c>
      <c r="J32" s="2020"/>
      <c r="K32" s="1937">
        <v>2733980</v>
      </c>
      <c r="L32" s="1937">
        <v>2776823</v>
      </c>
      <c r="M32" s="1937">
        <v>2742708</v>
      </c>
      <c r="N32" s="1937">
        <v>2756282</v>
      </c>
      <c r="O32" s="1937">
        <v>2761204</v>
      </c>
      <c r="P32" s="1937">
        <v>2761205</v>
      </c>
      <c r="Q32" s="1937">
        <v>2740259</v>
      </c>
      <c r="R32" s="1937">
        <v>2758204</v>
      </c>
      <c r="S32" s="1937">
        <v>2760604</v>
      </c>
      <c r="T32" s="1937">
        <v>2760604</v>
      </c>
      <c r="U32" s="1937">
        <v>2757604</v>
      </c>
      <c r="V32" s="1937">
        <v>2760608</v>
      </c>
      <c r="W32" s="1937">
        <v>33070084</v>
      </c>
      <c r="X32" s="2020"/>
      <c r="Y32" s="1937">
        <v>2756301</v>
      </c>
      <c r="Z32" s="1937">
        <v>2756302</v>
      </c>
      <c r="AA32" s="1937">
        <v>2756395</v>
      </c>
      <c r="AB32" s="1937">
        <v>2756333</v>
      </c>
      <c r="AC32" s="1937">
        <v>2756334</v>
      </c>
      <c r="AD32" s="1937">
        <v>2756335</v>
      </c>
      <c r="AE32" s="1937">
        <v>2756334</v>
      </c>
      <c r="AF32" s="1937">
        <v>2756334</v>
      </c>
      <c r="AG32" s="1937">
        <v>2756334</v>
      </c>
      <c r="AH32" s="1937">
        <v>2756333</v>
      </c>
      <c r="AI32" s="1937">
        <v>2756333</v>
      </c>
      <c r="AJ32" s="1937">
        <v>2756337</v>
      </c>
      <c r="AK32" s="1937">
        <v>33076006</v>
      </c>
      <c r="AL32" s="2020"/>
      <c r="AM32" s="2015"/>
    </row>
    <row r="33" spans="1:39">
      <c r="A33" s="2374" t="s">
        <v>1253</v>
      </c>
      <c r="B33" s="2374"/>
      <c r="C33" s="1937">
        <v>490402</v>
      </c>
      <c r="D33" s="1937">
        <v>439483</v>
      </c>
      <c r="E33" s="1936">
        <v>-50920</v>
      </c>
      <c r="F33" s="2020"/>
      <c r="G33" s="1937">
        <v>2942415</v>
      </c>
      <c r="H33" s="1937">
        <v>2891495</v>
      </c>
      <c r="I33" s="1936">
        <v>-50920</v>
      </c>
      <c r="J33" s="2020"/>
      <c r="K33" s="1937">
        <v>222949</v>
      </c>
      <c r="L33" s="1937">
        <v>216533</v>
      </c>
      <c r="M33" s="1937">
        <v>245201</v>
      </c>
      <c r="N33" s="1937">
        <v>245201</v>
      </c>
      <c r="O33" s="1937">
        <v>245201</v>
      </c>
      <c r="P33" s="1937">
        <v>245201</v>
      </c>
      <c r="Q33" s="1937">
        <v>245201</v>
      </c>
      <c r="R33" s="1937">
        <v>245201</v>
      </c>
      <c r="S33" s="1937">
        <v>245201</v>
      </c>
      <c r="T33" s="1937">
        <v>245201</v>
      </c>
      <c r="U33" s="1937">
        <v>245201</v>
      </c>
      <c r="V33" s="1937">
        <v>245201</v>
      </c>
      <c r="W33" s="1937">
        <v>2891495</v>
      </c>
      <c r="X33" s="2020"/>
      <c r="Y33" s="1937">
        <v>245201</v>
      </c>
      <c r="Z33" s="1937">
        <v>245201</v>
      </c>
      <c r="AA33" s="1937">
        <v>245201</v>
      </c>
      <c r="AB33" s="1937">
        <v>245201</v>
      </c>
      <c r="AC33" s="1937">
        <v>245201</v>
      </c>
      <c r="AD33" s="1937">
        <v>245201</v>
      </c>
      <c r="AE33" s="1937">
        <v>245201</v>
      </c>
      <c r="AF33" s="1937">
        <v>245201</v>
      </c>
      <c r="AG33" s="1937">
        <v>245201</v>
      </c>
      <c r="AH33" s="1937">
        <v>245201</v>
      </c>
      <c r="AI33" s="1937">
        <v>245201</v>
      </c>
      <c r="AJ33" s="1937">
        <v>245201</v>
      </c>
      <c r="AK33" s="1937">
        <v>2942415</v>
      </c>
      <c r="AL33" s="2020"/>
      <c r="AM33" s="2015"/>
    </row>
    <row r="34" spans="1:39">
      <c r="A34" s="2374" t="s">
        <v>762</v>
      </c>
      <c r="B34" s="2374"/>
      <c r="C34" s="1936">
        <v>-24138</v>
      </c>
      <c r="D34" s="1937">
        <v>10237</v>
      </c>
      <c r="E34" s="1937">
        <v>34375</v>
      </c>
      <c r="F34" s="2020"/>
      <c r="G34" s="1936">
        <v>-4644046</v>
      </c>
      <c r="H34" s="1936">
        <v>-4555398</v>
      </c>
      <c r="I34" s="1937">
        <v>88648</v>
      </c>
      <c r="J34" s="2020"/>
      <c r="K34" s="1937">
        <v>6485</v>
      </c>
      <c r="L34" s="1937">
        <v>3753</v>
      </c>
      <c r="M34" s="1936">
        <v>-5883</v>
      </c>
      <c r="N34" s="1936">
        <v>-2883</v>
      </c>
      <c r="O34" s="1936">
        <v>-2883</v>
      </c>
      <c r="P34" s="1936">
        <v>-2883</v>
      </c>
      <c r="Q34" s="1936">
        <v>-657909</v>
      </c>
      <c r="R34" s="1936">
        <v>-657909</v>
      </c>
      <c r="S34" s="1936">
        <v>-807909</v>
      </c>
      <c r="T34" s="1936">
        <v>-807958</v>
      </c>
      <c r="U34" s="1936">
        <v>-807958</v>
      </c>
      <c r="V34" s="1936">
        <v>-811458</v>
      </c>
      <c r="W34" s="1936">
        <v>-4555398</v>
      </c>
      <c r="X34" s="2020"/>
      <c r="Y34" s="1936">
        <v>-13077</v>
      </c>
      <c r="Z34" s="1936">
        <v>-11061</v>
      </c>
      <c r="AA34" s="1936">
        <v>-14295</v>
      </c>
      <c r="AB34" s="1936">
        <v>-15146</v>
      </c>
      <c r="AC34" s="1936">
        <v>-15146</v>
      </c>
      <c r="AD34" s="1936">
        <v>-5146</v>
      </c>
      <c r="AE34" s="1936">
        <v>-660172</v>
      </c>
      <c r="AF34" s="1936">
        <v>-660172</v>
      </c>
      <c r="AG34" s="1936">
        <v>-810172</v>
      </c>
      <c r="AH34" s="1936">
        <v>-813221</v>
      </c>
      <c r="AI34" s="1936">
        <v>-813221</v>
      </c>
      <c r="AJ34" s="1936">
        <v>-813221</v>
      </c>
      <c r="AK34" s="1936">
        <v>-4644046</v>
      </c>
      <c r="AL34" s="2020"/>
      <c r="AM34" s="2015"/>
    </row>
    <row r="35" spans="1:39">
      <c r="A35" s="2374" t="s">
        <v>1299</v>
      </c>
      <c r="B35" s="2374"/>
      <c r="C35" s="1937">
        <v>10561</v>
      </c>
      <c r="D35" s="1937">
        <v>10176</v>
      </c>
      <c r="E35" s="1936">
        <v>-385</v>
      </c>
      <c r="F35" s="2020"/>
      <c r="G35" s="1937">
        <v>63368</v>
      </c>
      <c r="H35" s="1937">
        <v>66787</v>
      </c>
      <c r="I35" s="1937">
        <v>3418</v>
      </c>
      <c r="J35" s="2020"/>
      <c r="K35" s="1937">
        <v>5199</v>
      </c>
      <c r="L35" s="1937">
        <v>4977</v>
      </c>
      <c r="M35" s="1937">
        <v>5199</v>
      </c>
      <c r="N35" s="1937">
        <v>5712</v>
      </c>
      <c r="O35" s="1937">
        <v>5712</v>
      </c>
      <c r="P35" s="1937">
        <v>5712</v>
      </c>
      <c r="Q35" s="1937">
        <v>5712</v>
      </c>
      <c r="R35" s="1937">
        <v>5712</v>
      </c>
      <c r="S35" s="1937">
        <v>5712</v>
      </c>
      <c r="T35" s="1937">
        <v>5712</v>
      </c>
      <c r="U35" s="1937">
        <v>5712</v>
      </c>
      <c r="V35" s="1937">
        <v>5712</v>
      </c>
      <c r="W35" s="1937">
        <v>66787</v>
      </c>
      <c r="X35" s="2020"/>
      <c r="Y35" s="1937">
        <v>5281</v>
      </c>
      <c r="Z35" s="1937">
        <v>5281</v>
      </c>
      <c r="AA35" s="1937">
        <v>5281</v>
      </c>
      <c r="AB35" s="1937">
        <v>5281</v>
      </c>
      <c r="AC35" s="1937">
        <v>5281</v>
      </c>
      <c r="AD35" s="1937">
        <v>5281</v>
      </c>
      <c r="AE35" s="1937">
        <v>5281</v>
      </c>
      <c r="AF35" s="1937">
        <v>5281</v>
      </c>
      <c r="AG35" s="1937">
        <v>5281</v>
      </c>
      <c r="AH35" s="1937">
        <v>5281</v>
      </c>
      <c r="AI35" s="1937">
        <v>5281</v>
      </c>
      <c r="AJ35" s="1937">
        <v>5281</v>
      </c>
      <c r="AK35" s="1937">
        <v>63368</v>
      </c>
      <c r="AL35" s="2020"/>
      <c r="AM35" s="2015"/>
    </row>
    <row r="36" spans="1:39">
      <c r="A36" s="2374" t="s">
        <v>763</v>
      </c>
      <c r="B36" s="2374"/>
      <c r="C36" s="1937">
        <v>57618002</v>
      </c>
      <c r="D36" s="1937">
        <v>57592546</v>
      </c>
      <c r="E36" s="1936">
        <v>-25456</v>
      </c>
      <c r="F36" s="2020"/>
      <c r="G36" s="1937">
        <v>334279129</v>
      </c>
      <c r="H36" s="1937">
        <v>334341292</v>
      </c>
      <c r="I36" s="1937">
        <v>62163</v>
      </c>
      <c r="J36" s="2020"/>
      <c r="K36" s="1937">
        <v>28967797</v>
      </c>
      <c r="L36" s="1937">
        <v>28624749</v>
      </c>
      <c r="M36" s="1937">
        <v>28829020</v>
      </c>
      <c r="N36" s="1937">
        <v>28054021</v>
      </c>
      <c r="O36" s="1937">
        <v>28037699</v>
      </c>
      <c r="P36" s="1937">
        <v>28074221</v>
      </c>
      <c r="Q36" s="1937">
        <v>27373333</v>
      </c>
      <c r="R36" s="1937">
        <v>27373801</v>
      </c>
      <c r="S36" s="1937">
        <v>27245419</v>
      </c>
      <c r="T36" s="1937">
        <v>27243012</v>
      </c>
      <c r="U36" s="1937">
        <v>27243000</v>
      </c>
      <c r="V36" s="1937">
        <v>27275220</v>
      </c>
      <c r="W36" s="1937">
        <v>334341292</v>
      </c>
      <c r="X36" s="2020"/>
      <c r="Y36" s="1937">
        <v>28808020</v>
      </c>
      <c r="Z36" s="1937">
        <v>28809983</v>
      </c>
      <c r="AA36" s="1937">
        <v>28868976</v>
      </c>
      <c r="AB36" s="1937">
        <v>27924215</v>
      </c>
      <c r="AC36" s="1937">
        <v>28112024</v>
      </c>
      <c r="AD36" s="1937">
        <v>28101263</v>
      </c>
      <c r="AE36" s="1937">
        <v>27382703</v>
      </c>
      <c r="AF36" s="1937">
        <v>27365017</v>
      </c>
      <c r="AG36" s="1937">
        <v>27232189</v>
      </c>
      <c r="AH36" s="1937">
        <v>27224693</v>
      </c>
      <c r="AI36" s="1937">
        <v>27224690</v>
      </c>
      <c r="AJ36" s="1937">
        <v>27225355</v>
      </c>
      <c r="AK36" s="1937">
        <v>334279129</v>
      </c>
      <c r="AL36" s="2020"/>
      <c r="AM36" s="2015"/>
    </row>
    <row r="37" spans="1:39">
      <c r="A37" s="2374" t="s">
        <v>1254</v>
      </c>
      <c r="B37" s="2374"/>
      <c r="C37" s="1937">
        <v>11597534</v>
      </c>
      <c r="D37" s="1937">
        <v>12667755</v>
      </c>
      <c r="E37" s="1937">
        <v>1070221</v>
      </c>
      <c r="F37" s="2020"/>
      <c r="G37" s="1937">
        <v>69061529</v>
      </c>
      <c r="H37" s="1937">
        <v>70909441</v>
      </c>
      <c r="I37" s="1937">
        <v>1847912</v>
      </c>
      <c r="J37" s="2020"/>
      <c r="K37" s="1937">
        <v>6132612</v>
      </c>
      <c r="L37" s="1937">
        <v>6535143</v>
      </c>
      <c r="M37" s="1937">
        <v>5876669</v>
      </c>
      <c r="N37" s="1937">
        <v>5818336</v>
      </c>
      <c r="O37" s="1937">
        <v>5818336</v>
      </c>
      <c r="P37" s="1937">
        <v>5818335</v>
      </c>
      <c r="Q37" s="1937">
        <v>5818336</v>
      </c>
      <c r="R37" s="1937">
        <v>5818336</v>
      </c>
      <c r="S37" s="1937">
        <v>5818336</v>
      </c>
      <c r="T37" s="1937">
        <v>5818336</v>
      </c>
      <c r="U37" s="1937">
        <v>5818336</v>
      </c>
      <c r="V37" s="1937">
        <v>5818335</v>
      </c>
      <c r="W37" s="1937">
        <v>70909441</v>
      </c>
      <c r="X37" s="2020"/>
      <c r="Y37" s="1937">
        <v>5799010</v>
      </c>
      <c r="Z37" s="1937">
        <v>5798524</v>
      </c>
      <c r="AA37" s="1937">
        <v>5799765</v>
      </c>
      <c r="AB37" s="1937">
        <v>5740423</v>
      </c>
      <c r="AC37" s="1937">
        <v>5741055</v>
      </c>
      <c r="AD37" s="1937">
        <v>5740250</v>
      </c>
      <c r="AE37" s="1937">
        <v>5740251</v>
      </c>
      <c r="AF37" s="1937">
        <v>5740251</v>
      </c>
      <c r="AG37" s="1937">
        <v>5741251</v>
      </c>
      <c r="AH37" s="1937">
        <v>5740251</v>
      </c>
      <c r="AI37" s="1937">
        <v>5740251</v>
      </c>
      <c r="AJ37" s="1937">
        <v>5740250</v>
      </c>
      <c r="AK37" s="1937">
        <v>69061529</v>
      </c>
      <c r="AL37" s="2020"/>
      <c r="AM37" s="2015"/>
    </row>
    <row r="38" spans="1:39">
      <c r="A38" s="2374" t="s">
        <v>1255</v>
      </c>
      <c r="B38" s="2374"/>
      <c r="C38" s="1937">
        <v>9756590</v>
      </c>
      <c r="D38" s="1937">
        <v>9669292</v>
      </c>
      <c r="E38" s="1936">
        <v>-87298</v>
      </c>
      <c r="F38" s="2020"/>
      <c r="G38" s="1937">
        <v>52394699</v>
      </c>
      <c r="H38" s="1937">
        <v>52094330</v>
      </c>
      <c r="I38" s="1936">
        <v>-300369</v>
      </c>
      <c r="J38" s="2020"/>
      <c r="K38" s="1937">
        <v>4586217</v>
      </c>
      <c r="L38" s="1937">
        <v>5083075</v>
      </c>
      <c r="M38" s="1937">
        <v>4716698</v>
      </c>
      <c r="N38" s="1937">
        <v>4568785</v>
      </c>
      <c r="O38" s="1937">
        <v>4566750</v>
      </c>
      <c r="P38" s="1937">
        <v>4595331</v>
      </c>
      <c r="Q38" s="1937">
        <v>4113180</v>
      </c>
      <c r="R38" s="1937">
        <v>4085114</v>
      </c>
      <c r="S38" s="1937">
        <v>3987267</v>
      </c>
      <c r="T38" s="1937">
        <v>3928695</v>
      </c>
      <c r="U38" s="1937">
        <v>3930637</v>
      </c>
      <c r="V38" s="1937">
        <v>3932585</v>
      </c>
      <c r="W38" s="1937">
        <v>52094330</v>
      </c>
      <c r="X38" s="2020"/>
      <c r="Y38" s="1937">
        <v>4722862</v>
      </c>
      <c r="Z38" s="1937">
        <v>5033728</v>
      </c>
      <c r="AA38" s="1937">
        <v>4780541</v>
      </c>
      <c r="AB38" s="1937">
        <v>4617451</v>
      </c>
      <c r="AC38" s="1937">
        <v>4601480</v>
      </c>
      <c r="AD38" s="1937">
        <v>4529715</v>
      </c>
      <c r="AE38" s="1937">
        <v>4181211</v>
      </c>
      <c r="AF38" s="1937">
        <v>4092766</v>
      </c>
      <c r="AG38" s="1937">
        <v>3977275</v>
      </c>
      <c r="AH38" s="1937">
        <v>3952060</v>
      </c>
      <c r="AI38" s="1937">
        <v>3956908</v>
      </c>
      <c r="AJ38" s="1937">
        <v>3948702</v>
      </c>
      <c r="AK38" s="1937">
        <v>52394699</v>
      </c>
      <c r="AL38" s="2020"/>
      <c r="AM38" s="2015"/>
    </row>
    <row r="39" spans="1:39">
      <c r="A39" s="2374" t="s">
        <v>765</v>
      </c>
      <c r="B39" s="2374"/>
      <c r="C39" s="1937">
        <v>1117687</v>
      </c>
      <c r="D39" s="1937">
        <v>1477261</v>
      </c>
      <c r="E39" s="1937">
        <v>359574</v>
      </c>
      <c r="F39" s="2020"/>
      <c r="G39" s="1937">
        <v>6690115</v>
      </c>
      <c r="H39" s="1937">
        <v>6881348</v>
      </c>
      <c r="I39" s="1937">
        <v>191233</v>
      </c>
      <c r="J39" s="2020"/>
      <c r="K39" s="1937">
        <v>741412</v>
      </c>
      <c r="L39" s="1937">
        <v>735849</v>
      </c>
      <c r="M39" s="1937">
        <v>622194</v>
      </c>
      <c r="N39" s="1937">
        <v>531914</v>
      </c>
      <c r="O39" s="1937">
        <v>528914</v>
      </c>
      <c r="P39" s="1937">
        <v>532293</v>
      </c>
      <c r="Q39" s="1937">
        <v>532295</v>
      </c>
      <c r="R39" s="1937">
        <v>531295</v>
      </c>
      <c r="S39" s="1937">
        <v>531293</v>
      </c>
      <c r="T39" s="1937">
        <v>531295</v>
      </c>
      <c r="U39" s="1937">
        <v>531295</v>
      </c>
      <c r="V39" s="1937">
        <v>531303</v>
      </c>
      <c r="W39" s="1937">
        <v>6881348</v>
      </c>
      <c r="X39" s="2020"/>
      <c r="Y39" s="1937">
        <v>558843</v>
      </c>
      <c r="Z39" s="1937">
        <v>558843</v>
      </c>
      <c r="AA39" s="1937">
        <v>557841</v>
      </c>
      <c r="AB39" s="1937">
        <v>558843</v>
      </c>
      <c r="AC39" s="1937">
        <v>557843</v>
      </c>
      <c r="AD39" s="1937">
        <v>556841</v>
      </c>
      <c r="AE39" s="1937">
        <v>557843</v>
      </c>
      <c r="AF39" s="1937">
        <v>556843</v>
      </c>
      <c r="AG39" s="1937">
        <v>555841</v>
      </c>
      <c r="AH39" s="1937">
        <v>556843</v>
      </c>
      <c r="AI39" s="1937">
        <v>556843</v>
      </c>
      <c r="AJ39" s="1937">
        <v>556848</v>
      </c>
      <c r="AK39" s="1937">
        <v>6690115</v>
      </c>
      <c r="AL39" s="2020"/>
      <c r="AM39" s="2015"/>
    </row>
    <row r="40" spans="1:39">
      <c r="A40" s="2374" t="s">
        <v>766</v>
      </c>
      <c r="B40" s="2374"/>
      <c r="C40" s="1937">
        <v>1048679</v>
      </c>
      <c r="D40" s="1937">
        <v>964789</v>
      </c>
      <c r="E40" s="1936">
        <v>-83890</v>
      </c>
      <c r="F40" s="2020"/>
      <c r="G40" s="1937">
        <v>6297295</v>
      </c>
      <c r="H40" s="1937">
        <v>5981394</v>
      </c>
      <c r="I40" s="1936">
        <v>-315900</v>
      </c>
      <c r="J40" s="2020"/>
      <c r="K40" s="1937">
        <v>493582</v>
      </c>
      <c r="L40" s="1937">
        <v>471207</v>
      </c>
      <c r="M40" s="1937">
        <v>516309</v>
      </c>
      <c r="N40" s="1937">
        <v>570945</v>
      </c>
      <c r="O40" s="1937">
        <v>563741</v>
      </c>
      <c r="P40" s="1937">
        <v>488026</v>
      </c>
      <c r="Q40" s="1937">
        <v>476151</v>
      </c>
      <c r="R40" s="1937">
        <v>484456</v>
      </c>
      <c r="S40" s="1937">
        <v>487467</v>
      </c>
      <c r="T40" s="1937">
        <v>472052</v>
      </c>
      <c r="U40" s="1937">
        <v>469200</v>
      </c>
      <c r="V40" s="1937">
        <v>488256</v>
      </c>
      <c r="W40" s="1937">
        <v>5981394</v>
      </c>
      <c r="X40" s="2020"/>
      <c r="Y40" s="1937">
        <v>508371</v>
      </c>
      <c r="Z40" s="1937">
        <v>540308</v>
      </c>
      <c r="AA40" s="1937">
        <v>593442</v>
      </c>
      <c r="AB40" s="1937">
        <v>562754</v>
      </c>
      <c r="AC40" s="1937">
        <v>533470</v>
      </c>
      <c r="AD40" s="1937">
        <v>511130</v>
      </c>
      <c r="AE40" s="1937">
        <v>533054</v>
      </c>
      <c r="AF40" s="1937">
        <v>532197</v>
      </c>
      <c r="AG40" s="1937">
        <v>494890</v>
      </c>
      <c r="AH40" s="1937">
        <v>496890</v>
      </c>
      <c r="AI40" s="1937">
        <v>496892</v>
      </c>
      <c r="AJ40" s="1937">
        <v>493897</v>
      </c>
      <c r="AK40" s="1937">
        <v>6297295</v>
      </c>
      <c r="AL40" s="2020"/>
      <c r="AM40" s="2015"/>
    </row>
    <row r="41" spans="1:39">
      <c r="A41" s="2374" t="s">
        <v>767</v>
      </c>
      <c r="B41" s="2374"/>
      <c r="C41" s="1937">
        <v>201707</v>
      </c>
      <c r="D41" s="1937">
        <v>220456</v>
      </c>
      <c r="E41" s="1937">
        <v>18749</v>
      </c>
      <c r="F41" s="2020"/>
      <c r="G41" s="1937">
        <v>1210235</v>
      </c>
      <c r="H41" s="1937">
        <v>1209286</v>
      </c>
      <c r="I41" s="1936">
        <v>-949</v>
      </c>
      <c r="J41" s="2020"/>
      <c r="K41" s="1937">
        <v>91254</v>
      </c>
      <c r="L41" s="1937">
        <v>129203</v>
      </c>
      <c r="M41" s="1937">
        <v>101133</v>
      </c>
      <c r="N41" s="1937">
        <v>98633</v>
      </c>
      <c r="O41" s="1937">
        <v>98633</v>
      </c>
      <c r="P41" s="1937">
        <v>98633</v>
      </c>
      <c r="Q41" s="1937">
        <v>98633</v>
      </c>
      <c r="R41" s="1937">
        <v>98633</v>
      </c>
      <c r="S41" s="1937">
        <v>98633</v>
      </c>
      <c r="T41" s="1937">
        <v>98633</v>
      </c>
      <c r="U41" s="1937">
        <v>98633</v>
      </c>
      <c r="V41" s="1937">
        <v>98630</v>
      </c>
      <c r="W41" s="1937">
        <v>1209286</v>
      </c>
      <c r="X41" s="2020"/>
      <c r="Y41" s="1937">
        <v>100853</v>
      </c>
      <c r="Z41" s="1937">
        <v>100854</v>
      </c>
      <c r="AA41" s="1937">
        <v>100853</v>
      </c>
      <c r="AB41" s="1937">
        <v>100853</v>
      </c>
      <c r="AC41" s="1937">
        <v>100853</v>
      </c>
      <c r="AD41" s="1937">
        <v>100853</v>
      </c>
      <c r="AE41" s="1937">
        <v>100853</v>
      </c>
      <c r="AF41" s="1937">
        <v>100853</v>
      </c>
      <c r="AG41" s="1937">
        <v>100853</v>
      </c>
      <c r="AH41" s="1937">
        <v>100853</v>
      </c>
      <c r="AI41" s="1937">
        <v>100853</v>
      </c>
      <c r="AJ41" s="1937">
        <v>100855</v>
      </c>
      <c r="AK41" s="1937">
        <v>1210235</v>
      </c>
      <c r="AL41" s="2020"/>
      <c r="AM41" s="2015"/>
    </row>
    <row r="42" spans="1:39">
      <c r="A42" s="2374" t="s">
        <v>548</v>
      </c>
      <c r="B42" s="2374"/>
      <c r="C42" s="1937">
        <v>3499000</v>
      </c>
      <c r="D42" s="1937">
        <v>3374974</v>
      </c>
      <c r="E42" s="1936">
        <v>-124026</v>
      </c>
      <c r="F42" s="2020"/>
      <c r="G42" s="1937">
        <v>20853006</v>
      </c>
      <c r="H42" s="1937">
        <v>20296552</v>
      </c>
      <c r="I42" s="1936">
        <v>-556454</v>
      </c>
      <c r="J42" s="2020"/>
      <c r="K42" s="1937">
        <v>1688065</v>
      </c>
      <c r="L42" s="1937">
        <v>1686909</v>
      </c>
      <c r="M42" s="1937">
        <v>1762472</v>
      </c>
      <c r="N42" s="1937">
        <v>1647460</v>
      </c>
      <c r="O42" s="1937">
        <v>1609745</v>
      </c>
      <c r="P42" s="1937">
        <v>1572627</v>
      </c>
      <c r="Q42" s="1937">
        <v>1717951</v>
      </c>
      <c r="R42" s="1937">
        <v>1731344</v>
      </c>
      <c r="S42" s="1937">
        <v>1715943</v>
      </c>
      <c r="T42" s="1937">
        <v>1713774</v>
      </c>
      <c r="U42" s="1937">
        <v>1705445</v>
      </c>
      <c r="V42" s="1937">
        <v>1744817</v>
      </c>
      <c r="W42" s="1937">
        <v>20296552</v>
      </c>
      <c r="X42" s="2020"/>
      <c r="Y42" s="1937">
        <v>1747000</v>
      </c>
      <c r="Z42" s="1937">
        <v>1752000</v>
      </c>
      <c r="AA42" s="1937">
        <v>1771000</v>
      </c>
      <c r="AB42" s="1937">
        <v>1691111</v>
      </c>
      <c r="AC42" s="1937">
        <v>1658111</v>
      </c>
      <c r="AD42" s="1937">
        <v>1622112</v>
      </c>
      <c r="AE42" s="1937">
        <v>1757112</v>
      </c>
      <c r="AF42" s="1937">
        <v>1760111</v>
      </c>
      <c r="AG42" s="1937">
        <v>1762112</v>
      </c>
      <c r="AH42" s="1937">
        <v>1770112</v>
      </c>
      <c r="AI42" s="1937">
        <v>1762111</v>
      </c>
      <c r="AJ42" s="1937">
        <v>1800114</v>
      </c>
      <c r="AK42" s="1937">
        <v>20853006</v>
      </c>
      <c r="AL42" s="2020"/>
      <c r="AM42" s="2015"/>
    </row>
    <row r="43" spans="1:39">
      <c r="A43" s="2374" t="s">
        <v>1256</v>
      </c>
      <c r="B43" s="2374"/>
      <c r="C43" s="1937">
        <v>1049076</v>
      </c>
      <c r="D43" s="1937">
        <v>1294139</v>
      </c>
      <c r="E43" s="1937">
        <v>245063</v>
      </c>
      <c r="F43" s="2020"/>
      <c r="G43" s="1937">
        <v>6071624</v>
      </c>
      <c r="H43" s="1937">
        <v>5986866</v>
      </c>
      <c r="I43" s="1936">
        <v>-84758</v>
      </c>
      <c r="J43" s="2020"/>
      <c r="K43" s="1937">
        <v>656040</v>
      </c>
      <c r="L43" s="1937">
        <v>638099</v>
      </c>
      <c r="M43" s="1937">
        <v>527825</v>
      </c>
      <c r="N43" s="1937">
        <v>512302</v>
      </c>
      <c r="O43" s="1937">
        <v>475022</v>
      </c>
      <c r="P43" s="1937">
        <v>452522</v>
      </c>
      <c r="Q43" s="1937">
        <v>452522</v>
      </c>
      <c r="R43" s="1937">
        <v>452522</v>
      </c>
      <c r="S43" s="1937">
        <v>455002</v>
      </c>
      <c r="T43" s="1937">
        <v>455002</v>
      </c>
      <c r="U43" s="1937">
        <v>455002</v>
      </c>
      <c r="V43" s="1937">
        <v>455004</v>
      </c>
      <c r="W43" s="1937">
        <v>5986866</v>
      </c>
      <c r="X43" s="2020"/>
      <c r="Y43" s="1937">
        <v>524538</v>
      </c>
      <c r="Z43" s="1937">
        <v>524538</v>
      </c>
      <c r="AA43" s="1937">
        <v>524783</v>
      </c>
      <c r="AB43" s="1937">
        <v>499752</v>
      </c>
      <c r="AC43" s="1937">
        <v>499751</v>
      </c>
      <c r="AD43" s="1937">
        <v>499751</v>
      </c>
      <c r="AE43" s="1937">
        <v>499751</v>
      </c>
      <c r="AF43" s="1937">
        <v>499751</v>
      </c>
      <c r="AG43" s="1937">
        <v>499751</v>
      </c>
      <c r="AH43" s="1937">
        <v>499751</v>
      </c>
      <c r="AI43" s="1937">
        <v>499751</v>
      </c>
      <c r="AJ43" s="1937">
        <v>499753</v>
      </c>
      <c r="AK43" s="1937">
        <v>6071624</v>
      </c>
      <c r="AL43" s="2020"/>
      <c r="AM43" s="2015"/>
    </row>
    <row r="44" spans="1:39">
      <c r="A44" s="2374" t="s">
        <v>1300</v>
      </c>
      <c r="B44" s="2374"/>
      <c r="C44" s="1937">
        <v>438011</v>
      </c>
      <c r="D44" s="1937">
        <v>733368</v>
      </c>
      <c r="E44" s="1937">
        <v>295356</v>
      </c>
      <c r="F44" s="2020"/>
      <c r="G44" s="1937">
        <v>2533070</v>
      </c>
      <c r="H44" s="1937">
        <v>3380644</v>
      </c>
      <c r="I44" s="1937">
        <v>847574</v>
      </c>
      <c r="J44" s="2020"/>
      <c r="K44" s="1937">
        <v>66237</v>
      </c>
      <c r="L44" s="1937">
        <v>667131</v>
      </c>
      <c r="M44" s="1937">
        <v>1125579</v>
      </c>
      <c r="N44" s="1937">
        <v>1116638</v>
      </c>
      <c r="O44" s="1937">
        <v>68208</v>
      </c>
      <c r="P44" s="1937">
        <v>68209</v>
      </c>
      <c r="Q44" s="1937">
        <v>66208</v>
      </c>
      <c r="R44" s="1937">
        <v>66598</v>
      </c>
      <c r="S44" s="1937">
        <v>51809</v>
      </c>
      <c r="T44" s="1937">
        <v>28008</v>
      </c>
      <c r="U44" s="1937">
        <v>28008</v>
      </c>
      <c r="V44" s="1937">
        <v>28009</v>
      </c>
      <c r="W44" s="1937">
        <v>3380644</v>
      </c>
      <c r="X44" s="2020"/>
      <c r="Y44" s="1937">
        <v>228505</v>
      </c>
      <c r="Z44" s="1937">
        <v>209506</v>
      </c>
      <c r="AA44" s="1937">
        <v>209506</v>
      </c>
      <c r="AB44" s="1937">
        <v>209505</v>
      </c>
      <c r="AC44" s="1937">
        <v>209506</v>
      </c>
      <c r="AD44" s="1937">
        <v>209507</v>
      </c>
      <c r="AE44" s="1937">
        <v>209506</v>
      </c>
      <c r="AF44" s="1937">
        <v>209506</v>
      </c>
      <c r="AG44" s="1937">
        <v>209507</v>
      </c>
      <c r="AH44" s="1937">
        <v>209506</v>
      </c>
      <c r="AI44" s="1937">
        <v>209506</v>
      </c>
      <c r="AJ44" s="1937">
        <v>209507</v>
      </c>
      <c r="AK44" s="1937">
        <v>2533070</v>
      </c>
      <c r="AL44" s="2020"/>
      <c r="AM44" s="2015"/>
    </row>
    <row r="45" spans="1:39">
      <c r="A45" s="2374" t="s">
        <v>769</v>
      </c>
      <c r="B45" s="2374"/>
      <c r="C45" s="1936">
        <v>-395</v>
      </c>
      <c r="D45" s="1937">
        <v>216555</v>
      </c>
      <c r="E45" s="1937">
        <v>216950</v>
      </c>
      <c r="F45" s="2020"/>
      <c r="G45" s="1936">
        <v>-423</v>
      </c>
      <c r="H45" s="1937">
        <v>578869</v>
      </c>
      <c r="I45" s="1937">
        <v>579292</v>
      </c>
      <c r="J45" s="2020"/>
      <c r="K45" s="1937">
        <v>116687</v>
      </c>
      <c r="L45" s="1937">
        <v>99868</v>
      </c>
      <c r="M45" s="1937">
        <v>18314</v>
      </c>
      <c r="N45" s="1937">
        <v>14435</v>
      </c>
      <c r="O45" s="1937">
        <v>48085</v>
      </c>
      <c r="P45" s="1937">
        <v>50525</v>
      </c>
      <c r="Q45" s="1937">
        <v>50869</v>
      </c>
      <c r="R45" s="1937">
        <v>37120</v>
      </c>
      <c r="S45" s="1937">
        <v>24238</v>
      </c>
      <c r="T45" s="1937">
        <v>64448</v>
      </c>
      <c r="U45" s="1937">
        <v>37626</v>
      </c>
      <c r="V45" s="1937">
        <v>16651</v>
      </c>
      <c r="W45" s="1937">
        <v>578869</v>
      </c>
      <c r="X45" s="2020"/>
      <c r="Y45" s="1936">
        <v>-69500</v>
      </c>
      <c r="Z45" s="1937">
        <v>69105</v>
      </c>
      <c r="AA45" s="1937">
        <v>1043</v>
      </c>
      <c r="AB45" s="1936">
        <v>-477</v>
      </c>
      <c r="AC45" s="1937">
        <v>56</v>
      </c>
      <c r="AD45" s="1936">
        <v>-260</v>
      </c>
      <c r="AE45" s="1937">
        <v>595</v>
      </c>
      <c r="AF45" s="1937">
        <v>272</v>
      </c>
      <c r="AG45" s="1936">
        <v>-431</v>
      </c>
      <c r="AH45" s="1936">
        <v>-368</v>
      </c>
      <c r="AI45" s="1936">
        <v>-444</v>
      </c>
      <c r="AJ45" s="1936">
        <v>-15</v>
      </c>
      <c r="AK45" s="1936">
        <v>-423</v>
      </c>
      <c r="AL45" s="2020"/>
      <c r="AM45" s="2015"/>
    </row>
    <row r="46" spans="1:39">
      <c r="A46" s="2374" t="s">
        <v>1257</v>
      </c>
      <c r="B46" s="2374"/>
      <c r="C46" s="1937">
        <v>3212851</v>
      </c>
      <c r="D46" s="1937">
        <v>3212550</v>
      </c>
      <c r="E46" s="1936">
        <v>-300</v>
      </c>
      <c r="F46" s="2020"/>
      <c r="G46" s="1937">
        <v>19277103</v>
      </c>
      <c r="H46" s="1937">
        <v>19276808</v>
      </c>
      <c r="I46" s="1936">
        <v>-295</v>
      </c>
      <c r="J46" s="2020"/>
      <c r="K46" s="1937">
        <v>1606275</v>
      </c>
      <c r="L46" s="1937">
        <v>1606275</v>
      </c>
      <c r="M46" s="1937">
        <v>1606426</v>
      </c>
      <c r="N46" s="1937">
        <v>1606426</v>
      </c>
      <c r="O46" s="1937">
        <v>1606426</v>
      </c>
      <c r="P46" s="1937">
        <v>1606426</v>
      </c>
      <c r="Q46" s="1937">
        <v>1606426</v>
      </c>
      <c r="R46" s="1937">
        <v>1606426</v>
      </c>
      <c r="S46" s="1937">
        <v>1606426</v>
      </c>
      <c r="T46" s="1937">
        <v>1606426</v>
      </c>
      <c r="U46" s="1937">
        <v>1606426</v>
      </c>
      <c r="V46" s="1937">
        <v>1606426</v>
      </c>
      <c r="W46" s="1937">
        <v>19276808</v>
      </c>
      <c r="X46" s="2020"/>
      <c r="Y46" s="1937">
        <v>1606425</v>
      </c>
      <c r="Z46" s="1937">
        <v>1606425</v>
      </c>
      <c r="AA46" s="1937">
        <v>1606425</v>
      </c>
      <c r="AB46" s="1937">
        <v>1606425</v>
      </c>
      <c r="AC46" s="1937">
        <v>1606425</v>
      </c>
      <c r="AD46" s="1937">
        <v>1606425</v>
      </c>
      <c r="AE46" s="1937">
        <v>1606425</v>
      </c>
      <c r="AF46" s="1937">
        <v>1606425</v>
      </c>
      <c r="AG46" s="1937">
        <v>1606425</v>
      </c>
      <c r="AH46" s="1937">
        <v>1606425</v>
      </c>
      <c r="AI46" s="1937">
        <v>1606425</v>
      </c>
      <c r="AJ46" s="1937">
        <v>1606425</v>
      </c>
      <c r="AK46" s="1937">
        <v>19277103</v>
      </c>
      <c r="AL46" s="2020"/>
      <c r="AM46" s="2015"/>
    </row>
    <row r="47" spans="1:39">
      <c r="A47" s="2374" t="s">
        <v>768</v>
      </c>
      <c r="B47" s="2374"/>
      <c r="C47" s="1937">
        <v>690122</v>
      </c>
      <c r="D47" s="1937">
        <v>583005</v>
      </c>
      <c r="E47" s="1936">
        <v>-107117</v>
      </c>
      <c r="F47" s="2020"/>
      <c r="G47" s="1937">
        <v>4140733</v>
      </c>
      <c r="H47" s="1937">
        <v>3927899</v>
      </c>
      <c r="I47" s="1936">
        <v>-212834</v>
      </c>
      <c r="J47" s="2020"/>
      <c r="K47" s="1937">
        <v>343081</v>
      </c>
      <c r="L47" s="1937">
        <v>239923</v>
      </c>
      <c r="M47" s="1937">
        <v>327028</v>
      </c>
      <c r="N47" s="1937">
        <v>330153</v>
      </c>
      <c r="O47" s="1937">
        <v>331563</v>
      </c>
      <c r="P47" s="1937">
        <v>331086</v>
      </c>
      <c r="Q47" s="1937">
        <v>374281</v>
      </c>
      <c r="R47" s="1937">
        <v>329001</v>
      </c>
      <c r="S47" s="1937">
        <v>327901</v>
      </c>
      <c r="T47" s="1937">
        <v>330596</v>
      </c>
      <c r="U47" s="1937">
        <v>327480</v>
      </c>
      <c r="V47" s="1937">
        <v>335807</v>
      </c>
      <c r="W47" s="1937">
        <v>3927899</v>
      </c>
      <c r="X47" s="2020"/>
      <c r="Y47" s="1937">
        <v>345061</v>
      </c>
      <c r="Z47" s="1937">
        <v>345061</v>
      </c>
      <c r="AA47" s="1937">
        <v>345062</v>
      </c>
      <c r="AB47" s="1937">
        <v>345062</v>
      </c>
      <c r="AC47" s="1937">
        <v>345062</v>
      </c>
      <c r="AD47" s="1937">
        <v>345062</v>
      </c>
      <c r="AE47" s="1937">
        <v>345062</v>
      </c>
      <c r="AF47" s="1937">
        <v>345062</v>
      </c>
      <c r="AG47" s="1937">
        <v>345062</v>
      </c>
      <c r="AH47" s="1937">
        <v>345062</v>
      </c>
      <c r="AI47" s="1937">
        <v>345062</v>
      </c>
      <c r="AJ47" s="1937">
        <v>345054</v>
      </c>
      <c r="AK47" s="1937">
        <v>4140733</v>
      </c>
      <c r="AL47" s="2020"/>
      <c r="AM47" s="2015"/>
    </row>
    <row r="48" spans="1:39">
      <c r="A48" s="2374" t="s">
        <v>764</v>
      </c>
      <c r="B48" s="2374"/>
      <c r="C48" s="1937">
        <v>1395540</v>
      </c>
      <c r="D48" s="1937">
        <v>1932467</v>
      </c>
      <c r="E48" s="1937">
        <v>536926</v>
      </c>
      <c r="F48" s="2020"/>
      <c r="G48" s="1937">
        <v>8373238</v>
      </c>
      <c r="H48" s="1937">
        <v>8763124</v>
      </c>
      <c r="I48" s="1937">
        <v>389886</v>
      </c>
      <c r="J48" s="2020"/>
      <c r="K48" s="1937">
        <v>845650</v>
      </c>
      <c r="L48" s="1937">
        <v>1086816</v>
      </c>
      <c r="M48" s="1937">
        <v>666450</v>
      </c>
      <c r="N48" s="1937">
        <v>665700</v>
      </c>
      <c r="O48" s="1937">
        <v>665700</v>
      </c>
      <c r="P48" s="1937">
        <v>682878</v>
      </c>
      <c r="Q48" s="1937">
        <v>686672</v>
      </c>
      <c r="R48" s="1937">
        <v>686672</v>
      </c>
      <c r="S48" s="1937">
        <v>694966</v>
      </c>
      <c r="T48" s="1937">
        <v>691062</v>
      </c>
      <c r="U48" s="1937">
        <v>691062</v>
      </c>
      <c r="V48" s="1937">
        <v>699492</v>
      </c>
      <c r="W48" s="1937">
        <v>8763124</v>
      </c>
      <c r="X48" s="2020"/>
      <c r="Y48" s="1937">
        <v>939270</v>
      </c>
      <c r="Z48" s="1937">
        <v>456271</v>
      </c>
      <c r="AA48" s="1937">
        <v>697770</v>
      </c>
      <c r="AB48" s="1937">
        <v>697770</v>
      </c>
      <c r="AC48" s="1937">
        <v>697770</v>
      </c>
      <c r="AD48" s="1937">
        <v>697770</v>
      </c>
      <c r="AE48" s="1937">
        <v>697770</v>
      </c>
      <c r="AF48" s="1937">
        <v>697770</v>
      </c>
      <c r="AG48" s="1937">
        <v>697770</v>
      </c>
      <c r="AH48" s="1937">
        <v>697770</v>
      </c>
      <c r="AI48" s="1937">
        <v>697770</v>
      </c>
      <c r="AJ48" s="1937">
        <v>697765</v>
      </c>
      <c r="AK48" s="1937">
        <v>8373238</v>
      </c>
      <c r="AL48" s="2020"/>
      <c r="AM48" s="2015"/>
    </row>
    <row r="49" spans="1:39">
      <c r="A49" s="2374" t="s">
        <v>1301</v>
      </c>
      <c r="B49" s="2374"/>
      <c r="C49" s="1937">
        <v>49186</v>
      </c>
      <c r="D49" s="1937">
        <v>39519</v>
      </c>
      <c r="E49" s="1936">
        <v>-9667</v>
      </c>
      <c r="F49" s="2020"/>
      <c r="G49" s="1937">
        <v>295118</v>
      </c>
      <c r="H49" s="1937">
        <v>277085</v>
      </c>
      <c r="I49" s="1936">
        <v>-18032</v>
      </c>
      <c r="J49" s="2020"/>
      <c r="K49" s="1937">
        <v>21534</v>
      </c>
      <c r="L49" s="1937">
        <v>17985</v>
      </c>
      <c r="M49" s="1937">
        <v>24317</v>
      </c>
      <c r="N49" s="1937">
        <v>22317</v>
      </c>
      <c r="O49" s="1937">
        <v>22317</v>
      </c>
      <c r="P49" s="1937">
        <v>24317</v>
      </c>
      <c r="Q49" s="1937">
        <v>24717</v>
      </c>
      <c r="R49" s="1937">
        <v>24317</v>
      </c>
      <c r="S49" s="1937">
        <v>24317</v>
      </c>
      <c r="T49" s="1937">
        <v>22317</v>
      </c>
      <c r="U49" s="1937">
        <v>24317</v>
      </c>
      <c r="V49" s="1937">
        <v>24317</v>
      </c>
      <c r="W49" s="1937">
        <v>277085</v>
      </c>
      <c r="X49" s="2020"/>
      <c r="Y49" s="1937">
        <v>24593</v>
      </c>
      <c r="Z49" s="1937">
        <v>24593</v>
      </c>
      <c r="AA49" s="1937">
        <v>24593</v>
      </c>
      <c r="AB49" s="1937">
        <v>24593</v>
      </c>
      <c r="AC49" s="1937">
        <v>24593</v>
      </c>
      <c r="AD49" s="1937">
        <v>24593</v>
      </c>
      <c r="AE49" s="1937">
        <v>24593</v>
      </c>
      <c r="AF49" s="1937">
        <v>24593</v>
      </c>
      <c r="AG49" s="1937">
        <v>24593</v>
      </c>
      <c r="AH49" s="1937">
        <v>24593</v>
      </c>
      <c r="AI49" s="1937">
        <v>24593</v>
      </c>
      <c r="AJ49" s="1937">
        <v>24593</v>
      </c>
      <c r="AK49" s="1937">
        <v>295118</v>
      </c>
      <c r="AL49" s="2020"/>
      <c r="AM49" s="2015"/>
    </row>
    <row r="50" spans="1:39">
      <c r="A50" s="2374" t="s">
        <v>770</v>
      </c>
      <c r="B50" s="2374"/>
      <c r="C50" s="1937">
        <v>34055588</v>
      </c>
      <c r="D50" s="1937">
        <v>36386129</v>
      </c>
      <c r="E50" s="1937">
        <v>2330541</v>
      </c>
      <c r="F50" s="2020"/>
      <c r="G50" s="1937">
        <v>197197342</v>
      </c>
      <c r="H50" s="1937">
        <v>199563646</v>
      </c>
      <c r="I50" s="1937">
        <v>2366304</v>
      </c>
      <c r="J50" s="2020"/>
      <c r="K50" s="1937">
        <v>17388646</v>
      </c>
      <c r="L50" s="1937">
        <v>18997483</v>
      </c>
      <c r="M50" s="1937">
        <v>17891415</v>
      </c>
      <c r="N50" s="1937">
        <v>17504044</v>
      </c>
      <c r="O50" s="1937">
        <v>16403439</v>
      </c>
      <c r="P50" s="1937">
        <v>16321207</v>
      </c>
      <c r="Q50" s="1937">
        <v>16018240</v>
      </c>
      <c r="R50" s="1937">
        <v>15951833</v>
      </c>
      <c r="S50" s="1937">
        <v>15823597</v>
      </c>
      <c r="T50" s="1937">
        <v>15760643</v>
      </c>
      <c r="U50" s="1937">
        <v>15723467</v>
      </c>
      <c r="V50" s="1937">
        <v>15779631</v>
      </c>
      <c r="W50" s="1937">
        <v>199563646</v>
      </c>
      <c r="X50" s="2020"/>
      <c r="Y50" s="1937">
        <v>17035831</v>
      </c>
      <c r="Z50" s="1937">
        <v>17019757</v>
      </c>
      <c r="AA50" s="1937">
        <v>17012625</v>
      </c>
      <c r="AB50" s="1937">
        <v>16654065</v>
      </c>
      <c r="AC50" s="1937">
        <v>16575976</v>
      </c>
      <c r="AD50" s="1937">
        <v>16443749</v>
      </c>
      <c r="AE50" s="1937">
        <v>16254024</v>
      </c>
      <c r="AF50" s="1937">
        <v>16166400</v>
      </c>
      <c r="AG50" s="1937">
        <v>16014899</v>
      </c>
      <c r="AH50" s="1937">
        <v>15999748</v>
      </c>
      <c r="AI50" s="1937">
        <v>15996521</v>
      </c>
      <c r="AJ50" s="1937">
        <v>16023747</v>
      </c>
      <c r="AK50" s="1937">
        <v>197197342</v>
      </c>
      <c r="AL50" s="2020"/>
      <c r="AM50" s="2015"/>
    </row>
    <row r="51" spans="1:39">
      <c r="A51" s="2374" t="s">
        <v>1258</v>
      </c>
      <c r="B51" s="2374"/>
      <c r="C51" s="1936"/>
      <c r="D51" s="1936"/>
      <c r="E51" s="1936"/>
      <c r="F51" s="2020"/>
      <c r="G51" s="1936"/>
      <c r="H51" s="1936"/>
      <c r="I51" s="1936"/>
      <c r="J51" s="2020"/>
      <c r="K51" s="1936"/>
      <c r="L51" s="1936"/>
      <c r="M51" s="1936"/>
      <c r="N51" s="1936"/>
      <c r="O51" s="1936"/>
      <c r="P51" s="1936"/>
      <c r="Q51" s="1936"/>
      <c r="R51" s="1936"/>
      <c r="S51" s="1936"/>
      <c r="T51" s="1936"/>
      <c r="U51" s="1936"/>
      <c r="V51" s="1936"/>
      <c r="W51" s="1936"/>
      <c r="X51" s="2020"/>
      <c r="Y51" s="1936"/>
      <c r="Z51" s="1936"/>
      <c r="AA51" s="1936"/>
      <c r="AB51" s="1936"/>
      <c r="AC51" s="1936"/>
      <c r="AD51" s="1936"/>
      <c r="AE51" s="1936"/>
      <c r="AF51" s="1936"/>
      <c r="AG51" s="1936"/>
      <c r="AH51" s="1936"/>
      <c r="AI51" s="1936"/>
      <c r="AJ51" s="1936"/>
      <c r="AK51" s="1936"/>
      <c r="AL51" s="2020"/>
      <c r="AM51" s="2015"/>
    </row>
    <row r="52" spans="1:39">
      <c r="A52" s="2374" t="s">
        <v>1259</v>
      </c>
      <c r="B52" s="2374"/>
      <c r="C52" s="1936"/>
      <c r="D52" s="1936"/>
      <c r="E52" s="1936"/>
      <c r="F52" s="2020"/>
      <c r="G52" s="1936"/>
      <c r="H52" s="1936"/>
      <c r="I52" s="1936"/>
      <c r="J52" s="2020"/>
      <c r="K52" s="1936"/>
      <c r="L52" s="1936"/>
      <c r="M52" s="1936"/>
      <c r="N52" s="1936"/>
      <c r="O52" s="1936"/>
      <c r="P52" s="1936"/>
      <c r="Q52" s="1936"/>
      <c r="R52" s="1936"/>
      <c r="S52" s="1936"/>
      <c r="T52" s="1936"/>
      <c r="U52" s="1936"/>
      <c r="V52" s="1936"/>
      <c r="W52" s="1936"/>
      <c r="X52" s="2020"/>
      <c r="Y52" s="1936"/>
      <c r="Z52" s="1936"/>
      <c r="AA52" s="1936"/>
      <c r="AB52" s="1936"/>
      <c r="AC52" s="1936"/>
      <c r="AD52" s="1936"/>
      <c r="AE52" s="1936"/>
      <c r="AF52" s="1936"/>
      <c r="AG52" s="1936"/>
      <c r="AH52" s="1936"/>
      <c r="AI52" s="1936"/>
      <c r="AJ52" s="1936"/>
      <c r="AK52" s="1936"/>
      <c r="AL52" s="2020"/>
      <c r="AM52" s="2015"/>
    </row>
    <row r="53" spans="1:39">
      <c r="A53" s="2374" t="s">
        <v>1277</v>
      </c>
      <c r="B53" s="2374"/>
      <c r="C53" s="1936"/>
      <c r="D53" s="1936"/>
      <c r="E53" s="1936"/>
      <c r="F53" s="2020"/>
      <c r="G53" s="1936"/>
      <c r="H53" s="1936"/>
      <c r="I53" s="1936"/>
      <c r="J53" s="2020"/>
      <c r="K53" s="1936"/>
      <c r="L53" s="1936"/>
      <c r="M53" s="1936"/>
      <c r="N53" s="1936"/>
      <c r="O53" s="1936"/>
      <c r="P53" s="1936"/>
      <c r="Q53" s="1936"/>
      <c r="R53" s="1936"/>
      <c r="S53" s="1936"/>
      <c r="T53" s="1936"/>
      <c r="U53" s="1936"/>
      <c r="V53" s="1936"/>
      <c r="W53" s="1936"/>
      <c r="X53" s="2020"/>
      <c r="Y53" s="1936"/>
      <c r="Z53" s="1936"/>
      <c r="AA53" s="1936"/>
      <c r="AB53" s="1936"/>
      <c r="AC53" s="1936"/>
      <c r="AD53" s="1936"/>
      <c r="AE53" s="1936"/>
      <c r="AF53" s="1936"/>
      <c r="AG53" s="1936"/>
      <c r="AH53" s="1936"/>
      <c r="AI53" s="1936"/>
      <c r="AJ53" s="1936"/>
      <c r="AK53" s="1936"/>
      <c r="AL53" s="2020"/>
      <c r="AM53" s="2015"/>
    </row>
    <row r="54" spans="1:39">
      <c r="A54" s="2374" t="s">
        <v>1260</v>
      </c>
      <c r="B54" s="2374"/>
      <c r="C54" s="1936"/>
      <c r="D54" s="1936"/>
      <c r="E54" s="1936"/>
      <c r="F54" s="2020"/>
      <c r="G54" s="1936"/>
      <c r="H54" s="1936"/>
      <c r="I54" s="1936"/>
      <c r="J54" s="2020"/>
      <c r="K54" s="1936"/>
      <c r="L54" s="1936"/>
      <c r="M54" s="1936"/>
      <c r="N54" s="1936"/>
      <c r="O54" s="1936"/>
      <c r="P54" s="1936"/>
      <c r="Q54" s="1936"/>
      <c r="R54" s="1936"/>
      <c r="S54" s="1936"/>
      <c r="T54" s="1936"/>
      <c r="U54" s="1936"/>
      <c r="V54" s="1936"/>
      <c r="W54" s="1936"/>
      <c r="X54" s="2020"/>
      <c r="Y54" s="1936"/>
      <c r="Z54" s="1936"/>
      <c r="AA54" s="1936"/>
      <c r="AB54" s="1936"/>
      <c r="AC54" s="1936"/>
      <c r="AD54" s="1936"/>
      <c r="AE54" s="1936"/>
      <c r="AF54" s="1936"/>
      <c r="AG54" s="1936"/>
      <c r="AH54" s="1936"/>
      <c r="AI54" s="1936"/>
      <c r="AJ54" s="1936"/>
      <c r="AK54" s="1936"/>
      <c r="AL54" s="2020"/>
      <c r="AM54" s="2015"/>
    </row>
    <row r="55" spans="1:39">
      <c r="A55" s="2374" t="s">
        <v>717</v>
      </c>
      <c r="B55" s="2374"/>
      <c r="C55" s="1937">
        <v>91673590</v>
      </c>
      <c r="D55" s="1937">
        <v>93978675</v>
      </c>
      <c r="E55" s="1937">
        <v>2305085</v>
      </c>
      <c r="F55" s="2020"/>
      <c r="G55" s="1937">
        <v>531476471</v>
      </c>
      <c r="H55" s="1937">
        <v>533904938</v>
      </c>
      <c r="I55" s="1937">
        <v>2428467</v>
      </c>
      <c r="J55" s="2020"/>
      <c r="K55" s="1937">
        <v>46356442</v>
      </c>
      <c r="L55" s="1937">
        <v>47622233</v>
      </c>
      <c r="M55" s="1937">
        <v>46720435</v>
      </c>
      <c r="N55" s="1937">
        <v>45558065</v>
      </c>
      <c r="O55" s="1937">
        <v>44441138</v>
      </c>
      <c r="P55" s="1937">
        <v>44395429</v>
      </c>
      <c r="Q55" s="1937">
        <v>43391573</v>
      </c>
      <c r="R55" s="1937">
        <v>43325634</v>
      </c>
      <c r="S55" s="1937">
        <v>43069017</v>
      </c>
      <c r="T55" s="1937">
        <v>43003655</v>
      </c>
      <c r="U55" s="1937">
        <v>42966466</v>
      </c>
      <c r="V55" s="1937">
        <v>43054851</v>
      </c>
      <c r="W55" s="1937">
        <v>533904938</v>
      </c>
      <c r="X55" s="2020"/>
      <c r="Y55" s="1937">
        <v>45843850</v>
      </c>
      <c r="Z55" s="1937">
        <v>45829740</v>
      </c>
      <c r="AA55" s="1937">
        <v>45881600</v>
      </c>
      <c r="AB55" s="1937">
        <v>44578280</v>
      </c>
      <c r="AC55" s="1937">
        <v>44688000</v>
      </c>
      <c r="AD55" s="1937">
        <v>44545012</v>
      </c>
      <c r="AE55" s="1937">
        <v>43636728</v>
      </c>
      <c r="AF55" s="1937">
        <v>43531417</v>
      </c>
      <c r="AG55" s="1937">
        <v>43247088</v>
      </c>
      <c r="AH55" s="1937">
        <v>43224441</v>
      </c>
      <c r="AI55" s="1937">
        <v>43221211</v>
      </c>
      <c r="AJ55" s="1937">
        <v>43249103</v>
      </c>
      <c r="AK55" s="1937">
        <v>531476471</v>
      </c>
      <c r="AL55" s="2020"/>
      <c r="AM55" s="2015"/>
    </row>
    <row r="56" spans="1:39">
      <c r="A56" s="2374" t="s">
        <v>865</v>
      </c>
      <c r="B56" s="2374"/>
      <c r="C56" s="1937">
        <v>211591</v>
      </c>
      <c r="D56" s="1937">
        <v>5691514</v>
      </c>
      <c r="E56" s="1937">
        <v>5479923</v>
      </c>
      <c r="F56" s="2020"/>
      <c r="G56" s="1936">
        <v>-18159809</v>
      </c>
      <c r="H56" s="1936">
        <v>-17948036</v>
      </c>
      <c r="I56" s="1937">
        <v>211772</v>
      </c>
      <c r="J56" s="2020"/>
      <c r="K56" s="1937">
        <v>2127044</v>
      </c>
      <c r="L56" s="1937">
        <v>3564470</v>
      </c>
      <c r="M56" s="1937">
        <v>2021208</v>
      </c>
      <c r="N56" s="1936">
        <v>-2947470</v>
      </c>
      <c r="O56" s="1936">
        <v>-484378</v>
      </c>
      <c r="P56" s="1936">
        <v>-556943</v>
      </c>
      <c r="Q56" s="1936">
        <v>-5090565</v>
      </c>
      <c r="R56" s="1936">
        <v>-1580092</v>
      </c>
      <c r="S56" s="1936">
        <v>-1873599</v>
      </c>
      <c r="T56" s="1936">
        <v>-5557735</v>
      </c>
      <c r="U56" s="1936">
        <v>-2001025</v>
      </c>
      <c r="V56" s="1936">
        <v>-5568950</v>
      </c>
      <c r="W56" s="1936">
        <v>-17948036</v>
      </c>
      <c r="X56" s="2020"/>
      <c r="Y56" s="1937">
        <v>102850</v>
      </c>
      <c r="Z56" s="1937">
        <v>108741</v>
      </c>
      <c r="AA56" s="1937">
        <v>127601</v>
      </c>
      <c r="AB56" s="1936">
        <v>-1231719</v>
      </c>
      <c r="AC56" s="1936">
        <v>-1106999</v>
      </c>
      <c r="AD56" s="1936">
        <v>-1274077</v>
      </c>
      <c r="AE56" s="1936">
        <v>-2177370</v>
      </c>
      <c r="AF56" s="1936">
        <v>-2297681</v>
      </c>
      <c r="AG56" s="1936">
        <v>-2583912</v>
      </c>
      <c r="AH56" s="1936">
        <v>-2609559</v>
      </c>
      <c r="AI56" s="1936">
        <v>-2612789</v>
      </c>
      <c r="AJ56" s="1936">
        <v>-2604894</v>
      </c>
      <c r="AK56" s="1936">
        <v>-18159809</v>
      </c>
      <c r="AL56" s="2020"/>
      <c r="AM56" s="2015"/>
    </row>
    <row r="57" spans="1:39">
      <c r="A57" s="2374" t="s">
        <v>1261</v>
      </c>
      <c r="B57" s="2374"/>
      <c r="C57" s="1937">
        <v>3664000</v>
      </c>
      <c r="D57" s="1937">
        <v>3482599</v>
      </c>
      <c r="E57" s="1936">
        <v>-181401</v>
      </c>
      <c r="F57" s="2020"/>
      <c r="G57" s="1937">
        <v>36497000</v>
      </c>
      <c r="H57" s="1937">
        <v>36314872</v>
      </c>
      <c r="I57" s="1936">
        <v>-182128</v>
      </c>
      <c r="J57" s="2020"/>
      <c r="K57" s="1937">
        <v>1650235</v>
      </c>
      <c r="L57" s="1937">
        <v>1832363</v>
      </c>
      <c r="M57" s="1937">
        <v>1829000</v>
      </c>
      <c r="N57" s="1937">
        <v>1791000</v>
      </c>
      <c r="O57" s="1937">
        <v>1791000</v>
      </c>
      <c r="P57" s="1937">
        <v>1766000</v>
      </c>
      <c r="Q57" s="1937">
        <v>1735000</v>
      </c>
      <c r="R57" s="1937">
        <v>1735000</v>
      </c>
      <c r="S57" s="1937">
        <v>1735000</v>
      </c>
      <c r="T57" s="1937">
        <v>1651000</v>
      </c>
      <c r="U57" s="1937">
        <v>1650000</v>
      </c>
      <c r="V57" s="1937">
        <v>17149274</v>
      </c>
      <c r="W57" s="1937">
        <v>36314872</v>
      </c>
      <c r="X57" s="2020"/>
      <c r="Y57" s="1937">
        <v>1832000</v>
      </c>
      <c r="Z57" s="1937">
        <v>1832000</v>
      </c>
      <c r="AA57" s="1937">
        <v>1802000</v>
      </c>
      <c r="AB57" s="1937">
        <v>1797000</v>
      </c>
      <c r="AC57" s="1937">
        <v>1797000</v>
      </c>
      <c r="AD57" s="1937">
        <v>1797000</v>
      </c>
      <c r="AE57" s="1937">
        <v>1735000</v>
      </c>
      <c r="AF57" s="1937">
        <v>1735000</v>
      </c>
      <c r="AG57" s="1937">
        <v>1730000</v>
      </c>
      <c r="AH57" s="1937">
        <v>1648000</v>
      </c>
      <c r="AI57" s="1937">
        <v>1646000</v>
      </c>
      <c r="AJ57" s="1937">
        <v>17146000</v>
      </c>
      <c r="AK57" s="1937">
        <v>36497000</v>
      </c>
      <c r="AL57" s="2020"/>
      <c r="AM57" s="2015"/>
    </row>
    <row r="58" spans="1:39">
      <c r="A58" s="2374" t="s">
        <v>1262</v>
      </c>
      <c r="B58" s="2374"/>
      <c r="C58" s="1937">
        <v>867999</v>
      </c>
      <c r="D58" s="1937">
        <v>882835</v>
      </c>
      <c r="E58" s="1937">
        <v>14836</v>
      </c>
      <c r="F58" s="2020"/>
      <c r="G58" s="1937">
        <v>5617000</v>
      </c>
      <c r="H58" s="1937">
        <v>5586836</v>
      </c>
      <c r="I58" s="1936">
        <v>-30164</v>
      </c>
      <c r="J58" s="2020"/>
      <c r="K58" s="1937">
        <v>417180</v>
      </c>
      <c r="L58" s="1937">
        <v>465655</v>
      </c>
      <c r="M58" s="1937">
        <v>456000</v>
      </c>
      <c r="N58" s="1937">
        <v>467000</v>
      </c>
      <c r="O58" s="1937">
        <v>473000</v>
      </c>
      <c r="P58" s="1937">
        <v>475000</v>
      </c>
      <c r="Q58" s="1937">
        <v>474000</v>
      </c>
      <c r="R58" s="1937">
        <v>472000</v>
      </c>
      <c r="S58" s="1937">
        <v>471000</v>
      </c>
      <c r="T58" s="1937">
        <v>472000</v>
      </c>
      <c r="U58" s="1937">
        <v>471000</v>
      </c>
      <c r="V58" s="1937">
        <v>473004</v>
      </c>
      <c r="W58" s="1937">
        <v>5586836</v>
      </c>
      <c r="X58" s="2020"/>
      <c r="Y58" s="1937">
        <v>425000</v>
      </c>
      <c r="Z58" s="1937">
        <v>443000</v>
      </c>
      <c r="AA58" s="1937">
        <v>453000</v>
      </c>
      <c r="AB58" s="1937">
        <v>479000</v>
      </c>
      <c r="AC58" s="1937">
        <v>481000</v>
      </c>
      <c r="AD58" s="1937">
        <v>488000</v>
      </c>
      <c r="AE58" s="1937">
        <v>475000</v>
      </c>
      <c r="AF58" s="1937">
        <v>474000</v>
      </c>
      <c r="AG58" s="1937">
        <v>474000</v>
      </c>
      <c r="AH58" s="1937">
        <v>474000</v>
      </c>
      <c r="AI58" s="1937">
        <v>474000</v>
      </c>
      <c r="AJ58" s="1937">
        <v>477004</v>
      </c>
      <c r="AK58" s="1937">
        <v>5617000</v>
      </c>
      <c r="AL58" s="2020"/>
      <c r="AM58" s="2015"/>
    </row>
    <row r="59" spans="1:39">
      <c r="A59" s="2374" t="s">
        <v>10</v>
      </c>
      <c r="B59" s="2374"/>
      <c r="C59" s="1936">
        <v>-8000</v>
      </c>
      <c r="D59" s="1936">
        <v>-7481</v>
      </c>
      <c r="E59" s="1937">
        <v>519</v>
      </c>
      <c r="F59" s="2020"/>
      <c r="G59" s="1936">
        <v>-48000</v>
      </c>
      <c r="H59" s="1936">
        <v>-47481</v>
      </c>
      <c r="I59" s="1937">
        <v>519</v>
      </c>
      <c r="J59" s="2020"/>
      <c r="K59" s="1936">
        <v>-3255</v>
      </c>
      <c r="L59" s="1936">
        <v>-4226</v>
      </c>
      <c r="M59" s="1936">
        <v>-4000</v>
      </c>
      <c r="N59" s="1936">
        <v>-4000</v>
      </c>
      <c r="O59" s="1936">
        <v>-4000</v>
      </c>
      <c r="P59" s="1936">
        <v>-4000</v>
      </c>
      <c r="Q59" s="1936">
        <v>-4000</v>
      </c>
      <c r="R59" s="1936">
        <v>-4000</v>
      </c>
      <c r="S59" s="1936">
        <v>-4000</v>
      </c>
      <c r="T59" s="1936">
        <v>-4000</v>
      </c>
      <c r="U59" s="1936">
        <v>-4000</v>
      </c>
      <c r="V59" s="1936">
        <v>-4000</v>
      </c>
      <c r="W59" s="1936">
        <v>-47481</v>
      </c>
      <c r="X59" s="2020"/>
      <c r="Y59" s="1936">
        <v>-4000</v>
      </c>
      <c r="Z59" s="1936">
        <v>-4000</v>
      </c>
      <c r="AA59" s="1936">
        <v>-4000</v>
      </c>
      <c r="AB59" s="1936">
        <v>-4000</v>
      </c>
      <c r="AC59" s="1936">
        <v>-4000</v>
      </c>
      <c r="AD59" s="1936">
        <v>-4000</v>
      </c>
      <c r="AE59" s="1936">
        <v>-4000</v>
      </c>
      <c r="AF59" s="1936">
        <v>-4000</v>
      </c>
      <c r="AG59" s="1936">
        <v>-4000</v>
      </c>
      <c r="AH59" s="1936">
        <v>-4000</v>
      </c>
      <c r="AI59" s="1936">
        <v>-4000</v>
      </c>
      <c r="AJ59" s="1936">
        <v>-4000</v>
      </c>
      <c r="AK59" s="1936">
        <v>-48000</v>
      </c>
      <c r="AL59" s="2020"/>
      <c r="AM59" s="2015"/>
    </row>
    <row r="60" spans="1:39">
      <c r="A60" s="2374" t="s">
        <v>1263</v>
      </c>
      <c r="B60" s="2374"/>
      <c r="C60" s="1936"/>
      <c r="D60" s="1936"/>
      <c r="E60" s="1936"/>
      <c r="F60" s="2020"/>
      <c r="G60" s="1936"/>
      <c r="H60" s="1936"/>
      <c r="I60" s="1936"/>
      <c r="J60" s="2020"/>
      <c r="K60" s="1936"/>
      <c r="L60" s="1936"/>
      <c r="M60" s="1936"/>
      <c r="N60" s="1936"/>
      <c r="O60" s="1936"/>
      <c r="P60" s="1936"/>
      <c r="Q60" s="1936"/>
      <c r="R60" s="1936"/>
      <c r="S60" s="1936"/>
      <c r="T60" s="1936"/>
      <c r="U60" s="1936"/>
      <c r="V60" s="1936"/>
      <c r="W60" s="1936"/>
      <c r="X60" s="2020"/>
      <c r="Y60" s="1936"/>
      <c r="Z60" s="1936"/>
      <c r="AA60" s="1936"/>
      <c r="AB60" s="1936"/>
      <c r="AC60" s="1936"/>
      <c r="AD60" s="1936"/>
      <c r="AE60" s="1936"/>
      <c r="AF60" s="1936"/>
      <c r="AG60" s="1936"/>
      <c r="AH60" s="1936"/>
      <c r="AI60" s="1936"/>
      <c r="AJ60" s="1936"/>
      <c r="AK60" s="1936"/>
      <c r="AL60" s="2020"/>
      <c r="AM60" s="2015"/>
    </row>
    <row r="61" spans="1:39">
      <c r="A61" s="2374" t="s">
        <v>1264</v>
      </c>
      <c r="B61" s="2374"/>
      <c r="C61" s="1937">
        <v>1166000</v>
      </c>
      <c r="D61" s="1937">
        <v>1166000</v>
      </c>
      <c r="E61" s="1936"/>
      <c r="F61" s="2020"/>
      <c r="G61" s="1937">
        <v>7385000</v>
      </c>
      <c r="H61" s="1937">
        <v>7385000</v>
      </c>
      <c r="I61" s="1936"/>
      <c r="J61" s="2020"/>
      <c r="K61" s="1937">
        <v>575000</v>
      </c>
      <c r="L61" s="1937">
        <v>591000</v>
      </c>
      <c r="M61" s="1937">
        <v>605000</v>
      </c>
      <c r="N61" s="1937">
        <v>608000</v>
      </c>
      <c r="O61" s="1937">
        <v>611000</v>
      </c>
      <c r="P61" s="1937">
        <v>936000</v>
      </c>
      <c r="Q61" s="1937">
        <v>322000</v>
      </c>
      <c r="R61" s="1937">
        <v>650000</v>
      </c>
      <c r="S61" s="1937">
        <v>667000</v>
      </c>
      <c r="T61" s="1937">
        <v>684000</v>
      </c>
      <c r="U61" s="1937">
        <v>699000</v>
      </c>
      <c r="V61" s="1937">
        <v>437000</v>
      </c>
      <c r="W61" s="1937">
        <v>7385000</v>
      </c>
      <c r="X61" s="2020"/>
      <c r="Y61" s="1937">
        <v>575000</v>
      </c>
      <c r="Z61" s="1937">
        <v>591000</v>
      </c>
      <c r="AA61" s="1937">
        <v>605000</v>
      </c>
      <c r="AB61" s="1937">
        <v>608000</v>
      </c>
      <c r="AC61" s="1937">
        <v>611000</v>
      </c>
      <c r="AD61" s="1937">
        <v>936000</v>
      </c>
      <c r="AE61" s="1937">
        <v>322000</v>
      </c>
      <c r="AF61" s="1937">
        <v>650000</v>
      </c>
      <c r="AG61" s="1937">
        <v>667000</v>
      </c>
      <c r="AH61" s="1937">
        <v>684000</v>
      </c>
      <c r="AI61" s="1937">
        <v>699000</v>
      </c>
      <c r="AJ61" s="1937">
        <v>437000</v>
      </c>
      <c r="AK61" s="1937">
        <v>7385000</v>
      </c>
      <c r="AL61" s="2020"/>
      <c r="AM61" s="2015"/>
    </row>
    <row r="62" spans="1:39">
      <c r="A62" s="2374" t="s">
        <v>1265</v>
      </c>
      <c r="B62" s="2374"/>
      <c r="C62" s="1937">
        <v>5689999</v>
      </c>
      <c r="D62" s="1937">
        <v>5523953</v>
      </c>
      <c r="E62" s="1936">
        <v>-166046</v>
      </c>
      <c r="F62" s="2020"/>
      <c r="G62" s="1937">
        <v>49451000</v>
      </c>
      <c r="H62" s="1937">
        <v>49239227</v>
      </c>
      <c r="I62" s="1936">
        <v>-211773</v>
      </c>
      <c r="J62" s="2020"/>
      <c r="K62" s="1937">
        <v>2639160</v>
      </c>
      <c r="L62" s="1937">
        <v>2884793</v>
      </c>
      <c r="M62" s="1937">
        <v>2886000</v>
      </c>
      <c r="N62" s="1937">
        <v>2862000</v>
      </c>
      <c r="O62" s="1937">
        <v>2871000</v>
      </c>
      <c r="P62" s="1937">
        <v>3173000</v>
      </c>
      <c r="Q62" s="1937">
        <v>2527000</v>
      </c>
      <c r="R62" s="1937">
        <v>2853000</v>
      </c>
      <c r="S62" s="1937">
        <v>2869000</v>
      </c>
      <c r="T62" s="1937">
        <v>2803000</v>
      </c>
      <c r="U62" s="1937">
        <v>2816000</v>
      </c>
      <c r="V62" s="1937">
        <v>18055277</v>
      </c>
      <c r="W62" s="1937">
        <v>49239227</v>
      </c>
      <c r="X62" s="2020"/>
      <c r="Y62" s="1937">
        <v>2828000</v>
      </c>
      <c r="Z62" s="1937">
        <v>2862000</v>
      </c>
      <c r="AA62" s="1937">
        <v>2856000</v>
      </c>
      <c r="AB62" s="1937">
        <v>2880000</v>
      </c>
      <c r="AC62" s="1937">
        <v>2885000</v>
      </c>
      <c r="AD62" s="1937">
        <v>3217000</v>
      </c>
      <c r="AE62" s="1937">
        <v>2528000</v>
      </c>
      <c r="AF62" s="1937">
        <v>2855000</v>
      </c>
      <c r="AG62" s="1937">
        <v>2867000</v>
      </c>
      <c r="AH62" s="1937">
        <v>2802000</v>
      </c>
      <c r="AI62" s="1937">
        <v>2815000</v>
      </c>
      <c r="AJ62" s="1937">
        <v>18056004</v>
      </c>
      <c r="AK62" s="1937">
        <v>49451000</v>
      </c>
      <c r="AL62" s="2020"/>
      <c r="AM62" s="2015"/>
    </row>
    <row r="63" spans="1:39">
      <c r="A63" s="2374" t="s">
        <v>631</v>
      </c>
      <c r="B63" s="2374"/>
      <c r="C63" s="1937">
        <v>5901590</v>
      </c>
      <c r="D63" s="1937">
        <v>11215467</v>
      </c>
      <c r="E63" s="1937">
        <v>5313877</v>
      </c>
      <c r="F63" s="2020"/>
      <c r="G63" s="1937">
        <v>31291191</v>
      </c>
      <c r="H63" s="1937">
        <v>31291191</v>
      </c>
      <c r="I63" s="1937">
        <v>0</v>
      </c>
      <c r="J63" s="2020"/>
      <c r="K63" s="1937">
        <v>4766204</v>
      </c>
      <c r="L63" s="1937">
        <v>6449263</v>
      </c>
      <c r="M63" s="1937">
        <v>4907208</v>
      </c>
      <c r="N63" s="1936">
        <v>-85471</v>
      </c>
      <c r="O63" s="1937">
        <v>2386622</v>
      </c>
      <c r="P63" s="1937">
        <v>2616057</v>
      </c>
      <c r="Q63" s="1936">
        <v>-2563565</v>
      </c>
      <c r="R63" s="1937">
        <v>1272908</v>
      </c>
      <c r="S63" s="1937">
        <v>995400</v>
      </c>
      <c r="T63" s="1936">
        <v>-2754736</v>
      </c>
      <c r="U63" s="1937">
        <v>814974</v>
      </c>
      <c r="V63" s="1937">
        <v>12486327</v>
      </c>
      <c r="W63" s="1937">
        <v>31291191</v>
      </c>
      <c r="X63" s="2020"/>
      <c r="Y63" s="1937">
        <v>2930850</v>
      </c>
      <c r="Z63" s="1937">
        <v>2970741</v>
      </c>
      <c r="AA63" s="1937">
        <v>2983600</v>
      </c>
      <c r="AB63" s="1937">
        <v>1648281</v>
      </c>
      <c r="AC63" s="1937">
        <v>1778001</v>
      </c>
      <c r="AD63" s="1937">
        <v>1942922</v>
      </c>
      <c r="AE63" s="1937">
        <v>350629</v>
      </c>
      <c r="AF63" s="1937">
        <v>557319</v>
      </c>
      <c r="AG63" s="1937">
        <v>283088</v>
      </c>
      <c r="AH63" s="1937">
        <v>192441</v>
      </c>
      <c r="AI63" s="1937">
        <v>202211</v>
      </c>
      <c r="AJ63" s="1937">
        <v>15451110</v>
      </c>
      <c r="AK63" s="1937">
        <v>31291191</v>
      </c>
      <c r="AL63" s="2020"/>
      <c r="AM63" s="2015"/>
    </row>
    <row r="64" spans="1:39">
      <c r="A64" s="2374" t="s">
        <v>1091</v>
      </c>
      <c r="B64" s="2374"/>
      <c r="C64" s="1936">
        <v>-75000</v>
      </c>
      <c r="D64" s="1936"/>
      <c r="E64" s="1937">
        <v>75000</v>
      </c>
      <c r="F64" s="2020"/>
      <c r="G64" s="1936">
        <v>-500000</v>
      </c>
      <c r="H64" s="1936">
        <v>-500000</v>
      </c>
      <c r="I64" s="1936"/>
      <c r="J64" s="2020"/>
      <c r="K64" s="1936"/>
      <c r="L64" s="1936"/>
      <c r="M64" s="1936">
        <v>-25000</v>
      </c>
      <c r="N64" s="1936">
        <v>-25000</v>
      </c>
      <c r="O64" s="1936">
        <v>-80000</v>
      </c>
      <c r="P64" s="1936">
        <v>-55000</v>
      </c>
      <c r="Q64" s="1936">
        <v>-30000</v>
      </c>
      <c r="R64" s="1936">
        <v>-40000</v>
      </c>
      <c r="S64" s="1936">
        <v>-50000</v>
      </c>
      <c r="T64" s="1936">
        <v>-50000</v>
      </c>
      <c r="U64" s="1936">
        <v>-50000</v>
      </c>
      <c r="V64" s="1936">
        <v>-95000</v>
      </c>
      <c r="W64" s="1936">
        <v>-500000</v>
      </c>
      <c r="X64" s="2020"/>
      <c r="Y64" s="1936">
        <v>-50000</v>
      </c>
      <c r="Z64" s="1936">
        <v>-25000</v>
      </c>
      <c r="AA64" s="1936">
        <v>-25000</v>
      </c>
      <c r="AB64" s="1936">
        <v>-25000</v>
      </c>
      <c r="AC64" s="1936">
        <v>-30000</v>
      </c>
      <c r="AD64" s="1936">
        <v>-30000</v>
      </c>
      <c r="AE64" s="1936">
        <v>-30000</v>
      </c>
      <c r="AF64" s="1936">
        <v>-40000</v>
      </c>
      <c r="AG64" s="1936">
        <v>-50000</v>
      </c>
      <c r="AH64" s="1936">
        <v>-50000</v>
      </c>
      <c r="AI64" s="1936">
        <v>-50000</v>
      </c>
      <c r="AJ64" s="1936">
        <v>-95000</v>
      </c>
      <c r="AK64" s="1936">
        <v>-500000</v>
      </c>
      <c r="AL64" s="2020"/>
      <c r="AM64" s="2015"/>
    </row>
    <row r="65" spans="1:39">
      <c r="A65" s="2374" t="s">
        <v>1093</v>
      </c>
      <c r="B65" s="2374"/>
      <c r="C65" s="1937">
        <v>126000</v>
      </c>
      <c r="D65" s="1937">
        <v>126726</v>
      </c>
      <c r="E65" s="1937">
        <v>726</v>
      </c>
      <c r="F65" s="2020"/>
      <c r="G65" s="1937">
        <v>721000</v>
      </c>
      <c r="H65" s="1937">
        <v>721000</v>
      </c>
      <c r="I65" s="1936"/>
      <c r="J65" s="2020"/>
      <c r="K65" s="1937">
        <v>63363</v>
      </c>
      <c r="L65" s="1937">
        <v>63363</v>
      </c>
      <c r="M65" s="1937">
        <v>63000</v>
      </c>
      <c r="N65" s="1937">
        <v>62000</v>
      </c>
      <c r="O65" s="1937">
        <v>62000</v>
      </c>
      <c r="P65" s="1937">
        <v>62000</v>
      </c>
      <c r="Q65" s="1937">
        <v>61000</v>
      </c>
      <c r="R65" s="1937">
        <v>61000</v>
      </c>
      <c r="S65" s="1937">
        <v>61000</v>
      </c>
      <c r="T65" s="1937">
        <v>55000</v>
      </c>
      <c r="U65" s="1937">
        <v>54000</v>
      </c>
      <c r="V65" s="1937">
        <v>53274</v>
      </c>
      <c r="W65" s="1937">
        <v>721000</v>
      </c>
      <c r="X65" s="2020"/>
      <c r="Y65" s="1937">
        <v>63000</v>
      </c>
      <c r="Z65" s="1937">
        <v>63000</v>
      </c>
      <c r="AA65" s="1937">
        <v>63000</v>
      </c>
      <c r="AB65" s="1937">
        <v>62000</v>
      </c>
      <c r="AC65" s="1937">
        <v>62000</v>
      </c>
      <c r="AD65" s="1937">
        <v>62000</v>
      </c>
      <c r="AE65" s="1937">
        <v>61000</v>
      </c>
      <c r="AF65" s="1937">
        <v>61000</v>
      </c>
      <c r="AG65" s="1937">
        <v>61000</v>
      </c>
      <c r="AH65" s="1937">
        <v>55000</v>
      </c>
      <c r="AI65" s="1937">
        <v>54000</v>
      </c>
      <c r="AJ65" s="1937">
        <v>54000</v>
      </c>
      <c r="AK65" s="1937">
        <v>721000</v>
      </c>
      <c r="AL65" s="2020"/>
      <c r="AM65" s="2015"/>
    </row>
    <row r="66" spans="1:39">
      <c r="A66" s="2374" t="s">
        <v>1266</v>
      </c>
      <c r="B66" s="2374"/>
      <c r="C66" s="1936"/>
      <c r="D66" s="1936"/>
      <c r="E66" s="1936"/>
      <c r="F66" s="2020"/>
      <c r="G66" s="1937">
        <v>15500000</v>
      </c>
      <c r="H66" s="1937">
        <v>15500000</v>
      </c>
      <c r="I66" s="1936"/>
      <c r="J66" s="2020"/>
      <c r="K66" s="1936"/>
      <c r="L66" s="1936"/>
      <c r="M66" s="1936"/>
      <c r="N66" s="1936"/>
      <c r="O66" s="1936"/>
      <c r="P66" s="1936"/>
      <c r="Q66" s="1936"/>
      <c r="R66" s="1936"/>
      <c r="S66" s="1936"/>
      <c r="T66" s="1936"/>
      <c r="U66" s="1936"/>
      <c r="V66" s="1937">
        <v>15500000</v>
      </c>
      <c r="W66" s="1937">
        <v>15500000</v>
      </c>
      <c r="X66" s="2020"/>
      <c r="Y66" s="1936"/>
      <c r="Z66" s="1936"/>
      <c r="AA66" s="1936"/>
      <c r="AB66" s="1936"/>
      <c r="AC66" s="1936"/>
      <c r="AD66" s="1936"/>
      <c r="AE66" s="1936"/>
      <c r="AF66" s="1936"/>
      <c r="AG66" s="1936"/>
      <c r="AH66" s="1936"/>
      <c r="AI66" s="1936"/>
      <c r="AJ66" s="1937">
        <v>15500000</v>
      </c>
      <c r="AK66" s="1937">
        <v>15500000</v>
      </c>
      <c r="AL66" s="2020"/>
      <c r="AM66" s="2015"/>
    </row>
    <row r="67" spans="1:39">
      <c r="A67" s="2374" t="s">
        <v>1267</v>
      </c>
      <c r="B67" s="2374"/>
      <c r="C67" s="1936"/>
      <c r="D67" s="1936"/>
      <c r="E67" s="1936"/>
      <c r="F67" s="2020"/>
      <c r="G67" s="1936"/>
      <c r="H67" s="1936"/>
      <c r="I67" s="1936"/>
      <c r="J67" s="2020"/>
      <c r="K67" s="1936"/>
      <c r="L67" s="1936"/>
      <c r="M67" s="1936"/>
      <c r="N67" s="1936"/>
      <c r="O67" s="1936"/>
      <c r="P67" s="1936"/>
      <c r="Q67" s="1936"/>
      <c r="R67" s="1936"/>
      <c r="S67" s="1936"/>
      <c r="T67" s="1936"/>
      <c r="U67" s="1936"/>
      <c r="V67" s="1936"/>
      <c r="W67" s="1936"/>
      <c r="X67" s="2020"/>
      <c r="Y67" s="1936"/>
      <c r="Z67" s="1936"/>
      <c r="AA67" s="1936"/>
      <c r="AB67" s="1936"/>
      <c r="AC67" s="1936"/>
      <c r="AD67" s="1936"/>
      <c r="AE67" s="1936"/>
      <c r="AF67" s="1936"/>
      <c r="AG67" s="1936"/>
      <c r="AH67" s="1936"/>
      <c r="AI67" s="1936"/>
      <c r="AJ67" s="1936"/>
      <c r="AK67" s="1936"/>
      <c r="AL67" s="2020"/>
      <c r="AM67" s="2015"/>
    </row>
    <row r="68" spans="1:39">
      <c r="A68" s="2378" t="s">
        <v>1381</v>
      </c>
      <c r="B68" s="2378"/>
      <c r="C68" s="2378"/>
      <c r="D68" s="2378"/>
      <c r="E68" s="2378"/>
      <c r="F68" s="2378"/>
      <c r="G68" s="2378"/>
      <c r="H68" s="2378"/>
      <c r="I68" s="2378"/>
      <c r="J68" s="2378"/>
      <c r="K68" s="2378"/>
      <c r="L68" s="2378"/>
      <c r="M68" s="2378"/>
      <c r="N68" s="2378"/>
      <c r="O68" s="2378"/>
      <c r="P68" s="2378"/>
      <c r="Q68" s="2378"/>
      <c r="R68" s="2378"/>
      <c r="S68" s="2378"/>
      <c r="T68" s="2378"/>
      <c r="U68" s="2378"/>
      <c r="V68" s="2378"/>
      <c r="W68" s="2378"/>
      <c r="X68" s="2378"/>
      <c r="Y68" s="2378"/>
      <c r="Z68" s="2378"/>
      <c r="AA68" s="2378"/>
      <c r="AB68" s="2378"/>
      <c r="AC68" s="2378"/>
      <c r="AD68" s="2378"/>
      <c r="AE68" s="2378"/>
      <c r="AF68" s="2378"/>
      <c r="AG68" s="2378"/>
      <c r="AH68" s="2378"/>
      <c r="AI68" s="2378"/>
      <c r="AJ68" s="2378"/>
      <c r="AK68" s="2378"/>
      <c r="AL68" s="2378"/>
      <c r="AM68" s="2378"/>
    </row>
    <row r="69" spans="1:39">
      <c r="A69" s="1230"/>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row>
    <row r="70" spans="1:39">
      <c r="A70" s="1940"/>
      <c r="H70" s="1925">
        <f>H55+G26</f>
        <v>-15731342</v>
      </c>
    </row>
  </sheetData>
  <mergeCells count="66">
    <mergeCell ref="A3:AM3"/>
    <mergeCell ref="A53:B53"/>
    <mergeCell ref="A54:B54"/>
    <mergeCell ref="A55:B55"/>
    <mergeCell ref="A52:B52"/>
    <mergeCell ref="A24:B24"/>
    <mergeCell ref="A25:B25"/>
    <mergeCell ref="A14:B14"/>
    <mergeCell ref="A40:B40"/>
    <mergeCell ref="A41:B41"/>
    <mergeCell ref="A19:B19"/>
    <mergeCell ref="A20:B20"/>
    <mergeCell ref="A21:B21"/>
    <mergeCell ref="A22:B22"/>
    <mergeCell ref="A23:B23"/>
    <mergeCell ref="A38:B38"/>
    <mergeCell ref="A68:AM68"/>
    <mergeCell ref="A64:B64"/>
    <mergeCell ref="A56:B56"/>
    <mergeCell ref="A57:B57"/>
    <mergeCell ref="A65:B65"/>
    <mergeCell ref="A66:B66"/>
    <mergeCell ref="A67:B67"/>
    <mergeCell ref="A63:B63"/>
    <mergeCell ref="A58:B58"/>
    <mergeCell ref="A59:B59"/>
    <mergeCell ref="A60:B60"/>
    <mergeCell ref="A61:B61"/>
    <mergeCell ref="A62:B62"/>
    <mergeCell ref="A27:B27"/>
    <mergeCell ref="A28:B28"/>
    <mergeCell ref="A29:B29"/>
    <mergeCell ref="A30:B30"/>
    <mergeCell ref="A31:B31"/>
    <mergeCell ref="A4:AM4"/>
    <mergeCell ref="A5:B5"/>
    <mergeCell ref="A6:B6"/>
    <mergeCell ref="A7:B7"/>
    <mergeCell ref="A51:B51"/>
    <mergeCell ref="A8:B8"/>
    <mergeCell ref="A9:B9"/>
    <mergeCell ref="A10:B10"/>
    <mergeCell ref="A11:B11"/>
    <mergeCell ref="A12:B12"/>
    <mergeCell ref="A13:B13"/>
    <mergeCell ref="A26:B26"/>
    <mergeCell ref="A15:B15"/>
    <mergeCell ref="A16:B16"/>
    <mergeCell ref="A17:B17"/>
    <mergeCell ref="A18:B18"/>
    <mergeCell ref="A37:B37"/>
    <mergeCell ref="A50:B50"/>
    <mergeCell ref="A39:B39"/>
    <mergeCell ref="A42:B42"/>
    <mergeCell ref="A32:B32"/>
    <mergeCell ref="A33:B33"/>
    <mergeCell ref="A34:B34"/>
    <mergeCell ref="A35:B35"/>
    <mergeCell ref="A36:B36"/>
    <mergeCell ref="A48:B48"/>
    <mergeCell ref="A49:B49"/>
    <mergeCell ref="A43:B43"/>
    <mergeCell ref="A44:B44"/>
    <mergeCell ref="A45:B45"/>
    <mergeCell ref="A46:B46"/>
    <mergeCell ref="A47:B47"/>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28"/>
  </sheetPr>
  <dimension ref="A1:AF92"/>
  <sheetViews>
    <sheetView topLeftCell="B1" zoomScale="75" zoomScaleNormal="75" workbookViewId="0">
      <pane xSplit="1" ySplit="4" topLeftCell="E38" activePane="bottomRight" state="frozen"/>
      <selection activeCell="C70" sqref="C70"/>
      <selection pane="topRight" activeCell="C70" sqref="C70"/>
      <selection pane="bottomLeft" activeCell="C70" sqref="C70"/>
      <selection pane="bottomRight" activeCell="H49" sqref="H49"/>
    </sheetView>
  </sheetViews>
  <sheetFormatPr defaultRowHeight="13.2"/>
  <cols>
    <col min="1" max="1" width="41.5546875" bestFit="1" customWidth="1"/>
    <col min="2" max="2" width="31.33203125" customWidth="1"/>
    <col min="3" max="3" width="10.6640625" customWidth="1"/>
    <col min="4" max="4" width="15.33203125" customWidth="1"/>
    <col min="5" max="5" width="12.109375" customWidth="1"/>
    <col min="6" max="6" width="12.33203125" customWidth="1"/>
    <col min="7" max="7" width="11.6640625" customWidth="1"/>
    <col min="8" max="10" width="12.33203125" customWidth="1"/>
    <col min="11" max="12" width="11.6640625" customWidth="1"/>
    <col min="13" max="13" width="12" customWidth="1"/>
    <col min="14" max="14" width="12.109375" customWidth="1"/>
    <col min="15" max="15" width="12.5546875" customWidth="1"/>
    <col min="16" max="16" width="12" customWidth="1"/>
    <col min="18" max="18" width="11.44140625" customWidth="1"/>
    <col min="20" max="20" width="12.44140625" customWidth="1"/>
    <col min="21" max="21" width="12.6640625" customWidth="1"/>
  </cols>
  <sheetData>
    <row r="1" spans="1:32">
      <c r="A1" s="264" t="s">
        <v>571</v>
      </c>
      <c r="B1" s="255"/>
      <c r="C1" s="255"/>
      <c r="D1" s="339" t="s">
        <v>722</v>
      </c>
      <c r="E1" s="2380" t="s">
        <v>867</v>
      </c>
      <c r="F1" s="2214"/>
      <c r="G1" s="2214"/>
      <c r="H1" s="2214"/>
      <c r="I1" s="2214"/>
      <c r="J1" s="2214"/>
      <c r="K1" s="2214"/>
      <c r="L1" s="2214"/>
      <c r="M1" s="2214"/>
      <c r="N1" s="2214"/>
      <c r="O1" s="2214"/>
      <c r="P1" s="2214"/>
      <c r="R1" s="1" t="s">
        <v>930</v>
      </c>
      <c r="T1" s="2381" t="s">
        <v>7</v>
      </c>
      <c r="U1" s="2381"/>
    </row>
    <row r="2" spans="1:32">
      <c r="A2" s="264"/>
      <c r="B2" s="286"/>
      <c r="C2" s="286"/>
      <c r="D2" s="340">
        <v>42461</v>
      </c>
      <c r="E2" s="239">
        <v>42461</v>
      </c>
      <c r="F2" s="239">
        <v>42491</v>
      </c>
      <c r="G2" s="239">
        <v>42522</v>
      </c>
      <c r="H2" s="239">
        <v>42552</v>
      </c>
      <c r="I2" s="239">
        <v>42583</v>
      </c>
      <c r="J2" s="239">
        <v>42614</v>
      </c>
      <c r="K2" s="239">
        <v>42644</v>
      </c>
      <c r="L2" s="239">
        <v>42675</v>
      </c>
      <c r="M2" s="239">
        <v>42705</v>
      </c>
      <c r="N2" s="239">
        <v>42736</v>
      </c>
      <c r="O2" s="239">
        <v>42767</v>
      </c>
      <c r="P2" s="239">
        <v>42795</v>
      </c>
      <c r="R2" s="169" t="s">
        <v>722</v>
      </c>
      <c r="T2" s="169" t="s">
        <v>721</v>
      </c>
      <c r="U2" s="169" t="s">
        <v>834</v>
      </c>
    </row>
    <row r="3" spans="1:32">
      <c r="A3" s="264" t="s">
        <v>550</v>
      </c>
      <c r="B3" s="181"/>
      <c r="C3" s="181"/>
      <c r="D3" s="169" t="s">
        <v>722</v>
      </c>
      <c r="E3" s="169" t="s">
        <v>721</v>
      </c>
      <c r="F3" s="169"/>
      <c r="G3" s="169"/>
      <c r="H3" s="169"/>
      <c r="I3" s="169"/>
      <c r="J3" s="169"/>
      <c r="R3" s="169" t="s">
        <v>948</v>
      </c>
      <c r="T3" s="169" t="s">
        <v>948</v>
      </c>
      <c r="U3" s="169" t="s">
        <v>948</v>
      </c>
      <c r="AB3" s="341"/>
      <c r="AC3" s="341"/>
      <c r="AD3" s="341"/>
      <c r="AE3" s="341"/>
      <c r="AF3" s="341"/>
    </row>
    <row r="4" spans="1:32">
      <c r="A4" s="257"/>
      <c r="B4" s="181"/>
      <c r="C4" s="181"/>
      <c r="D4" s="169" t="s">
        <v>948</v>
      </c>
      <c r="E4" s="169" t="s">
        <v>948</v>
      </c>
      <c r="F4" s="169"/>
      <c r="G4" s="169"/>
      <c r="H4" s="169"/>
      <c r="I4" s="169"/>
      <c r="J4" s="169"/>
      <c r="R4" s="188"/>
      <c r="T4" s="188"/>
      <c r="U4" s="188"/>
      <c r="AB4" s="341"/>
      <c r="AC4" s="341"/>
      <c r="AD4" s="341"/>
      <c r="AE4" s="341"/>
      <c r="AF4" s="341"/>
    </row>
    <row r="5" spans="1:32">
      <c r="A5" s="257"/>
      <c r="B5" s="181" t="s">
        <v>626</v>
      </c>
      <c r="C5" s="181"/>
      <c r="D5" s="250">
        <v>351650</v>
      </c>
      <c r="E5" s="250">
        <v>363203</v>
      </c>
      <c r="F5" s="250">
        <v>374339</v>
      </c>
      <c r="G5" s="250">
        <v>383106</v>
      </c>
      <c r="H5" s="250">
        <v>387591</v>
      </c>
      <c r="I5" s="250">
        <v>396647</v>
      </c>
      <c r="J5" s="250">
        <v>400666</v>
      </c>
      <c r="K5" s="250">
        <v>404970</v>
      </c>
      <c r="L5" s="250">
        <v>408005</v>
      </c>
      <c r="M5" s="250">
        <v>411477</v>
      </c>
      <c r="N5" s="250">
        <v>416254</v>
      </c>
      <c r="O5" s="250">
        <v>419481</v>
      </c>
      <c r="P5" s="250">
        <v>406803</v>
      </c>
      <c r="R5" s="250">
        <v>365882</v>
      </c>
      <c r="T5" s="250">
        <f>+P5</f>
        <v>406803</v>
      </c>
      <c r="U5" s="250">
        <v>408815</v>
      </c>
      <c r="AB5" s="188"/>
      <c r="AC5" s="188"/>
      <c r="AD5" s="188"/>
      <c r="AE5" s="188"/>
      <c r="AF5" s="188"/>
    </row>
    <row r="6" spans="1:32">
      <c r="A6" s="257"/>
      <c r="B6" s="183" t="s">
        <v>638</v>
      </c>
      <c r="C6" s="181"/>
      <c r="D6" s="250">
        <v>425</v>
      </c>
      <c r="E6" s="250">
        <v>422</v>
      </c>
      <c r="F6" s="250">
        <v>419</v>
      </c>
      <c r="G6" s="250">
        <v>416</v>
      </c>
      <c r="H6" s="250">
        <v>413</v>
      </c>
      <c r="I6" s="250">
        <v>410</v>
      </c>
      <c r="J6" s="250">
        <v>407</v>
      </c>
      <c r="K6" s="250">
        <v>404</v>
      </c>
      <c r="L6" s="250">
        <v>401</v>
      </c>
      <c r="M6" s="250">
        <v>398</v>
      </c>
      <c r="N6" s="250">
        <v>395</v>
      </c>
      <c r="O6" s="250">
        <v>392</v>
      </c>
      <c r="P6" s="250">
        <v>389</v>
      </c>
      <c r="R6" s="250">
        <v>419</v>
      </c>
      <c r="T6" s="250">
        <f>+P6</f>
        <v>389</v>
      </c>
      <c r="U6" s="250">
        <v>389</v>
      </c>
      <c r="AB6" s="188"/>
      <c r="AC6" s="188"/>
      <c r="AD6" s="188"/>
      <c r="AE6" s="188"/>
      <c r="AF6" s="188"/>
    </row>
    <row r="7" spans="1:32">
      <c r="A7" s="257"/>
      <c r="B7" s="183" t="s">
        <v>823</v>
      </c>
      <c r="C7" s="181"/>
      <c r="D7" s="250">
        <v>2744</v>
      </c>
      <c r="E7" s="250">
        <v>3017</v>
      </c>
      <c r="F7" s="250">
        <v>3139</v>
      </c>
      <c r="G7" s="250">
        <v>3227</v>
      </c>
      <c r="H7" s="250">
        <v>3424</v>
      </c>
      <c r="I7" s="250">
        <v>3485</v>
      </c>
      <c r="J7" s="250">
        <v>3581</v>
      </c>
      <c r="K7" s="250">
        <v>3695</v>
      </c>
      <c r="L7" s="250">
        <v>3832</v>
      </c>
      <c r="M7" s="250">
        <v>4002</v>
      </c>
      <c r="N7" s="250">
        <v>4002</v>
      </c>
      <c r="O7" s="250">
        <v>4002</v>
      </c>
      <c r="P7" s="250">
        <v>3025</v>
      </c>
      <c r="R7" s="1748">
        <v>2900</v>
      </c>
      <c r="T7" s="250">
        <f>+P7</f>
        <v>3025</v>
      </c>
      <c r="U7" s="250">
        <v>2786</v>
      </c>
      <c r="AB7" s="188"/>
      <c r="AC7" s="188"/>
      <c r="AD7" s="188"/>
      <c r="AE7" s="188"/>
      <c r="AF7" s="188"/>
    </row>
    <row r="8" spans="1:32">
      <c r="A8" s="257"/>
      <c r="B8" s="249" t="s">
        <v>639</v>
      </c>
      <c r="C8" s="181"/>
      <c r="D8" s="174">
        <f t="shared" ref="D8:P8" si="0">SUM(D5:D7)</f>
        <v>354819</v>
      </c>
      <c r="E8" s="174">
        <f t="shared" si="0"/>
        <v>366642</v>
      </c>
      <c r="F8" s="174">
        <f t="shared" si="0"/>
        <v>377897</v>
      </c>
      <c r="G8" s="174">
        <f t="shared" si="0"/>
        <v>386749</v>
      </c>
      <c r="H8" s="174">
        <f t="shared" si="0"/>
        <v>391428</v>
      </c>
      <c r="I8" s="174">
        <f t="shared" si="0"/>
        <v>400542</v>
      </c>
      <c r="J8" s="174">
        <f t="shared" si="0"/>
        <v>404654</v>
      </c>
      <c r="K8" s="174">
        <f t="shared" si="0"/>
        <v>409069</v>
      </c>
      <c r="L8" s="174">
        <f t="shared" si="0"/>
        <v>412238</v>
      </c>
      <c r="M8" s="174">
        <f t="shared" si="0"/>
        <v>415877</v>
      </c>
      <c r="N8" s="174">
        <f t="shared" si="0"/>
        <v>420651</v>
      </c>
      <c r="O8" s="174">
        <f t="shared" si="0"/>
        <v>423875</v>
      </c>
      <c r="P8" s="174">
        <f t="shared" si="0"/>
        <v>410217</v>
      </c>
      <c r="R8" s="174">
        <f>SUM(R5:R7)</f>
        <v>369201</v>
      </c>
      <c r="T8" s="174">
        <f>SUM(T5:T7)</f>
        <v>410217</v>
      </c>
      <c r="U8" s="174">
        <f>SUM(U5:U7)</f>
        <v>411990</v>
      </c>
      <c r="AB8" s="174"/>
      <c r="AC8" s="174"/>
      <c r="AD8" s="174"/>
      <c r="AE8" s="174"/>
      <c r="AF8" s="174"/>
    </row>
    <row r="9" spans="1:32">
      <c r="A9" s="257"/>
      <c r="B9" s="183" t="s">
        <v>822</v>
      </c>
      <c r="C9" s="181"/>
      <c r="D9" s="250">
        <v>7118</v>
      </c>
      <c r="E9" s="250">
        <v>7081</v>
      </c>
      <c r="F9" s="250">
        <v>6967</v>
      </c>
      <c r="G9" s="250">
        <v>6908</v>
      </c>
      <c r="H9" s="250">
        <v>7127</v>
      </c>
      <c r="I9" s="250">
        <v>7030</v>
      </c>
      <c r="J9" s="250">
        <v>7049</v>
      </c>
      <c r="K9" s="250">
        <v>7035</v>
      </c>
      <c r="L9" s="250">
        <v>6968</v>
      </c>
      <c r="M9" s="250">
        <v>7400</v>
      </c>
      <c r="N9" s="250">
        <v>7400</v>
      </c>
      <c r="O9" s="250">
        <v>7400</v>
      </c>
      <c r="P9" s="250">
        <v>7200</v>
      </c>
      <c r="R9" s="250">
        <v>7480</v>
      </c>
      <c r="T9" s="250">
        <f>+P9</f>
        <v>7200</v>
      </c>
      <c r="U9" s="250">
        <v>7713</v>
      </c>
      <c r="AB9" s="188"/>
      <c r="AC9" s="188"/>
      <c r="AD9" s="188"/>
      <c r="AE9" s="188"/>
      <c r="AF9" s="188"/>
    </row>
    <row r="10" spans="1:32">
      <c r="A10" s="257"/>
      <c r="B10" s="183" t="s">
        <v>640</v>
      </c>
      <c r="C10" s="181"/>
      <c r="D10" s="250">
        <v>59716</v>
      </c>
      <c r="E10" s="250">
        <v>52644</v>
      </c>
      <c r="F10" s="250">
        <v>49284</v>
      </c>
      <c r="G10" s="250">
        <v>49293</v>
      </c>
      <c r="H10" s="250">
        <v>41374</v>
      </c>
      <c r="I10" s="250">
        <v>38766</v>
      </c>
      <c r="J10" s="250">
        <v>39467</v>
      </c>
      <c r="K10" s="250">
        <v>38065</v>
      </c>
      <c r="L10" s="250">
        <v>34964</v>
      </c>
      <c r="M10" s="250">
        <v>35777</v>
      </c>
      <c r="N10" s="250">
        <v>34630</v>
      </c>
      <c r="O10" s="250">
        <v>33260</v>
      </c>
      <c r="P10" s="250">
        <v>45320</v>
      </c>
      <c r="R10" s="250">
        <v>51614</v>
      </c>
      <c r="T10" s="250">
        <f>+P10</f>
        <v>45320</v>
      </c>
      <c r="U10" s="250">
        <v>47303</v>
      </c>
      <c r="AB10" s="188"/>
      <c r="AC10" s="188"/>
      <c r="AD10" s="188"/>
      <c r="AE10" s="188"/>
      <c r="AF10" s="188"/>
    </row>
    <row r="11" spans="1:32">
      <c r="A11" s="257"/>
      <c r="B11" s="183" t="s">
        <v>641</v>
      </c>
      <c r="C11" s="181"/>
      <c r="D11" s="250">
        <v>3344</v>
      </c>
      <c r="E11" s="250">
        <v>7492</v>
      </c>
      <c r="F11" s="250">
        <v>7248</v>
      </c>
      <c r="G11" s="250">
        <v>7242</v>
      </c>
      <c r="H11" s="250">
        <v>7164</v>
      </c>
      <c r="I11" s="250">
        <v>8278</v>
      </c>
      <c r="J11" s="250">
        <v>7564</v>
      </c>
      <c r="K11" s="250">
        <v>9376</v>
      </c>
      <c r="L11" s="250">
        <v>9541</v>
      </c>
      <c r="M11" s="250">
        <v>8592</v>
      </c>
      <c r="N11" s="250">
        <v>8932</v>
      </c>
      <c r="O11" s="250">
        <v>10053</v>
      </c>
      <c r="P11" s="250">
        <v>3168</v>
      </c>
      <c r="R11" s="250">
        <v>5896</v>
      </c>
      <c r="T11" s="250">
        <f>+P11</f>
        <v>3168</v>
      </c>
      <c r="U11" s="250">
        <v>3168</v>
      </c>
      <c r="AB11" s="188"/>
      <c r="AC11" s="188"/>
      <c r="AD11" s="188"/>
      <c r="AE11" s="188"/>
      <c r="AF11" s="188"/>
    </row>
    <row r="12" spans="1:32">
      <c r="A12" s="257"/>
      <c r="B12" s="183" t="s">
        <v>868</v>
      </c>
      <c r="C12" s="181"/>
      <c r="D12" s="250">
        <v>0</v>
      </c>
      <c r="E12" s="250">
        <v>0</v>
      </c>
      <c r="F12" s="250">
        <v>0</v>
      </c>
      <c r="G12" s="250">
        <v>0</v>
      </c>
      <c r="H12" s="250">
        <v>0</v>
      </c>
      <c r="I12" s="250">
        <v>0</v>
      </c>
      <c r="J12" s="250">
        <v>0</v>
      </c>
      <c r="K12" s="250">
        <v>0</v>
      </c>
      <c r="L12" s="250">
        <v>0</v>
      </c>
      <c r="M12" s="250">
        <v>0</v>
      </c>
      <c r="N12" s="250">
        <v>0</v>
      </c>
      <c r="O12" s="250">
        <v>0</v>
      </c>
      <c r="P12" s="250">
        <v>0</v>
      </c>
      <c r="R12" s="250">
        <v>63</v>
      </c>
      <c r="T12" s="250">
        <f>+P12</f>
        <v>0</v>
      </c>
      <c r="U12" s="250">
        <f>+R12</f>
        <v>63</v>
      </c>
      <c r="AB12" s="188"/>
      <c r="AC12" s="188"/>
      <c r="AD12" s="188"/>
      <c r="AE12" s="188"/>
      <c r="AF12" s="188"/>
    </row>
    <row r="13" spans="1:32">
      <c r="A13" s="257"/>
      <c r="B13" s="249" t="s">
        <v>642</v>
      </c>
      <c r="C13" s="181"/>
      <c r="D13" s="205">
        <f t="shared" ref="D13:U13" si="1">SUM(D9:D12)</f>
        <v>70178</v>
      </c>
      <c r="E13" s="205">
        <f t="shared" si="1"/>
        <v>67217</v>
      </c>
      <c r="F13" s="205">
        <f t="shared" si="1"/>
        <v>63499</v>
      </c>
      <c r="G13" s="205">
        <f t="shared" si="1"/>
        <v>63443</v>
      </c>
      <c r="H13" s="205">
        <f t="shared" si="1"/>
        <v>55665</v>
      </c>
      <c r="I13" s="205">
        <f t="shared" si="1"/>
        <v>54074</v>
      </c>
      <c r="J13" s="205">
        <f t="shared" si="1"/>
        <v>54080</v>
      </c>
      <c r="K13" s="205">
        <f t="shared" si="1"/>
        <v>54476</v>
      </c>
      <c r="L13" s="205">
        <f t="shared" si="1"/>
        <v>51473</v>
      </c>
      <c r="M13" s="205">
        <f t="shared" si="1"/>
        <v>51769</v>
      </c>
      <c r="N13" s="205">
        <f t="shared" si="1"/>
        <v>50962</v>
      </c>
      <c r="O13" s="205">
        <f t="shared" si="1"/>
        <v>50713</v>
      </c>
      <c r="P13" s="205">
        <f t="shared" si="1"/>
        <v>55688</v>
      </c>
      <c r="R13" s="205">
        <f t="shared" si="1"/>
        <v>65053</v>
      </c>
      <c r="T13" s="205">
        <f t="shared" si="1"/>
        <v>55688</v>
      </c>
      <c r="U13" s="205">
        <f t="shared" si="1"/>
        <v>58247</v>
      </c>
      <c r="V13" s="205"/>
      <c r="AB13" s="335"/>
      <c r="AC13" s="335"/>
      <c r="AD13" s="335"/>
      <c r="AE13" s="335"/>
      <c r="AF13" s="335"/>
    </row>
    <row r="14" spans="1:32">
      <c r="A14" s="257"/>
      <c r="B14" s="183" t="s">
        <v>643</v>
      </c>
      <c r="C14" s="181"/>
      <c r="D14" s="250">
        <v>-77993</v>
      </c>
      <c r="E14" s="250">
        <v>-80424</v>
      </c>
      <c r="F14" s="250">
        <v>-73794</v>
      </c>
      <c r="G14" s="250">
        <v>-73319</v>
      </c>
      <c r="H14" s="250">
        <v>-65215</v>
      </c>
      <c r="I14" s="250">
        <v>-64299</v>
      </c>
      <c r="J14" s="250">
        <v>-67420</v>
      </c>
      <c r="K14" s="250">
        <v>-68615</v>
      </c>
      <c r="L14" s="250">
        <v>-65682</v>
      </c>
      <c r="M14" s="250">
        <v>-65006</v>
      </c>
      <c r="N14" s="250">
        <v>-64581</v>
      </c>
      <c r="O14" s="250">
        <v>-63404</v>
      </c>
      <c r="P14" s="250">
        <v>-67425</v>
      </c>
      <c r="R14" s="250">
        <v>-75148</v>
      </c>
      <c r="T14" s="250">
        <f>+P14</f>
        <v>-67425</v>
      </c>
      <c r="U14" s="250">
        <v>-70551</v>
      </c>
      <c r="AB14" s="188"/>
      <c r="AC14" s="188"/>
      <c r="AD14" s="188"/>
      <c r="AE14" s="188"/>
      <c r="AF14" s="188"/>
    </row>
    <row r="15" spans="1:32">
      <c r="A15" s="257"/>
      <c r="B15" s="183" t="s">
        <v>644</v>
      </c>
      <c r="C15" s="181"/>
      <c r="D15" s="250">
        <v>-6330</v>
      </c>
      <c r="E15" s="250">
        <v>-6330</v>
      </c>
      <c r="F15" s="250">
        <v>-6330</v>
      </c>
      <c r="G15" s="250">
        <v>-6330</v>
      </c>
      <c r="H15" s="250">
        <v>-6330</v>
      </c>
      <c r="I15" s="250">
        <v>-6330</v>
      </c>
      <c r="J15" s="250">
        <v>-4830</v>
      </c>
      <c r="K15" s="250">
        <v>-4830</v>
      </c>
      <c r="L15" s="250">
        <v>-4830</v>
      </c>
      <c r="M15" s="250">
        <v>-4830</v>
      </c>
      <c r="N15" s="250">
        <v>-4830</v>
      </c>
      <c r="O15" s="250">
        <v>-4830</v>
      </c>
      <c r="P15" s="250">
        <v>-4780</v>
      </c>
      <c r="R15" s="250">
        <v>-7616</v>
      </c>
      <c r="T15" s="250">
        <f>+P15</f>
        <v>-4780</v>
      </c>
      <c r="U15" s="250">
        <v>-6384</v>
      </c>
      <c r="AB15" s="188"/>
      <c r="AC15" s="188"/>
      <c r="AD15" s="188"/>
      <c r="AE15" s="188"/>
      <c r="AF15" s="188"/>
    </row>
    <row r="16" spans="1:32">
      <c r="A16" s="257"/>
      <c r="B16" s="183" t="s">
        <v>645</v>
      </c>
      <c r="C16" s="181"/>
      <c r="D16" s="251"/>
      <c r="E16" s="250"/>
      <c r="F16" s="250"/>
      <c r="G16" s="250"/>
      <c r="H16" s="250"/>
      <c r="I16" s="250"/>
      <c r="J16" s="250"/>
      <c r="K16" s="250"/>
      <c r="L16" s="250"/>
      <c r="M16" s="250"/>
      <c r="N16" s="250"/>
      <c r="O16" s="250"/>
      <c r="P16" s="250"/>
      <c r="R16" s="250"/>
      <c r="T16" s="250">
        <f>+P16</f>
        <v>0</v>
      </c>
      <c r="U16" s="250">
        <f>+R16</f>
        <v>0</v>
      </c>
      <c r="AB16" s="188"/>
      <c r="AC16" s="188"/>
      <c r="AD16" s="188"/>
      <c r="AE16" s="188"/>
      <c r="AF16" s="188"/>
    </row>
    <row r="17" spans="1:32">
      <c r="A17" s="257"/>
      <c r="B17" s="183" t="s">
        <v>167</v>
      </c>
      <c r="C17" s="181"/>
      <c r="D17" s="250">
        <v>-329</v>
      </c>
      <c r="E17" s="250">
        <v>-329</v>
      </c>
      <c r="F17" s="250">
        <v>-329</v>
      </c>
      <c r="G17" s="250">
        <v>-329</v>
      </c>
      <c r="H17" s="250">
        <v>-329</v>
      </c>
      <c r="I17" s="250">
        <v>-339</v>
      </c>
      <c r="J17" s="250">
        <v>-339</v>
      </c>
      <c r="K17" s="250">
        <v>-347</v>
      </c>
      <c r="L17" s="250">
        <v>-339</v>
      </c>
      <c r="M17" s="250">
        <v>-339</v>
      </c>
      <c r="N17" s="250">
        <v>-347</v>
      </c>
      <c r="O17" s="250">
        <v>-355</v>
      </c>
      <c r="P17" s="250">
        <v>-250</v>
      </c>
      <c r="R17" s="250">
        <v>-231</v>
      </c>
      <c r="T17" s="250">
        <f>+P17</f>
        <v>-250</v>
      </c>
      <c r="U17" s="250">
        <v>-152</v>
      </c>
      <c r="AB17" s="188"/>
      <c r="AC17" s="188"/>
      <c r="AD17" s="188"/>
      <c r="AE17" s="188"/>
      <c r="AF17" s="188"/>
    </row>
    <row r="18" spans="1:32">
      <c r="A18" s="257"/>
      <c r="B18" s="183" t="s">
        <v>646</v>
      </c>
      <c r="C18" s="181"/>
      <c r="D18" s="250">
        <v>0</v>
      </c>
      <c r="E18" s="250"/>
      <c r="F18" s="250"/>
      <c r="G18" s="250"/>
      <c r="H18" s="250"/>
      <c r="I18" s="250"/>
      <c r="J18" s="250"/>
      <c r="K18" s="250"/>
      <c r="L18" s="250"/>
      <c r="M18" s="250"/>
      <c r="N18" s="250"/>
      <c r="O18" s="250"/>
      <c r="P18" s="250"/>
      <c r="R18" s="250"/>
      <c r="T18" s="250">
        <f>+P18</f>
        <v>0</v>
      </c>
      <c r="U18" s="250">
        <f>+R18</f>
        <v>0</v>
      </c>
      <c r="AB18" s="188"/>
      <c r="AC18" s="188"/>
      <c r="AD18" s="188"/>
      <c r="AE18" s="188"/>
      <c r="AF18" s="188"/>
    </row>
    <row r="19" spans="1:32">
      <c r="A19" s="257"/>
      <c r="B19" s="249" t="s">
        <v>647</v>
      </c>
      <c r="C19" s="181"/>
      <c r="D19" s="174">
        <f t="shared" ref="D19:P19" si="2">SUM(D14:D18)</f>
        <v>-84652</v>
      </c>
      <c r="E19" s="174">
        <f t="shared" si="2"/>
        <v>-87083</v>
      </c>
      <c r="F19" s="174">
        <f t="shared" si="2"/>
        <v>-80453</v>
      </c>
      <c r="G19" s="174">
        <f t="shared" si="2"/>
        <v>-79978</v>
      </c>
      <c r="H19" s="174">
        <f t="shared" si="2"/>
        <v>-71874</v>
      </c>
      <c r="I19" s="174">
        <f t="shared" si="2"/>
        <v>-70968</v>
      </c>
      <c r="J19" s="174">
        <f t="shared" si="2"/>
        <v>-72589</v>
      </c>
      <c r="K19" s="174">
        <f t="shared" si="2"/>
        <v>-73792</v>
      </c>
      <c r="L19" s="174">
        <f t="shared" si="2"/>
        <v>-70851</v>
      </c>
      <c r="M19" s="174">
        <f t="shared" si="2"/>
        <v>-70175</v>
      </c>
      <c r="N19" s="174">
        <f t="shared" si="2"/>
        <v>-69758</v>
      </c>
      <c r="O19" s="174">
        <f t="shared" si="2"/>
        <v>-68589</v>
      </c>
      <c r="P19" s="174">
        <f t="shared" si="2"/>
        <v>-72455</v>
      </c>
      <c r="R19" s="174">
        <f>SUM(R14:R18)</f>
        <v>-82995</v>
      </c>
      <c r="T19" s="174">
        <f>SUM(T14:T18)</f>
        <v>-72455</v>
      </c>
      <c r="U19" s="174">
        <f>SUM(U14:U18)</f>
        <v>-77087</v>
      </c>
      <c r="AB19" s="174"/>
      <c r="AC19" s="174"/>
      <c r="AD19" s="174"/>
      <c r="AE19" s="174"/>
      <c r="AF19" s="174"/>
    </row>
    <row r="20" spans="1:32">
      <c r="A20" s="257"/>
      <c r="B20" s="183" t="s">
        <v>644</v>
      </c>
      <c r="C20" s="181"/>
      <c r="D20" s="250">
        <v>-123538</v>
      </c>
      <c r="E20" s="250">
        <v>-125348</v>
      </c>
      <c r="F20" s="250">
        <v>-133972</v>
      </c>
      <c r="G20" s="250">
        <v>-138218</v>
      </c>
      <c r="H20" s="250">
        <v>-140253</v>
      </c>
      <c r="I20" s="250">
        <v>-146553</v>
      </c>
      <c r="J20" s="250">
        <v>-146742</v>
      </c>
      <c r="K20" s="250">
        <v>-146814</v>
      </c>
      <c r="L20" s="250">
        <v>-146462</v>
      </c>
      <c r="M20" s="250">
        <v>-146534</v>
      </c>
      <c r="N20" s="250">
        <v>-146406</v>
      </c>
      <c r="O20" s="250">
        <v>-145966</v>
      </c>
      <c r="P20" s="250">
        <v>-144416</v>
      </c>
      <c r="R20" s="250">
        <v>-131537</v>
      </c>
      <c r="T20" s="250">
        <f>+P20</f>
        <v>-144416</v>
      </c>
      <c r="U20" s="250">
        <v>-144379</v>
      </c>
      <c r="AB20" s="188"/>
      <c r="AC20" s="188"/>
      <c r="AD20" s="188"/>
      <c r="AE20" s="188"/>
      <c r="AF20" s="188"/>
    </row>
    <row r="21" spans="1:32">
      <c r="A21" s="257"/>
      <c r="B21" s="183" t="s">
        <v>643</v>
      </c>
      <c r="C21" s="181"/>
      <c r="D21" s="250">
        <v>-1118</v>
      </c>
      <c r="E21" s="250">
        <v>-1657</v>
      </c>
      <c r="F21" s="250">
        <v>-1657</v>
      </c>
      <c r="G21" s="250">
        <v>-1657</v>
      </c>
      <c r="H21" s="250">
        <v>-1657</v>
      </c>
      <c r="I21" s="250">
        <v>-1657</v>
      </c>
      <c r="J21" s="250">
        <v>-1657</v>
      </c>
      <c r="K21" s="250">
        <v>-1457</v>
      </c>
      <c r="L21" s="250">
        <v>-1257</v>
      </c>
      <c r="M21" s="250">
        <v>-1657</v>
      </c>
      <c r="N21" s="250">
        <v>-1657</v>
      </c>
      <c r="O21" s="250">
        <v>-1657</v>
      </c>
      <c r="P21" s="250">
        <v>-1657</v>
      </c>
      <c r="R21" s="250">
        <v>0</v>
      </c>
      <c r="T21" s="250">
        <f>+P21</f>
        <v>-1657</v>
      </c>
      <c r="U21" s="250">
        <f>+R21</f>
        <v>0</v>
      </c>
      <c r="AB21" s="188"/>
      <c r="AC21" s="188"/>
      <c r="AD21" s="188"/>
      <c r="AE21" s="188"/>
      <c r="AF21" s="188"/>
    </row>
    <row r="22" spans="1:32">
      <c r="A22" s="257"/>
      <c r="B22" s="183" t="s">
        <v>167</v>
      </c>
      <c r="C22" s="181"/>
      <c r="D22" s="250">
        <v>-1884</v>
      </c>
      <c r="E22" s="250">
        <v>-1873</v>
      </c>
      <c r="F22" s="250">
        <v>-1883</v>
      </c>
      <c r="G22" s="250">
        <v>-1887</v>
      </c>
      <c r="H22" s="250">
        <v>-1870</v>
      </c>
      <c r="I22" s="250">
        <v>-1870</v>
      </c>
      <c r="J22" s="250">
        <v>-1877</v>
      </c>
      <c r="K22" s="250">
        <v>-1877</v>
      </c>
      <c r="L22" s="250">
        <v>-1867</v>
      </c>
      <c r="M22" s="250">
        <v>-1874</v>
      </c>
      <c r="N22" s="250">
        <v>-1874</v>
      </c>
      <c r="O22" s="250">
        <v>-1874</v>
      </c>
      <c r="P22" s="250">
        <v>-1943</v>
      </c>
      <c r="R22" s="250">
        <v>-1774</v>
      </c>
      <c r="T22" s="250">
        <f>+P22</f>
        <v>-1943</v>
      </c>
      <c r="U22" s="250">
        <v>-1834</v>
      </c>
      <c r="AB22" s="188"/>
      <c r="AC22" s="188"/>
      <c r="AD22" s="188"/>
      <c r="AE22" s="188"/>
      <c r="AF22" s="188"/>
    </row>
    <row r="23" spans="1:32">
      <c r="A23" s="257"/>
      <c r="B23" s="249" t="s">
        <v>648</v>
      </c>
      <c r="C23" s="181"/>
      <c r="D23" s="205">
        <f t="shared" ref="D23:P23" si="3">D8+D13+D19+D20+D22+D21</f>
        <v>213805</v>
      </c>
      <c r="E23" s="205">
        <f t="shared" si="3"/>
        <v>217898</v>
      </c>
      <c r="F23" s="205">
        <f t="shared" si="3"/>
        <v>223431</v>
      </c>
      <c r="G23" s="205">
        <f t="shared" si="3"/>
        <v>228452</v>
      </c>
      <c r="H23" s="205">
        <f t="shared" si="3"/>
        <v>231439</v>
      </c>
      <c r="I23" s="205">
        <f t="shared" si="3"/>
        <v>233568</v>
      </c>
      <c r="J23" s="205">
        <f t="shared" si="3"/>
        <v>235869</v>
      </c>
      <c r="K23" s="205">
        <f t="shared" si="3"/>
        <v>239605</v>
      </c>
      <c r="L23" s="205">
        <f t="shared" si="3"/>
        <v>243274</v>
      </c>
      <c r="M23" s="205">
        <f t="shared" si="3"/>
        <v>247406</v>
      </c>
      <c r="N23" s="205">
        <f t="shared" si="3"/>
        <v>251918</v>
      </c>
      <c r="O23" s="205">
        <f t="shared" si="3"/>
        <v>256502</v>
      </c>
      <c r="P23" s="205">
        <f t="shared" si="3"/>
        <v>245434</v>
      </c>
      <c r="R23" s="205">
        <f>R8+R13+R19+R20+R22+R21</f>
        <v>217948</v>
      </c>
      <c r="T23" s="205">
        <f>T8+T13+T19+T20+T22+T21</f>
        <v>245434</v>
      </c>
      <c r="U23" s="205">
        <f>U8+U13+U19+U20+U22+U21</f>
        <v>246937</v>
      </c>
      <c r="AB23" s="335"/>
      <c r="AC23" s="335"/>
      <c r="AD23" s="335"/>
      <c r="AE23" s="335"/>
      <c r="AF23" s="335"/>
    </row>
    <row r="24" spans="1:32">
      <c r="A24" s="257"/>
      <c r="B24" s="249" t="s">
        <v>649</v>
      </c>
      <c r="C24" s="181"/>
      <c r="D24" s="213"/>
      <c r="E24" s="213"/>
      <c r="F24" s="213"/>
      <c r="G24" s="213"/>
      <c r="H24" s="213"/>
      <c r="I24" s="213"/>
      <c r="J24" s="213"/>
      <c r="K24" s="213"/>
      <c r="L24" s="213"/>
      <c r="M24" s="213"/>
      <c r="N24" s="213"/>
      <c r="O24" s="213"/>
      <c r="P24" s="213"/>
      <c r="R24" s="213"/>
      <c r="T24" s="214"/>
      <c r="U24" s="213"/>
      <c r="AB24" s="213"/>
      <c r="AC24" s="213"/>
      <c r="AD24" s="214"/>
      <c r="AE24" s="213"/>
      <c r="AF24" s="215"/>
    </row>
    <row r="25" spans="1:32">
      <c r="A25" s="257"/>
      <c r="B25" s="256" t="s">
        <v>934</v>
      </c>
      <c r="C25" s="181"/>
      <c r="D25" s="250">
        <v>-247752</v>
      </c>
      <c r="E25" s="250">
        <v>-254776</v>
      </c>
      <c r="F25" s="250">
        <v>-263280</v>
      </c>
      <c r="G25" s="250">
        <v>-271280</v>
      </c>
      <c r="H25" s="250">
        <v>-275911</v>
      </c>
      <c r="I25" s="250">
        <v>-279816</v>
      </c>
      <c r="J25" s="250">
        <v>-284061</v>
      </c>
      <c r="K25" s="250">
        <v>-288143</v>
      </c>
      <c r="L25" s="250">
        <v>-292369</v>
      </c>
      <c r="M25" s="250">
        <v>-296783</v>
      </c>
      <c r="N25" s="250">
        <v>-301489</v>
      </c>
      <c r="O25" s="250">
        <v>-306274</v>
      </c>
      <c r="P25" s="250">
        <v>-310668</v>
      </c>
      <c r="R25" s="250">
        <v>-262939</v>
      </c>
      <c r="T25" s="250">
        <f>+P25</f>
        <v>-310668</v>
      </c>
      <c r="U25" s="250">
        <v>-312003</v>
      </c>
      <c r="AB25" s="188"/>
      <c r="AC25" s="188"/>
      <c r="AD25" s="188"/>
      <c r="AE25" s="188"/>
      <c r="AF25" s="188"/>
    </row>
    <row r="26" spans="1:32">
      <c r="A26" s="257"/>
      <c r="B26" s="183" t="s">
        <v>650</v>
      </c>
      <c r="C26" s="181"/>
      <c r="D26" s="1748">
        <v>87980</v>
      </c>
      <c r="E26" s="1748">
        <v>87980</v>
      </c>
      <c r="F26" s="1748">
        <v>87980</v>
      </c>
      <c r="G26" s="1748">
        <v>87980</v>
      </c>
      <c r="H26" s="1748">
        <v>87980</v>
      </c>
      <c r="I26" s="1748">
        <v>87980</v>
      </c>
      <c r="J26" s="1748">
        <v>87980</v>
      </c>
      <c r="K26" s="1748">
        <v>87980</v>
      </c>
      <c r="L26" s="1748">
        <v>87980</v>
      </c>
      <c r="M26" s="1748">
        <v>87980</v>
      </c>
      <c r="N26" s="1748">
        <v>87980</v>
      </c>
      <c r="O26" s="1748">
        <v>87980</v>
      </c>
      <c r="P26" s="1748">
        <v>87980</v>
      </c>
      <c r="R26" s="250">
        <v>79399</v>
      </c>
      <c r="T26" s="250">
        <f>+P26</f>
        <v>87980</v>
      </c>
      <c r="U26" s="250">
        <f>+R26</f>
        <v>79399</v>
      </c>
      <c r="AB26" s="188"/>
      <c r="AC26" s="188"/>
      <c r="AD26" s="188"/>
      <c r="AE26" s="188"/>
      <c r="AF26" s="188"/>
    </row>
    <row r="27" spans="1:32">
      <c r="A27" s="257"/>
      <c r="B27" s="183" t="s">
        <v>651</v>
      </c>
      <c r="C27" s="181"/>
      <c r="D27" s="250"/>
      <c r="E27" s="250">
        <v>2931</v>
      </c>
      <c r="F27" s="250">
        <v>5902</v>
      </c>
      <c r="G27" s="250">
        <v>8881</v>
      </c>
      <c r="H27" s="250">
        <v>10525</v>
      </c>
      <c r="I27" s="250">
        <v>12301</v>
      </c>
      <c r="J27" s="1748">
        <v>14245</v>
      </c>
      <c r="K27" s="250">
        <v>14591</v>
      </c>
      <c r="L27" s="250">
        <v>15148</v>
      </c>
      <c r="M27" s="250">
        <v>15430</v>
      </c>
      <c r="N27" s="250">
        <v>15624</v>
      </c>
      <c r="O27" s="250">
        <v>15825</v>
      </c>
      <c r="P27" s="250">
        <v>31287</v>
      </c>
      <c r="R27" s="250">
        <v>11217</v>
      </c>
      <c r="T27" s="250">
        <f>+P27</f>
        <v>31287</v>
      </c>
      <c r="U27" s="250">
        <v>31292</v>
      </c>
      <c r="AB27" s="188"/>
      <c r="AC27" s="188"/>
      <c r="AD27" s="188"/>
      <c r="AE27" s="188"/>
      <c r="AF27" s="188"/>
    </row>
    <row r="28" spans="1:32">
      <c r="A28" s="257"/>
      <c r="B28" s="183" t="s">
        <v>652</v>
      </c>
      <c r="C28" s="181"/>
      <c r="D28" s="250">
        <v>-54033</v>
      </c>
      <c r="E28" s="250">
        <v>-54033</v>
      </c>
      <c r="F28" s="250">
        <v>-54033</v>
      </c>
      <c r="G28" s="250">
        <v>-54033</v>
      </c>
      <c r="H28" s="250">
        <v>-54033</v>
      </c>
      <c r="I28" s="250">
        <v>-54033</v>
      </c>
      <c r="J28" s="250">
        <v>-54033</v>
      </c>
      <c r="K28" s="250">
        <v>-54033</v>
      </c>
      <c r="L28" s="250">
        <v>-54033</v>
      </c>
      <c r="M28" s="250">
        <v>-54033</v>
      </c>
      <c r="N28" s="250">
        <v>-54033</v>
      </c>
      <c r="O28" s="250">
        <v>-54033</v>
      </c>
      <c r="P28" s="250">
        <v>-54033</v>
      </c>
      <c r="R28" s="250">
        <v>-45625</v>
      </c>
      <c r="T28" s="250">
        <f>+P28</f>
        <v>-54033</v>
      </c>
      <c r="U28" s="250">
        <f>+R28</f>
        <v>-45625</v>
      </c>
      <c r="AB28" s="188"/>
      <c r="AC28" s="188"/>
      <c r="AD28" s="188"/>
      <c r="AE28" s="188"/>
      <c r="AF28" s="188"/>
    </row>
    <row r="29" spans="1:32">
      <c r="A29" s="257"/>
      <c r="B29" s="249" t="s">
        <v>653</v>
      </c>
      <c r="C29" s="181"/>
      <c r="D29" s="205">
        <f t="shared" ref="D29:P29" si="4">SUM(D25:D28)</f>
        <v>-213805</v>
      </c>
      <c r="E29" s="205">
        <f t="shared" si="4"/>
        <v>-217898</v>
      </c>
      <c r="F29" s="205">
        <f t="shared" si="4"/>
        <v>-223431</v>
      </c>
      <c r="G29" s="205">
        <f t="shared" si="4"/>
        <v>-228452</v>
      </c>
      <c r="H29" s="205">
        <f t="shared" si="4"/>
        <v>-231439</v>
      </c>
      <c r="I29" s="205">
        <f t="shared" si="4"/>
        <v>-233568</v>
      </c>
      <c r="J29" s="205">
        <f t="shared" si="4"/>
        <v>-235869</v>
      </c>
      <c r="K29" s="205">
        <f t="shared" si="4"/>
        <v>-239605</v>
      </c>
      <c r="L29" s="205">
        <f t="shared" si="4"/>
        <v>-243274</v>
      </c>
      <c r="M29" s="205">
        <f t="shared" si="4"/>
        <v>-247406</v>
      </c>
      <c r="N29" s="205">
        <f t="shared" si="4"/>
        <v>-251918</v>
      </c>
      <c r="O29" s="205">
        <f t="shared" si="4"/>
        <v>-256502</v>
      </c>
      <c r="P29" s="205">
        <f t="shared" si="4"/>
        <v>-245434</v>
      </c>
      <c r="R29" s="205">
        <f>SUM(R25:R28)</f>
        <v>-217948</v>
      </c>
      <c r="T29" s="205">
        <f>SUM(T25:T28)</f>
        <v>-245434</v>
      </c>
      <c r="U29" s="205">
        <f>SUM(U25:U28)</f>
        <v>-246937</v>
      </c>
      <c r="AB29" s="335"/>
      <c r="AC29" s="335"/>
      <c r="AD29" s="335"/>
      <c r="AE29" s="335"/>
      <c r="AF29" s="335"/>
    </row>
    <row r="30" spans="1:32">
      <c r="A30" s="257"/>
      <c r="C30" s="181"/>
      <c r="D30" s="237" t="str">
        <f t="shared" ref="D30:P30" si="5">IF(D29=(D23*-1),"","ERROR")</f>
        <v/>
      </c>
      <c r="E30" s="237" t="str">
        <f t="shared" si="5"/>
        <v/>
      </c>
      <c r="F30" s="237" t="str">
        <f t="shared" si="5"/>
        <v/>
      </c>
      <c r="G30" s="237" t="str">
        <f t="shared" si="5"/>
        <v/>
      </c>
      <c r="H30" s="237" t="str">
        <f t="shared" si="5"/>
        <v/>
      </c>
      <c r="I30" s="237" t="str">
        <f t="shared" si="5"/>
        <v/>
      </c>
      <c r="J30" s="237" t="str">
        <f t="shared" si="5"/>
        <v/>
      </c>
      <c r="K30" s="237" t="str">
        <f t="shared" si="5"/>
        <v/>
      </c>
      <c r="L30" s="237" t="str">
        <f t="shared" si="5"/>
        <v/>
      </c>
      <c r="M30" s="237" t="str">
        <f t="shared" si="5"/>
        <v/>
      </c>
      <c r="N30" s="237" t="str">
        <f t="shared" si="5"/>
        <v/>
      </c>
      <c r="O30" s="237" t="str">
        <f t="shared" si="5"/>
        <v/>
      </c>
      <c r="P30" s="237" t="str">
        <f t="shared" si="5"/>
        <v/>
      </c>
      <c r="R30" s="237" t="str">
        <f>IF(R29=(R23*-1),"","ERROR")</f>
        <v/>
      </c>
      <c r="T30" s="237" t="str">
        <f>IF(T29=(T23*-1),"","ERROR")</f>
        <v/>
      </c>
      <c r="U30" s="237" t="str">
        <f>IF(U29=(U23*-1),"","ERROR")</f>
        <v/>
      </c>
      <c r="AB30" s="29"/>
      <c r="AC30" s="29"/>
      <c r="AD30" s="29"/>
      <c r="AE30" s="29"/>
      <c r="AF30" s="29"/>
    </row>
    <row r="31" spans="1:32">
      <c r="A31" s="257"/>
      <c r="C31" s="181"/>
    </row>
    <row r="32" spans="1:32">
      <c r="A32" s="236"/>
      <c r="C32" s="181"/>
      <c r="R32" s="237" t="str">
        <f>IF((+Surplus!C29)=(R27),"","ERROR")</f>
        <v>ERROR</v>
      </c>
      <c r="U32" s="237" t="str">
        <f>IF((+Surplus!V55)=(U27),"","ERROR")</f>
        <v>ERROR</v>
      </c>
    </row>
    <row r="33" spans="1:11">
      <c r="A33" s="236"/>
      <c r="C33" s="181"/>
    </row>
    <row r="34" spans="1:11">
      <c r="A34" s="236"/>
      <c r="C34" s="181"/>
    </row>
    <row r="35" spans="1:11" ht="26.4">
      <c r="A35" s="236"/>
      <c r="B35" s="259"/>
      <c r="C35" s="181"/>
      <c r="D35" s="190" t="s">
        <v>655</v>
      </c>
      <c r="E35" s="190" t="s">
        <v>656</v>
      </c>
      <c r="F35" s="190" t="s">
        <v>672</v>
      </c>
      <c r="G35" s="190" t="s">
        <v>673</v>
      </c>
      <c r="H35" s="190" t="s">
        <v>827</v>
      </c>
      <c r="I35" s="190" t="s">
        <v>674</v>
      </c>
      <c r="J35" s="190" t="s">
        <v>675</v>
      </c>
      <c r="K35" s="30"/>
    </row>
    <row r="36" spans="1:11" ht="26.4">
      <c r="A36" s="236"/>
      <c r="B36" s="260"/>
      <c r="C36" s="181"/>
      <c r="D36" s="190" t="s">
        <v>676</v>
      </c>
      <c r="E36" s="190" t="s">
        <v>677</v>
      </c>
      <c r="F36" s="190" t="s">
        <v>678</v>
      </c>
      <c r="G36" s="190" t="s">
        <v>679</v>
      </c>
      <c r="H36" s="190"/>
      <c r="I36" s="190" t="s">
        <v>680</v>
      </c>
      <c r="J36" s="190" t="s">
        <v>680</v>
      </c>
      <c r="K36" s="30"/>
    </row>
    <row r="37" spans="1:11">
      <c r="A37" s="236"/>
      <c r="B37" s="260"/>
      <c r="C37" s="181"/>
      <c r="D37" s="190" t="s">
        <v>948</v>
      </c>
      <c r="E37" s="190" t="s">
        <v>948</v>
      </c>
      <c r="F37" s="190" t="s">
        <v>948</v>
      </c>
      <c r="G37" s="190" t="s">
        <v>948</v>
      </c>
      <c r="H37" s="190" t="s">
        <v>948</v>
      </c>
      <c r="I37" s="190" t="s">
        <v>948</v>
      </c>
      <c r="J37" s="190" t="s">
        <v>948</v>
      </c>
      <c r="K37" s="30"/>
    </row>
    <row r="38" spans="1:11">
      <c r="A38" s="236"/>
      <c r="B38" s="260" t="s">
        <v>437</v>
      </c>
      <c r="C38" s="181"/>
      <c r="D38" s="263">
        <v>895</v>
      </c>
      <c r="E38" s="263">
        <v>332</v>
      </c>
      <c r="F38" s="263">
        <v>2147</v>
      </c>
      <c r="G38" s="263">
        <v>566</v>
      </c>
      <c r="H38" s="191">
        <f t="shared" ref="H38:H43" si="6">SUM(D38:G38)</f>
        <v>3940</v>
      </c>
      <c r="I38" s="191">
        <f t="shared" ref="I38:I43" si="7">SUM(E38:G38)</f>
        <v>3045</v>
      </c>
      <c r="J38" s="263">
        <v>3179</v>
      </c>
      <c r="K38" s="30"/>
    </row>
    <row r="39" spans="1:11">
      <c r="A39" s="236"/>
      <c r="B39" s="260" t="s">
        <v>681</v>
      </c>
      <c r="C39" s="181"/>
      <c r="D39" s="263">
        <v>396</v>
      </c>
      <c r="E39" s="263">
        <v>317</v>
      </c>
      <c r="F39" s="263">
        <v>958</v>
      </c>
      <c r="G39" s="263">
        <v>1783</v>
      </c>
      <c r="H39" s="191">
        <f t="shared" si="6"/>
        <v>3454</v>
      </c>
      <c r="I39" s="191">
        <f t="shared" si="7"/>
        <v>3058</v>
      </c>
      <c r="J39" s="263">
        <v>3585</v>
      </c>
      <c r="K39" s="30"/>
    </row>
    <row r="40" spans="1:11">
      <c r="A40" s="236"/>
      <c r="B40" s="260" t="s">
        <v>682</v>
      </c>
      <c r="C40" s="181"/>
      <c r="D40" s="263">
        <v>754</v>
      </c>
      <c r="E40" s="263">
        <v>82</v>
      </c>
      <c r="F40" s="263">
        <v>541</v>
      </c>
      <c r="G40" s="263">
        <v>650</v>
      </c>
      <c r="H40" s="191">
        <f t="shared" si="6"/>
        <v>2027</v>
      </c>
      <c r="I40" s="191">
        <f t="shared" si="7"/>
        <v>1273</v>
      </c>
      <c r="J40" s="263">
        <v>1710</v>
      </c>
      <c r="K40" s="30"/>
    </row>
    <row r="41" spans="1:11">
      <c r="A41" s="236"/>
      <c r="B41" s="260" t="s">
        <v>683</v>
      </c>
      <c r="C41" s="181"/>
      <c r="D41" s="263">
        <v>1350</v>
      </c>
      <c r="E41" s="263">
        <v>238</v>
      </c>
      <c r="F41" s="263">
        <v>250</v>
      </c>
      <c r="G41" s="263">
        <v>2163</v>
      </c>
      <c r="H41" s="191">
        <f t="shared" si="6"/>
        <v>4001</v>
      </c>
      <c r="I41" s="191">
        <f t="shared" si="7"/>
        <v>2651</v>
      </c>
      <c r="J41" s="263">
        <v>2468</v>
      </c>
      <c r="K41" s="30"/>
    </row>
    <row r="42" spans="1:11">
      <c r="A42" s="236"/>
      <c r="B42" s="260" t="s">
        <v>684</v>
      </c>
      <c r="C42" s="181"/>
      <c r="D42" s="263">
        <v>447</v>
      </c>
      <c r="E42" s="263">
        <v>276</v>
      </c>
      <c r="F42" s="263">
        <v>24</v>
      </c>
      <c r="G42" s="263">
        <v>864</v>
      </c>
      <c r="H42" s="191">
        <f t="shared" si="6"/>
        <v>1611</v>
      </c>
      <c r="I42" s="191">
        <f t="shared" si="7"/>
        <v>1164</v>
      </c>
      <c r="J42" s="263">
        <v>1158</v>
      </c>
      <c r="K42" s="30"/>
    </row>
    <row r="43" spans="1:11">
      <c r="A43" s="236"/>
      <c r="B43" s="260" t="s">
        <v>685</v>
      </c>
      <c r="C43" s="181"/>
      <c r="D43" s="263">
        <v>8</v>
      </c>
      <c r="E43" s="263">
        <v>68</v>
      </c>
      <c r="F43" s="263">
        <v>22</v>
      </c>
      <c r="G43" s="263">
        <v>256</v>
      </c>
      <c r="H43" s="191">
        <f t="shared" si="6"/>
        <v>354</v>
      </c>
      <c r="I43" s="191">
        <f t="shared" si="7"/>
        <v>346</v>
      </c>
      <c r="J43" s="263">
        <v>306</v>
      </c>
      <c r="K43" s="30"/>
    </row>
    <row r="44" spans="1:11">
      <c r="A44" s="236"/>
      <c r="B44" s="261" t="s">
        <v>686</v>
      </c>
      <c r="C44" s="181"/>
      <c r="D44" s="174">
        <f t="shared" ref="D44:J44" si="8">SUM(D38:D43)</f>
        <v>3850</v>
      </c>
      <c r="E44" s="174">
        <f t="shared" si="8"/>
        <v>1313</v>
      </c>
      <c r="F44" s="174">
        <f t="shared" si="8"/>
        <v>3942</v>
      </c>
      <c r="G44" s="174">
        <f t="shared" si="8"/>
        <v>6282</v>
      </c>
      <c r="H44" s="174">
        <f t="shared" si="8"/>
        <v>15387</v>
      </c>
      <c r="I44" s="174">
        <f t="shared" si="8"/>
        <v>11537</v>
      </c>
      <c r="J44" s="174">
        <f t="shared" si="8"/>
        <v>12406</v>
      </c>
      <c r="K44" s="30"/>
    </row>
    <row r="45" spans="1:11">
      <c r="A45" s="236"/>
      <c r="B45" s="256" t="s">
        <v>687</v>
      </c>
      <c r="C45" s="181"/>
      <c r="D45" s="191"/>
      <c r="E45" s="191"/>
      <c r="F45" s="191"/>
      <c r="G45" s="191"/>
      <c r="H45" s="191">
        <v>-7983</v>
      </c>
      <c r="I45" s="191"/>
      <c r="J45" s="191"/>
      <c r="K45" s="191"/>
    </row>
    <row r="46" spans="1:11">
      <c r="A46" s="236"/>
      <c r="B46" s="183" t="s">
        <v>688</v>
      </c>
      <c r="C46" s="181"/>
      <c r="D46" s="191"/>
      <c r="E46" s="191"/>
      <c r="F46" s="191"/>
      <c r="G46" s="191"/>
      <c r="H46" s="191">
        <v>36294</v>
      </c>
      <c r="I46" s="191"/>
      <c r="J46" s="191"/>
      <c r="K46" s="191"/>
    </row>
    <row r="47" spans="1:11">
      <c r="A47" s="236"/>
      <c r="B47" s="183" t="s">
        <v>689</v>
      </c>
      <c r="C47" s="181"/>
      <c r="D47" s="191"/>
      <c r="E47" s="191"/>
      <c r="F47" s="191"/>
      <c r="G47" s="191"/>
      <c r="H47" s="191">
        <v>6709</v>
      </c>
      <c r="I47" s="191"/>
      <c r="J47" s="191"/>
      <c r="K47" s="191"/>
    </row>
    <row r="48" spans="1:11">
      <c r="A48" s="236"/>
      <c r="B48" s="183" t="s">
        <v>683</v>
      </c>
      <c r="C48" s="181"/>
      <c r="D48" s="191"/>
      <c r="E48" s="191"/>
      <c r="F48" s="191"/>
      <c r="G48" s="191"/>
      <c r="H48" s="191">
        <v>1207</v>
      </c>
      <c r="I48" s="191"/>
      <c r="J48" s="191"/>
      <c r="K48" s="191"/>
    </row>
    <row r="49" spans="1:11">
      <c r="A49" s="236"/>
      <c r="B49" s="261" t="s">
        <v>690</v>
      </c>
      <c r="C49" s="181"/>
      <c r="D49" s="192"/>
      <c r="E49" s="192"/>
      <c r="F49" s="192"/>
      <c r="G49" s="192"/>
      <c r="H49" s="262">
        <f>SUM(H44:H48)</f>
        <v>51614</v>
      </c>
      <c r="I49" s="192"/>
      <c r="J49" s="192"/>
      <c r="K49" s="192"/>
    </row>
    <row r="50" spans="1:11">
      <c r="A50" s="236"/>
      <c r="C50" s="181"/>
      <c r="H50" s="237" t="str">
        <f>IF(H49=R10,"","ERROR")</f>
        <v/>
      </c>
    </row>
    <row r="51" spans="1:11">
      <c r="A51" s="236"/>
      <c r="B51" s="183" t="s">
        <v>691</v>
      </c>
      <c r="C51" s="181"/>
      <c r="D51" s="186">
        <f>H44+H45</f>
        <v>7404</v>
      </c>
    </row>
    <row r="52" spans="1:11">
      <c r="A52" s="236"/>
      <c r="B52" s="183" t="s">
        <v>688</v>
      </c>
      <c r="C52" s="181"/>
      <c r="D52" s="186">
        <f>H46</f>
        <v>36294</v>
      </c>
    </row>
    <row r="53" spans="1:11">
      <c r="A53" s="236"/>
      <c r="B53" s="183" t="s">
        <v>689</v>
      </c>
      <c r="C53" s="181"/>
      <c r="D53" s="186">
        <f>H47</f>
        <v>6709</v>
      </c>
    </row>
    <row r="54" spans="1:11">
      <c r="A54" s="236"/>
      <c r="B54" s="183" t="s">
        <v>683</v>
      </c>
      <c r="C54" s="181"/>
      <c r="D54" s="186">
        <f>H48</f>
        <v>1207</v>
      </c>
    </row>
    <row r="55" spans="1:11">
      <c r="A55" s="236"/>
      <c r="C55" s="181"/>
      <c r="D55" s="240">
        <f>SUM(D51:D54)</f>
        <v>51614</v>
      </c>
      <c r="E55" s="237" t="str">
        <f>IF(D55=R10,"","ERROR")</f>
        <v/>
      </c>
    </row>
    <row r="56" spans="1:11">
      <c r="A56" s="236"/>
    </row>
    <row r="57" spans="1:11">
      <c r="A57" s="236"/>
    </row>
    <row r="58" spans="1:11">
      <c r="A58" s="236"/>
    </row>
    <row r="59" spans="1:11">
      <c r="A59" s="236"/>
    </row>
    <row r="60" spans="1:11">
      <c r="A60" s="236"/>
    </row>
    <row r="61" spans="1:11">
      <c r="A61" s="236"/>
    </row>
    <row r="62" spans="1:11">
      <c r="A62" s="236"/>
    </row>
    <row r="63" spans="1:11">
      <c r="A63" s="236"/>
    </row>
    <row r="64" spans="1:11">
      <c r="A64" s="236"/>
    </row>
    <row r="65" spans="1:5">
      <c r="A65" s="236"/>
    </row>
    <row r="66" spans="1:5">
      <c r="A66" s="236"/>
    </row>
    <row r="67" spans="1:5">
      <c r="A67" s="236"/>
    </row>
    <row r="68" spans="1:5">
      <c r="A68" s="236"/>
    </row>
    <row r="69" spans="1:5">
      <c r="A69" s="236"/>
    </row>
    <row r="70" spans="1:5">
      <c r="A70" s="236"/>
    </row>
    <row r="71" spans="1:5">
      <c r="A71" s="236"/>
    </row>
    <row r="72" spans="1:5">
      <c r="A72" s="236"/>
      <c r="B72" s="35" t="str">
        <f>D36</f>
        <v>1-30 Days</v>
      </c>
      <c r="C72" s="35"/>
      <c r="D72" s="186">
        <f>D44</f>
        <v>3850</v>
      </c>
    </row>
    <row r="73" spans="1:5">
      <c r="A73" s="236"/>
      <c r="B73" s="35" t="str">
        <f>E36</f>
        <v>31-60 Days</v>
      </c>
      <c r="C73" s="35"/>
      <c r="D73" s="186">
        <f>E44</f>
        <v>1313</v>
      </c>
    </row>
    <row r="74" spans="1:5">
      <c r="A74" s="236"/>
      <c r="B74" s="35" t="str">
        <f>F36</f>
        <v>61-90 Days</v>
      </c>
      <c r="C74" s="35"/>
      <c r="D74" s="186">
        <f>F44</f>
        <v>3942</v>
      </c>
    </row>
    <row r="75" spans="1:5">
      <c r="A75" s="236"/>
      <c r="B75" s="35" t="str">
        <f>G36</f>
        <v>Over 90 Days</v>
      </c>
      <c r="C75" s="35"/>
      <c r="D75" s="186">
        <f>G44</f>
        <v>6282</v>
      </c>
    </row>
    <row r="76" spans="1:5">
      <c r="A76" s="236"/>
      <c r="D76" s="240">
        <f>SUM(D72:D75)</f>
        <v>15387</v>
      </c>
      <c r="E76" s="237" t="str">
        <f>IF(D76=H44,"","ERROR")</f>
        <v/>
      </c>
    </row>
    <row r="77" spans="1:5">
      <c r="A77" s="236"/>
    </row>
    <row r="78" spans="1:5">
      <c r="A78" s="236"/>
    </row>
    <row r="79" spans="1:5">
      <c r="A79" s="236"/>
    </row>
    <row r="80" spans="1:5">
      <c r="A80" s="236"/>
    </row>
    <row r="81" spans="1:1">
      <c r="A81" s="236"/>
    </row>
    <row r="82" spans="1:1">
      <c r="A82" s="236"/>
    </row>
    <row r="83" spans="1:1">
      <c r="A83" s="236"/>
    </row>
    <row r="84" spans="1:1">
      <c r="A84" s="236"/>
    </row>
    <row r="85" spans="1:1">
      <c r="A85" s="236"/>
    </row>
    <row r="86" spans="1:1">
      <c r="A86" s="236"/>
    </row>
    <row r="87" spans="1:1">
      <c r="A87" s="236"/>
    </row>
    <row r="88" spans="1:1">
      <c r="A88" s="236"/>
    </row>
    <row r="89" spans="1:1">
      <c r="A89" s="236"/>
    </row>
    <row r="90" spans="1:1">
      <c r="A90" s="236"/>
    </row>
    <row r="91" spans="1:1">
      <c r="A91" s="236"/>
    </row>
    <row r="92" spans="1:1">
      <c r="A92" s="236"/>
    </row>
  </sheetData>
  <mergeCells count="2">
    <mergeCell ref="E1:P1"/>
    <mergeCell ref="T1:U1"/>
  </mergeCells>
  <phoneticPr fontId="8" type="noConversion"/>
  <pageMargins left="0.32" right="0.54" top="0.49" bottom="0.59" header="0.25" footer="0.3"/>
  <pageSetup paperSize="9"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pageSetUpPr fitToPage="1"/>
  </sheetPr>
  <dimension ref="A1:M65"/>
  <sheetViews>
    <sheetView showGridLines="0" workbookViewId="0">
      <selection activeCell="B27" sqref="B27"/>
    </sheetView>
  </sheetViews>
  <sheetFormatPr defaultRowHeight="13.2"/>
  <cols>
    <col min="1" max="1" width="33.6640625" customWidth="1"/>
    <col min="2" max="3" width="14.33203125" customWidth="1"/>
    <col min="4" max="4" width="12.6640625" bestFit="1" customWidth="1"/>
    <col min="5" max="5" width="12.6640625" customWidth="1"/>
    <col min="6" max="6" width="14.33203125" customWidth="1"/>
    <col min="7" max="7" width="0.6640625" customWidth="1"/>
    <col min="8" max="8" width="33.6640625" customWidth="1"/>
    <col min="9" max="13" width="14.33203125" customWidth="1"/>
  </cols>
  <sheetData>
    <row r="1" spans="1:13" ht="21.6" thickBot="1">
      <c r="A1" s="599" t="str">
        <f>'Summary Page'!A1</f>
        <v xml:space="preserve">Finance Report Month 2 2016/17 </v>
      </c>
      <c r="B1" s="600"/>
      <c r="C1" s="600"/>
      <c r="D1" s="600"/>
      <c r="E1" s="601"/>
      <c r="F1" s="745"/>
      <c r="G1" s="753" t="s">
        <v>720</v>
      </c>
      <c r="H1" s="754"/>
      <c r="I1" s="755"/>
      <c r="J1" s="745"/>
      <c r="K1" s="745"/>
      <c r="L1" s="745"/>
      <c r="M1" s="756" t="s">
        <v>31</v>
      </c>
    </row>
    <row r="2" spans="1:13" ht="7.5" customHeight="1">
      <c r="A2" s="295"/>
      <c r="B2" s="41"/>
      <c r="C2" s="41"/>
      <c r="D2" s="41"/>
      <c r="E2" s="41"/>
      <c r="F2" s="41"/>
      <c r="G2" s="41"/>
      <c r="H2" s="41"/>
      <c r="I2" s="41"/>
      <c r="J2" s="41"/>
      <c r="K2" s="41"/>
      <c r="L2" s="41"/>
      <c r="M2" s="41"/>
    </row>
    <row r="3" spans="1:13" ht="12.75" customHeight="1">
      <c r="A3" s="2129" t="s">
        <v>337</v>
      </c>
      <c r="B3" s="2177"/>
      <c r="C3" s="2177"/>
      <c r="D3" s="2177"/>
      <c r="E3" s="2177"/>
      <c r="F3" s="2177"/>
      <c r="G3" s="2177"/>
      <c r="H3" s="2177"/>
      <c r="I3" s="2177"/>
      <c r="J3" s="2177"/>
      <c r="K3" s="2177"/>
      <c r="L3" s="2177"/>
      <c r="M3" s="2178"/>
    </row>
    <row r="4" spans="1:13">
      <c r="A4" s="2179"/>
      <c r="B4" s="2180"/>
      <c r="C4" s="2180"/>
      <c r="D4" s="2180"/>
      <c r="E4" s="2180"/>
      <c r="F4" s="2180"/>
      <c r="G4" s="2180"/>
      <c r="H4" s="2180"/>
      <c r="I4" s="2180"/>
      <c r="J4" s="2180"/>
      <c r="K4" s="2180"/>
      <c r="L4" s="2180"/>
      <c r="M4" s="2181"/>
    </row>
    <row r="5" spans="1:13" ht="21.75" customHeight="1">
      <c r="A5" s="2182"/>
      <c r="B5" s="2183"/>
      <c r="C5" s="2183"/>
      <c r="D5" s="2183"/>
      <c r="E5" s="2183"/>
      <c r="F5" s="2183"/>
      <c r="G5" s="2183"/>
      <c r="H5" s="2183"/>
      <c r="I5" s="2183"/>
      <c r="J5" s="2183"/>
      <c r="K5" s="2183"/>
      <c r="L5" s="2183"/>
      <c r="M5" s="2184"/>
    </row>
    <row r="6" spans="1:13" ht="4.5" customHeight="1"/>
    <row r="7" spans="1:13">
      <c r="A7" s="69" t="s">
        <v>930</v>
      </c>
      <c r="B7" s="67"/>
      <c r="C7" s="40"/>
      <c r="D7" s="67"/>
      <c r="E7" s="2190" t="s">
        <v>606</v>
      </c>
      <c r="F7" s="2191"/>
      <c r="H7" s="69" t="s">
        <v>944</v>
      </c>
      <c r="I7" s="67"/>
      <c r="J7" s="40"/>
      <c r="K7" s="67"/>
      <c r="L7" s="2190" t="s">
        <v>606</v>
      </c>
      <c r="M7" s="2191"/>
    </row>
    <row r="8" spans="1:13">
      <c r="A8" s="219"/>
      <c r="B8" s="30"/>
      <c r="C8" s="56" t="s">
        <v>721</v>
      </c>
      <c r="D8" s="56" t="s">
        <v>722</v>
      </c>
      <c r="E8" s="2192" t="s">
        <v>722</v>
      </c>
      <c r="F8" s="2193"/>
      <c r="H8" s="55"/>
      <c r="I8" s="30"/>
      <c r="J8" s="56" t="s">
        <v>721</v>
      </c>
      <c r="K8" s="56" t="s">
        <v>834</v>
      </c>
      <c r="L8" s="2192" t="s">
        <v>834</v>
      </c>
      <c r="M8" s="2193"/>
    </row>
    <row r="9" spans="1:13" ht="12.75" customHeight="1">
      <c r="A9" s="113" t="s">
        <v>720</v>
      </c>
      <c r="B9" s="30"/>
      <c r="C9" s="218">
        <f>C23</f>
        <v>2.75</v>
      </c>
      <c r="D9" s="218">
        <f>'FRR SHAs'!D19</f>
        <v>1</v>
      </c>
      <c r="E9" s="2194">
        <f>F23</f>
        <v>3</v>
      </c>
      <c r="F9" s="2195"/>
      <c r="H9" s="113" t="s">
        <v>720</v>
      </c>
      <c r="I9" s="30"/>
      <c r="J9" s="218">
        <f>J23</f>
        <v>3</v>
      </c>
      <c r="K9" s="218">
        <f>L23</f>
        <v>3</v>
      </c>
      <c r="L9" s="2194">
        <f>M23</f>
        <v>3</v>
      </c>
      <c r="M9" s="2195"/>
    </row>
    <row r="10" spans="1:13" ht="12.75" customHeight="1">
      <c r="A10" s="58"/>
      <c r="B10" s="41"/>
      <c r="C10" s="90"/>
      <c r="D10" s="41"/>
      <c r="E10" s="41"/>
      <c r="F10" s="86"/>
      <c r="H10" s="58"/>
      <c r="I10" s="41"/>
      <c r="J10" s="90"/>
      <c r="K10" s="41"/>
      <c r="L10" s="41"/>
      <c r="M10" s="86"/>
    </row>
    <row r="11" spans="1:13" ht="4.5" customHeight="1">
      <c r="A11" s="53"/>
      <c r="C11" s="57"/>
      <c r="D11" s="29"/>
      <c r="E11" s="29"/>
      <c r="F11" s="57"/>
      <c r="H11" s="53"/>
      <c r="J11" s="57"/>
      <c r="K11" s="29"/>
      <c r="L11" s="29"/>
      <c r="M11" s="57"/>
    </row>
    <row r="12" spans="1:13" ht="12.75" hidden="1" customHeight="1">
      <c r="A12" s="2142"/>
      <c r="B12" s="2143"/>
      <c r="C12" s="2143"/>
      <c r="D12" s="2143"/>
      <c r="E12" s="2143"/>
      <c r="F12" s="2144"/>
      <c r="H12" s="2142"/>
      <c r="I12" s="2143"/>
      <c r="J12" s="2143"/>
      <c r="K12" s="2143"/>
      <c r="L12" s="2143"/>
      <c r="M12" s="2144"/>
    </row>
    <row r="13" spans="1:13" ht="66" hidden="1" customHeight="1">
      <c r="A13" s="2145"/>
      <c r="B13" s="2146"/>
      <c r="C13" s="2146"/>
      <c r="D13" s="2146"/>
      <c r="E13" s="2146"/>
      <c r="F13" s="2147"/>
      <c r="H13" s="2145"/>
      <c r="I13" s="2146"/>
      <c r="J13" s="2146"/>
      <c r="K13" s="2146"/>
      <c r="L13" s="2146"/>
      <c r="M13" s="2147"/>
    </row>
    <row r="14" spans="1:13" ht="4.5" hidden="1" customHeight="1">
      <c r="A14" s="52"/>
      <c r="B14" s="52"/>
      <c r="C14" s="52"/>
      <c r="D14" s="52"/>
      <c r="E14" s="52"/>
      <c r="F14" s="52"/>
      <c r="H14" s="52"/>
      <c r="I14" s="52"/>
      <c r="J14" s="52"/>
      <c r="K14" s="52"/>
      <c r="L14" s="52"/>
      <c r="M14" s="52"/>
    </row>
    <row r="15" spans="1:13" ht="12.75" customHeight="1">
      <c r="A15" s="69" t="s">
        <v>930</v>
      </c>
      <c r="B15" s="67" t="s">
        <v>721</v>
      </c>
      <c r="C15" s="67" t="s">
        <v>721</v>
      </c>
      <c r="D15" s="67" t="s">
        <v>722</v>
      </c>
      <c r="E15" s="67" t="s">
        <v>722</v>
      </c>
      <c r="F15" s="561" t="s">
        <v>607</v>
      </c>
      <c r="H15" s="69" t="s">
        <v>944</v>
      </c>
      <c r="I15" s="67" t="s">
        <v>721</v>
      </c>
      <c r="J15" s="67" t="s">
        <v>721</v>
      </c>
      <c r="K15" s="67" t="s">
        <v>834</v>
      </c>
      <c r="L15" s="67" t="s">
        <v>834</v>
      </c>
      <c r="M15" s="561" t="s">
        <v>607</v>
      </c>
    </row>
    <row r="16" spans="1:13">
      <c r="A16" s="55"/>
      <c r="B16" s="50" t="s">
        <v>860</v>
      </c>
      <c r="C16" s="50" t="s">
        <v>861</v>
      </c>
      <c r="D16" s="71" t="s">
        <v>860</v>
      </c>
      <c r="E16" s="71" t="s">
        <v>861</v>
      </c>
      <c r="F16" s="562" t="s">
        <v>722</v>
      </c>
      <c r="H16" s="55"/>
      <c r="I16" s="50" t="s">
        <v>860</v>
      </c>
      <c r="J16" s="50" t="s">
        <v>861</v>
      </c>
      <c r="K16" s="71" t="s">
        <v>860</v>
      </c>
      <c r="L16" s="71" t="s">
        <v>861</v>
      </c>
      <c r="M16" s="562" t="s">
        <v>834</v>
      </c>
    </row>
    <row r="17" spans="1:13">
      <c r="A17" s="63" t="s">
        <v>724</v>
      </c>
      <c r="B17" s="338">
        <v>4.8776462668290312E-2</v>
      </c>
      <c r="C17" s="664">
        <v>2</v>
      </c>
      <c r="D17" s="782">
        <v>4.8911232643348193E-2</v>
      </c>
      <c r="E17" s="664">
        <v>2</v>
      </c>
      <c r="F17" s="783">
        <v>3</v>
      </c>
      <c r="H17" s="63" t="s">
        <v>724</v>
      </c>
      <c r="I17" s="147">
        <v>6.0999999999999999E-2</v>
      </c>
      <c r="J17" s="663">
        <v>3</v>
      </c>
      <c r="K17" s="148">
        <v>6.6549100511264309E-2</v>
      </c>
      <c r="L17" s="664">
        <v>3</v>
      </c>
      <c r="M17" s="783">
        <v>3</v>
      </c>
    </row>
    <row r="18" spans="1:13">
      <c r="A18" s="63" t="s">
        <v>727</v>
      </c>
      <c r="B18" s="338">
        <v>0.95799999999999996</v>
      </c>
      <c r="C18" s="664">
        <v>4</v>
      </c>
      <c r="D18" s="781">
        <v>1.0137517678035231</v>
      </c>
      <c r="E18" s="664">
        <v>5</v>
      </c>
      <c r="F18" s="783">
        <v>5</v>
      </c>
      <c r="H18" s="63" t="s">
        <v>727</v>
      </c>
      <c r="I18" s="147">
        <v>0.95799999999999996</v>
      </c>
      <c r="J18" s="663">
        <v>4</v>
      </c>
      <c r="K18" s="148">
        <v>0.9464471732929296</v>
      </c>
      <c r="L18" s="664">
        <v>4</v>
      </c>
      <c r="M18" s="783">
        <v>5</v>
      </c>
    </row>
    <row r="19" spans="1:13">
      <c r="A19" s="63" t="s">
        <v>829</v>
      </c>
      <c r="B19" s="338">
        <v>-2.3914871483681683E-3</v>
      </c>
      <c r="C19" s="664">
        <v>3</v>
      </c>
      <c r="D19" s="782">
        <v>-7.7214196620803237E-4</v>
      </c>
      <c r="E19" s="664">
        <v>3</v>
      </c>
      <c r="F19" s="783">
        <v>3</v>
      </c>
      <c r="H19" s="63" t="s">
        <v>829</v>
      </c>
      <c r="I19" s="147">
        <v>1.2999999999999999E-2</v>
      </c>
      <c r="J19" s="663">
        <v>3</v>
      </c>
      <c r="K19" s="148">
        <v>2.9445581152161483E-2</v>
      </c>
      <c r="L19" s="664">
        <v>3</v>
      </c>
      <c r="M19" s="783">
        <v>3</v>
      </c>
    </row>
    <row r="20" spans="1:13">
      <c r="A20" s="63" t="s">
        <v>820</v>
      </c>
      <c r="B20" s="338">
        <v>-2.8604958382885677E-3</v>
      </c>
      <c r="C20" s="664">
        <v>2</v>
      </c>
      <c r="D20" s="782">
        <v>-2.1792795191934579E-3</v>
      </c>
      <c r="E20" s="664">
        <v>2</v>
      </c>
      <c r="F20" s="783">
        <v>2</v>
      </c>
      <c r="H20" s="63" t="s">
        <v>820</v>
      </c>
      <c r="I20" s="147">
        <v>1.2999999999999999E-2</v>
      </c>
      <c r="J20" s="663">
        <v>3</v>
      </c>
      <c r="K20" s="148">
        <v>7.2869231660091264E-3</v>
      </c>
      <c r="L20" s="664">
        <v>2</v>
      </c>
      <c r="M20" s="783">
        <v>2</v>
      </c>
    </row>
    <row r="21" spans="1:13">
      <c r="A21" s="63" t="s">
        <v>354</v>
      </c>
      <c r="B21" s="664">
        <v>13.592701202041628</v>
      </c>
      <c r="C21" s="664">
        <v>3</v>
      </c>
      <c r="D21" s="664">
        <v>20.670405510106114</v>
      </c>
      <c r="E21" s="664">
        <v>3</v>
      </c>
      <c r="F21" s="783">
        <v>3</v>
      </c>
      <c r="H21" s="63" t="s">
        <v>354</v>
      </c>
      <c r="I21" s="664">
        <v>18</v>
      </c>
      <c r="J21" s="663">
        <v>3</v>
      </c>
      <c r="K21" s="664">
        <v>19.060050274598503</v>
      </c>
      <c r="L21" s="664">
        <v>3</v>
      </c>
      <c r="M21" s="783">
        <v>3</v>
      </c>
    </row>
    <row r="22" spans="1:13">
      <c r="A22" s="65" t="s">
        <v>835</v>
      </c>
      <c r="B22" s="61"/>
      <c r="C22" s="1285">
        <v>2.65</v>
      </c>
      <c r="D22" s="62"/>
      <c r="E22" s="563">
        <v>2.75</v>
      </c>
      <c r="F22" s="784">
        <v>3</v>
      </c>
      <c r="H22" s="65" t="s">
        <v>835</v>
      </c>
      <c r="I22" s="61"/>
      <c r="J22" s="1286">
        <v>3.1</v>
      </c>
      <c r="K22" s="62"/>
      <c r="L22" s="563">
        <v>2.9</v>
      </c>
      <c r="M22" s="784">
        <v>3</v>
      </c>
    </row>
    <row r="23" spans="1:13">
      <c r="A23" s="245" t="s">
        <v>861</v>
      </c>
      <c r="B23" s="246"/>
      <c r="C23" s="564">
        <v>2.75</v>
      </c>
      <c r="D23" s="247"/>
      <c r="E23" s="564">
        <v>3</v>
      </c>
      <c r="F23" s="248">
        <v>3</v>
      </c>
      <c r="H23" s="245" t="s">
        <v>861</v>
      </c>
      <c r="I23" s="246"/>
      <c r="J23" s="76">
        <v>3</v>
      </c>
      <c r="K23" s="247"/>
      <c r="L23" s="76">
        <v>3</v>
      </c>
      <c r="M23" s="248">
        <v>3</v>
      </c>
    </row>
    <row r="24" spans="1:13" ht="4.5" customHeight="1"/>
    <row r="25" spans="1:13" ht="12.75" hidden="1" customHeight="1">
      <c r="A25" s="2142" t="s">
        <v>365</v>
      </c>
      <c r="B25" s="2143"/>
      <c r="C25" s="2143"/>
      <c r="D25" s="2143"/>
      <c r="E25" s="2143"/>
      <c r="F25" s="2144"/>
      <c r="H25" s="2142"/>
      <c r="I25" s="2185"/>
      <c r="J25" s="2185"/>
      <c r="K25" s="2185"/>
      <c r="L25" s="2185"/>
      <c r="M25" s="2186"/>
    </row>
    <row r="26" spans="1:13" hidden="1">
      <c r="A26" s="2145"/>
      <c r="B26" s="2146"/>
      <c r="C26" s="2146"/>
      <c r="D26" s="2146"/>
      <c r="E26" s="2146"/>
      <c r="F26" s="2147"/>
      <c r="H26" s="2187"/>
      <c r="I26" s="2188"/>
      <c r="J26" s="2188"/>
      <c r="K26" s="2188"/>
      <c r="L26" s="2188"/>
      <c r="M26" s="2189"/>
    </row>
    <row r="27" spans="1:13" ht="4.5" customHeight="1"/>
    <row r="29" spans="1:13" ht="12.75" customHeight="1">
      <c r="A29" s="4" t="s">
        <v>838</v>
      </c>
      <c r="B29" s="5" t="s">
        <v>839</v>
      </c>
      <c r="C29" s="5"/>
      <c r="D29" s="2148" t="s">
        <v>840</v>
      </c>
      <c r="E29" s="2148"/>
      <c r="F29" s="2148"/>
      <c r="G29" s="328"/>
      <c r="H29" s="5"/>
      <c r="I29" s="5" t="s">
        <v>841</v>
      </c>
      <c r="J29" s="5"/>
      <c r="K29" s="5"/>
      <c r="L29" s="5"/>
      <c r="M29" s="329"/>
    </row>
    <row r="30" spans="1:13">
      <c r="A30" s="6"/>
      <c r="B30" s="7"/>
      <c r="C30" s="7"/>
      <c r="D30" s="9"/>
      <c r="E30" s="9"/>
      <c r="F30" s="8"/>
      <c r="G30" s="8"/>
      <c r="H30" s="7"/>
      <c r="I30" s="7">
        <v>5</v>
      </c>
      <c r="J30" s="7">
        <v>4</v>
      </c>
      <c r="K30" s="7">
        <v>3</v>
      </c>
      <c r="L30" s="7">
        <v>2</v>
      </c>
      <c r="M30" s="10">
        <v>1</v>
      </c>
    </row>
    <row r="31" spans="1:13">
      <c r="A31" s="11"/>
      <c r="B31" s="12"/>
      <c r="C31" s="12"/>
      <c r="D31" s="13"/>
      <c r="E31" s="13"/>
      <c r="F31" s="14"/>
      <c r="G31" s="14"/>
      <c r="H31" s="13"/>
      <c r="I31" s="13"/>
      <c r="J31" s="13"/>
      <c r="K31" s="13"/>
      <c r="L31" s="13"/>
      <c r="M31" s="15"/>
    </row>
    <row r="32" spans="1:13">
      <c r="A32" s="16" t="s">
        <v>842</v>
      </c>
      <c r="B32" s="12">
        <v>25</v>
      </c>
      <c r="C32" s="330">
        <v>0.25</v>
      </c>
      <c r="D32" s="17" t="s">
        <v>843</v>
      </c>
      <c r="E32" s="17"/>
      <c r="F32" s="14"/>
      <c r="G32" s="14"/>
      <c r="H32" s="333"/>
      <c r="I32" s="333">
        <v>10.9</v>
      </c>
      <c r="J32" s="333">
        <v>8.9</v>
      </c>
      <c r="K32" s="333">
        <v>4.9000000000000004</v>
      </c>
      <c r="L32" s="333">
        <v>0.9</v>
      </c>
      <c r="M32" s="18" t="s">
        <v>844</v>
      </c>
    </row>
    <row r="33" spans="1:13">
      <c r="A33" s="19" t="s">
        <v>845</v>
      </c>
      <c r="B33" s="12">
        <v>10</v>
      </c>
      <c r="C33" s="330">
        <v>0.1</v>
      </c>
      <c r="D33" s="17" t="s">
        <v>846</v>
      </c>
      <c r="E33" s="17"/>
      <c r="F33" s="3"/>
      <c r="G33" s="3"/>
      <c r="H33" s="333"/>
      <c r="I33" s="333">
        <v>99.9</v>
      </c>
      <c r="J33" s="333">
        <v>84.9</v>
      </c>
      <c r="K33" s="333">
        <v>69.900000000000006</v>
      </c>
      <c r="L33" s="333">
        <v>49.9</v>
      </c>
      <c r="M33" s="18" t="s">
        <v>847</v>
      </c>
    </row>
    <row r="34" spans="1:13">
      <c r="A34" s="20" t="s">
        <v>848</v>
      </c>
      <c r="B34" s="21">
        <v>40</v>
      </c>
      <c r="C34" s="330">
        <v>0.2</v>
      </c>
      <c r="D34" s="17" t="s">
        <v>403</v>
      </c>
      <c r="E34" s="17"/>
      <c r="F34" s="3"/>
      <c r="G34" s="3"/>
      <c r="H34" s="333"/>
      <c r="I34" s="333">
        <v>5.9</v>
      </c>
      <c r="J34" s="333">
        <v>4.9000000000000004</v>
      </c>
      <c r="K34" s="333">
        <v>2.9</v>
      </c>
      <c r="L34" s="333">
        <v>-2.0000010000000001</v>
      </c>
      <c r="M34" s="18" t="s">
        <v>854</v>
      </c>
    </row>
    <row r="35" spans="1:13">
      <c r="A35" s="20"/>
      <c r="B35" s="21"/>
      <c r="C35" s="330">
        <v>0.2</v>
      </c>
      <c r="D35" s="17" t="s">
        <v>855</v>
      </c>
      <c r="E35" s="17"/>
      <c r="F35" s="22"/>
      <c r="G35" s="22"/>
      <c r="H35" s="333"/>
      <c r="I35" s="333">
        <v>2.9</v>
      </c>
      <c r="J35" s="333">
        <v>1.9</v>
      </c>
      <c r="K35" s="333">
        <v>0.9</v>
      </c>
      <c r="L35" s="333">
        <v>-2.0000010000000001</v>
      </c>
      <c r="M35" s="18" t="s">
        <v>854</v>
      </c>
    </row>
    <row r="36" spans="1:13">
      <c r="A36" s="19" t="s">
        <v>856</v>
      </c>
      <c r="B36" s="12">
        <v>25</v>
      </c>
      <c r="C36" s="330">
        <v>0.25</v>
      </c>
      <c r="D36" s="17" t="s">
        <v>857</v>
      </c>
      <c r="E36" s="17"/>
      <c r="F36" s="3"/>
      <c r="G36" s="3"/>
      <c r="H36" s="333"/>
      <c r="I36" s="333">
        <v>59.9</v>
      </c>
      <c r="J36" s="333">
        <v>24.9</v>
      </c>
      <c r="K36" s="333">
        <v>14.9</v>
      </c>
      <c r="L36" s="333">
        <v>9.9</v>
      </c>
      <c r="M36" s="18" t="s">
        <v>858</v>
      </c>
    </row>
    <row r="37" spans="1:13">
      <c r="A37" s="23"/>
      <c r="B37" s="24"/>
      <c r="C37" s="3"/>
      <c r="D37" s="13"/>
      <c r="E37" s="13"/>
      <c r="F37" s="3"/>
      <c r="G37" s="3"/>
      <c r="H37" s="12"/>
      <c r="I37" s="12"/>
      <c r="J37" s="12"/>
      <c r="K37" s="12"/>
      <c r="L37" s="12"/>
      <c r="M37" s="18"/>
    </row>
    <row r="38" spans="1:13">
      <c r="A38" s="25" t="s">
        <v>859</v>
      </c>
      <c r="B38" s="26"/>
      <c r="C38" s="27"/>
      <c r="D38" s="26"/>
      <c r="E38" s="26"/>
      <c r="F38" s="8"/>
      <c r="G38" s="8"/>
      <c r="H38" s="26"/>
      <c r="I38" s="26"/>
      <c r="J38" s="26"/>
      <c r="K38" s="26"/>
      <c r="L38" s="26"/>
      <c r="M38" s="28"/>
    </row>
    <row r="40" spans="1:13">
      <c r="A40" s="36"/>
      <c r="B40" s="40"/>
      <c r="C40" s="40"/>
      <c r="D40" s="40"/>
      <c r="E40" s="40"/>
      <c r="F40" s="40"/>
      <c r="G40" s="40"/>
      <c r="H40" s="40"/>
      <c r="I40" s="40"/>
      <c r="J40" s="40"/>
      <c r="K40" s="40"/>
      <c r="L40" s="40"/>
      <c r="M40" s="59"/>
    </row>
    <row r="41" spans="1:13">
      <c r="A41" s="78" t="s">
        <v>816</v>
      </c>
      <c r="B41" s="30"/>
      <c r="C41" s="30"/>
      <c r="D41" s="30"/>
      <c r="E41" s="30"/>
      <c r="F41" s="30"/>
      <c r="G41" s="30"/>
      <c r="H41" s="30"/>
      <c r="I41" s="30"/>
      <c r="J41" s="30"/>
      <c r="K41" s="30"/>
      <c r="L41" s="30"/>
      <c r="M41" s="70"/>
    </row>
    <row r="42" spans="1:13">
      <c r="A42" s="37"/>
      <c r="B42" s="30"/>
      <c r="C42" s="30"/>
      <c r="D42" s="30"/>
      <c r="E42" s="30"/>
      <c r="F42" s="30"/>
      <c r="G42" s="30"/>
      <c r="H42" s="30"/>
      <c r="I42" s="30"/>
      <c r="J42" s="30"/>
      <c r="K42" s="30"/>
      <c r="L42" s="30"/>
      <c r="M42" s="70"/>
    </row>
    <row r="43" spans="1:13">
      <c r="A43" s="37"/>
      <c r="B43" s="30"/>
      <c r="C43" s="30"/>
      <c r="D43" s="30"/>
      <c r="E43" s="30"/>
      <c r="F43" s="30"/>
      <c r="G43" s="30"/>
      <c r="H43" s="30"/>
      <c r="I43" s="30"/>
      <c r="J43" s="30"/>
      <c r="K43" s="30"/>
      <c r="L43" s="30"/>
      <c r="M43" s="70"/>
    </row>
    <row r="44" spans="1:13">
      <c r="A44" s="37"/>
      <c r="B44" s="30"/>
      <c r="C44" s="30"/>
      <c r="D44" s="30"/>
      <c r="E44" s="30"/>
      <c r="F44" s="30"/>
      <c r="G44" s="30"/>
      <c r="H44" s="30"/>
      <c r="I44" s="30"/>
      <c r="J44" s="30"/>
      <c r="K44" s="30"/>
      <c r="L44" s="30"/>
      <c r="M44" s="70"/>
    </row>
    <row r="45" spans="1:13">
      <c r="A45" s="37"/>
      <c r="B45" s="30"/>
      <c r="C45" s="30"/>
      <c r="D45" s="30"/>
      <c r="E45" s="30"/>
      <c r="F45" s="30"/>
      <c r="G45" s="30"/>
      <c r="H45" s="30"/>
      <c r="I45" s="30"/>
      <c r="J45" s="30"/>
      <c r="K45" s="30"/>
      <c r="L45" s="30"/>
      <c r="M45" s="70"/>
    </row>
    <row r="46" spans="1:13">
      <c r="A46" s="37"/>
      <c r="B46" s="30"/>
      <c r="C46" s="30"/>
      <c r="D46" s="30"/>
      <c r="E46" s="30"/>
      <c r="F46" s="30"/>
      <c r="G46" s="30"/>
      <c r="H46" s="30"/>
      <c r="I46" s="30"/>
      <c r="J46" s="30"/>
      <c r="K46" s="30"/>
      <c r="L46" s="30"/>
      <c r="M46" s="70"/>
    </row>
    <row r="47" spans="1:13">
      <c r="A47" s="38"/>
      <c r="B47" s="41"/>
      <c r="C47" s="41"/>
      <c r="D47" s="41"/>
      <c r="E47" s="41"/>
      <c r="F47" s="41"/>
      <c r="G47" s="41"/>
      <c r="H47" s="41"/>
      <c r="I47" s="41"/>
      <c r="J47" s="41"/>
      <c r="K47" s="41"/>
      <c r="L47" s="41"/>
      <c r="M47" s="60"/>
    </row>
    <row r="49" spans="1:13">
      <c r="A49" s="69" t="s">
        <v>930</v>
      </c>
      <c r="B49" s="67" t="s">
        <v>721</v>
      </c>
      <c r="C49" s="67" t="s">
        <v>721</v>
      </c>
      <c r="D49" s="67" t="s">
        <v>722</v>
      </c>
      <c r="E49" s="67" t="s">
        <v>722</v>
      </c>
      <c r="F49" s="561" t="s">
        <v>607</v>
      </c>
      <c r="H49" s="69" t="s">
        <v>944</v>
      </c>
      <c r="I49" s="67" t="s">
        <v>721</v>
      </c>
      <c r="J49" s="67" t="s">
        <v>721</v>
      </c>
      <c r="K49" s="67" t="s">
        <v>834</v>
      </c>
      <c r="L49" s="67" t="s">
        <v>834</v>
      </c>
      <c r="M49" s="561" t="s">
        <v>607</v>
      </c>
    </row>
    <row r="50" spans="1:13">
      <c r="A50" s="55"/>
      <c r="B50" s="50" t="s">
        <v>860</v>
      </c>
      <c r="C50" s="50" t="s">
        <v>861</v>
      </c>
      <c r="D50" s="71" t="s">
        <v>860</v>
      </c>
      <c r="E50" s="71" t="s">
        <v>861</v>
      </c>
      <c r="F50" s="562" t="s">
        <v>722</v>
      </c>
      <c r="H50" s="55"/>
      <c r="I50" s="50" t="s">
        <v>860</v>
      </c>
      <c r="J50" s="50" t="s">
        <v>861</v>
      </c>
      <c r="K50" s="71" t="s">
        <v>860</v>
      </c>
      <c r="L50" s="71" t="s">
        <v>861</v>
      </c>
      <c r="M50" s="562" t="s">
        <v>834</v>
      </c>
    </row>
    <row r="51" spans="1:13">
      <c r="A51" s="1402" t="s">
        <v>817</v>
      </c>
      <c r="B51" s="338"/>
      <c r="C51" s="664"/>
      <c r="D51" s="782"/>
      <c r="E51" s="664"/>
      <c r="F51" s="783"/>
      <c r="H51" s="1402" t="s">
        <v>817</v>
      </c>
      <c r="I51" s="147"/>
      <c r="J51" s="663"/>
      <c r="K51" s="148"/>
      <c r="L51" s="664"/>
      <c r="M51" s="783"/>
    </row>
    <row r="52" spans="1:13">
      <c r="A52" s="1403"/>
      <c r="B52" s="338"/>
      <c r="C52" s="664"/>
      <c r="D52" s="781"/>
      <c r="E52" s="664"/>
      <c r="F52" s="783"/>
      <c r="H52" s="1403"/>
      <c r="I52" s="147"/>
      <c r="J52" s="663"/>
      <c r="K52" s="148"/>
      <c r="L52" s="664"/>
      <c r="M52" s="783"/>
    </row>
    <row r="53" spans="1:13">
      <c r="A53" s="1402" t="s">
        <v>818</v>
      </c>
      <c r="B53" s="338"/>
      <c r="C53" s="664"/>
      <c r="D53" s="782"/>
      <c r="E53" s="664"/>
      <c r="F53" s="783"/>
      <c r="H53" s="1402" t="s">
        <v>818</v>
      </c>
      <c r="I53" s="147"/>
      <c r="J53" s="663"/>
      <c r="K53" s="148"/>
      <c r="L53" s="664"/>
      <c r="M53" s="783"/>
    </row>
    <row r="54" spans="1:13">
      <c r="A54" s="1403"/>
      <c r="B54" s="338"/>
      <c r="C54" s="664"/>
      <c r="D54" s="782"/>
      <c r="E54" s="664"/>
      <c r="F54" s="783"/>
      <c r="H54" s="1403"/>
      <c r="I54" s="147"/>
      <c r="J54" s="663"/>
      <c r="K54" s="148"/>
      <c r="L54" s="664"/>
      <c r="M54" s="783"/>
    </row>
    <row r="55" spans="1:13">
      <c r="A55" s="1402" t="s">
        <v>285</v>
      </c>
      <c r="B55" s="664"/>
      <c r="C55" s="664"/>
      <c r="D55" s="664"/>
      <c r="E55" s="664"/>
      <c r="F55" s="783"/>
      <c r="H55" s="1402" t="s">
        <v>285</v>
      </c>
      <c r="I55" s="664"/>
      <c r="J55" s="663"/>
      <c r="K55" s="664"/>
      <c r="L55" s="664"/>
      <c r="M55" s="783"/>
    </row>
    <row r="56" spans="1:13">
      <c r="A56" s="37"/>
      <c r="B56" s="61"/>
      <c r="C56" s="1285"/>
      <c r="D56" s="62"/>
      <c r="E56" s="563"/>
      <c r="F56" s="784"/>
      <c r="H56" s="65"/>
      <c r="I56" s="61"/>
      <c r="J56" s="1286"/>
      <c r="K56" s="62"/>
      <c r="L56" s="563"/>
      <c r="M56" s="784"/>
    </row>
    <row r="57" spans="1:13">
      <c r="A57" s="245"/>
      <c r="B57" s="246"/>
      <c r="C57" s="564"/>
      <c r="D57" s="247"/>
      <c r="E57" s="564"/>
      <c r="F57" s="248"/>
      <c r="H57" s="245"/>
      <c r="I57" s="246"/>
      <c r="J57" s="76"/>
      <c r="K57" s="247"/>
      <c r="L57" s="76"/>
      <c r="M57" s="248"/>
    </row>
    <row r="60" spans="1:13">
      <c r="A60" s="36"/>
      <c r="B60" s="40"/>
      <c r="C60" s="40"/>
      <c r="D60" s="40"/>
      <c r="E60" s="40"/>
      <c r="F60" s="40"/>
      <c r="G60" s="40"/>
      <c r="H60" s="40"/>
      <c r="I60" s="40"/>
      <c r="J60" s="40"/>
      <c r="K60" s="40"/>
      <c r="L60" s="40"/>
      <c r="M60" s="59"/>
    </row>
    <row r="61" spans="1:13">
      <c r="A61" s="37"/>
      <c r="B61" s="30"/>
      <c r="C61" s="30"/>
      <c r="D61" s="30"/>
      <c r="E61" s="30"/>
      <c r="F61" s="30"/>
      <c r="G61" s="30"/>
      <c r="H61" s="30"/>
      <c r="I61" s="30"/>
      <c r="J61" s="30"/>
      <c r="K61" s="30"/>
      <c r="L61" s="30"/>
      <c r="M61" s="70"/>
    </row>
    <row r="62" spans="1:13">
      <c r="A62" s="37"/>
      <c r="B62" s="30"/>
      <c r="C62" s="30"/>
      <c r="D62" s="30"/>
      <c r="E62" s="30"/>
      <c r="F62" s="30"/>
      <c r="G62" s="30"/>
      <c r="H62" s="30"/>
      <c r="I62" s="30"/>
      <c r="J62" s="30"/>
      <c r="K62" s="30"/>
      <c r="L62" s="30"/>
      <c r="M62" s="70"/>
    </row>
    <row r="63" spans="1:13">
      <c r="A63" s="37"/>
      <c r="B63" s="30"/>
      <c r="C63" s="30"/>
      <c r="D63" s="30"/>
      <c r="E63" s="30"/>
      <c r="F63" s="30"/>
      <c r="G63" s="30"/>
      <c r="H63" s="30"/>
      <c r="I63" s="30"/>
      <c r="J63" s="30"/>
      <c r="K63" s="30"/>
      <c r="L63" s="30"/>
      <c r="M63" s="70"/>
    </row>
    <row r="64" spans="1:13">
      <c r="A64" s="37"/>
      <c r="B64" s="30"/>
      <c r="C64" s="30"/>
      <c r="D64" s="30"/>
      <c r="E64" s="30"/>
      <c r="F64" s="30"/>
      <c r="G64" s="30"/>
      <c r="H64" s="30"/>
      <c r="I64" s="30"/>
      <c r="J64" s="30"/>
      <c r="K64" s="30"/>
      <c r="L64" s="30"/>
      <c r="M64" s="70"/>
    </row>
    <row r="65" spans="1:13">
      <c r="A65" s="38"/>
      <c r="B65" s="41"/>
      <c r="C65" s="41"/>
      <c r="D65" s="41"/>
      <c r="E65" s="41"/>
      <c r="F65" s="41"/>
      <c r="G65" s="41"/>
      <c r="H65" s="41"/>
      <c r="I65" s="41"/>
      <c r="J65" s="41"/>
      <c r="K65" s="41"/>
      <c r="L65" s="41"/>
      <c r="M65" s="60"/>
    </row>
  </sheetData>
  <mergeCells count="12">
    <mergeCell ref="D29:F29"/>
    <mergeCell ref="A3:M5"/>
    <mergeCell ref="A12:F13"/>
    <mergeCell ref="H12:M13"/>
    <mergeCell ref="A25:F26"/>
    <mergeCell ref="H25:M26"/>
    <mergeCell ref="E7:F7"/>
    <mergeCell ref="E8:F8"/>
    <mergeCell ref="E9:F9"/>
    <mergeCell ref="L7:M7"/>
    <mergeCell ref="L8:M8"/>
    <mergeCell ref="L9:M9"/>
  </mergeCells>
  <phoneticPr fontId="8" type="noConversion"/>
  <printOptions horizontalCentered="1" verticalCentered="1"/>
  <pageMargins left="0.35433070866141736" right="0.35433070866141736" top="0.19685039370078741" bottom="0.39370078740157483" header="0" footer="0.19685039370078741"/>
  <pageSetup paperSize="9" scale="68" orientation="landscape" r:id="rId1"/>
  <headerFooter alignWithMargins="0">
    <oddFooter>&amp;CPage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28"/>
  </sheetPr>
  <dimension ref="A1:BH65"/>
  <sheetViews>
    <sheetView topLeftCell="Q1" workbookViewId="0">
      <selection activeCell="C70" sqref="C70"/>
    </sheetView>
  </sheetViews>
  <sheetFormatPr defaultRowHeight="13.2"/>
  <cols>
    <col min="1" max="1" width="39.6640625" customWidth="1"/>
    <col min="2" max="2" width="30.6640625" customWidth="1"/>
    <col min="3" max="8" width="10" customWidth="1"/>
    <col min="17" max="17" width="26.33203125" bestFit="1" customWidth="1"/>
    <col min="18" max="18" width="10.109375" bestFit="1" customWidth="1"/>
    <col min="23" max="24" width="9.33203125" bestFit="1" customWidth="1"/>
    <col min="25" max="27" width="10.109375" bestFit="1" customWidth="1"/>
    <col min="28" max="28" width="12.6640625" bestFit="1" customWidth="1"/>
    <col min="29" max="29" width="10.109375" bestFit="1" customWidth="1"/>
    <col min="32" max="32" width="15.44140625" bestFit="1" customWidth="1"/>
    <col min="47" max="47" width="27.88671875" customWidth="1"/>
  </cols>
  <sheetData>
    <row r="1" spans="1:60">
      <c r="A1" s="257" t="s">
        <v>574</v>
      </c>
      <c r="B1" s="72" t="s">
        <v>448</v>
      </c>
      <c r="C1" s="280">
        <v>42095</v>
      </c>
      <c r="D1" s="280">
        <v>42125</v>
      </c>
      <c r="E1" s="280">
        <v>42156</v>
      </c>
      <c r="F1" s="280">
        <v>42186</v>
      </c>
      <c r="G1" s="280">
        <v>42217</v>
      </c>
      <c r="H1" s="280">
        <v>42248</v>
      </c>
      <c r="I1" s="280">
        <v>42278</v>
      </c>
      <c r="J1" s="280">
        <v>42309</v>
      </c>
      <c r="K1" s="280">
        <v>42339</v>
      </c>
      <c r="L1" s="280">
        <v>42370</v>
      </c>
      <c r="M1" s="280">
        <v>42401</v>
      </c>
      <c r="N1" s="280">
        <v>42430</v>
      </c>
      <c r="O1" s="235" t="s">
        <v>827</v>
      </c>
      <c r="Q1" s="72" t="s">
        <v>572</v>
      </c>
      <c r="R1" s="280">
        <v>42095</v>
      </c>
      <c r="S1" s="280">
        <v>42125</v>
      </c>
      <c r="T1" s="280">
        <v>42156</v>
      </c>
      <c r="U1" s="280">
        <v>42186</v>
      </c>
      <c r="V1" s="280">
        <v>42217</v>
      </c>
      <c r="W1" s="280">
        <v>42248</v>
      </c>
      <c r="X1" s="280">
        <v>42278</v>
      </c>
      <c r="Y1" s="280">
        <v>42309</v>
      </c>
      <c r="Z1" s="280">
        <v>42339</v>
      </c>
      <c r="AA1" s="280">
        <v>42370</v>
      </c>
      <c r="AB1" s="280">
        <v>42401</v>
      </c>
      <c r="AC1" s="280">
        <v>42430</v>
      </c>
      <c r="AD1" s="235" t="s">
        <v>827</v>
      </c>
      <c r="AG1" s="280">
        <v>42095</v>
      </c>
      <c r="AH1" s="280">
        <v>42125</v>
      </c>
      <c r="AI1" s="280">
        <v>42156</v>
      </c>
      <c r="AJ1" s="280">
        <v>42186</v>
      </c>
      <c r="AK1" s="280">
        <v>42217</v>
      </c>
      <c r="AL1" s="280">
        <v>42248</v>
      </c>
      <c r="AM1" s="280">
        <v>42278</v>
      </c>
      <c r="AN1" s="280">
        <v>42309</v>
      </c>
      <c r="AO1" s="280">
        <v>42339</v>
      </c>
      <c r="AP1" s="280">
        <v>42370</v>
      </c>
      <c r="AQ1" s="280">
        <v>42401</v>
      </c>
      <c r="AR1" s="280">
        <v>42430</v>
      </c>
      <c r="AU1" s="72" t="s">
        <v>572</v>
      </c>
      <c r="AV1" s="280">
        <v>42461</v>
      </c>
      <c r="AW1" s="280">
        <v>42491</v>
      </c>
      <c r="AX1" s="280">
        <v>42522</v>
      </c>
      <c r="AY1" s="280">
        <v>42552</v>
      </c>
      <c r="AZ1" s="280">
        <v>42583</v>
      </c>
      <c r="BA1" s="280">
        <v>42614</v>
      </c>
      <c r="BB1" s="280">
        <v>42644</v>
      </c>
      <c r="BC1" s="280">
        <v>42675</v>
      </c>
      <c r="BD1" s="280">
        <v>42705</v>
      </c>
      <c r="BE1" s="280">
        <v>42736</v>
      </c>
      <c r="BF1" s="280">
        <v>42767</v>
      </c>
      <c r="BG1" s="280">
        <v>42795</v>
      </c>
      <c r="BH1" s="1920" t="s">
        <v>827</v>
      </c>
    </row>
    <row r="2" spans="1:60">
      <c r="A2" s="236"/>
      <c r="B2" s="30" t="s">
        <v>865</v>
      </c>
      <c r="C2" s="281">
        <f>-'IncomeandExpenditure Data'!X53</f>
        <v>-102.85199999999895</v>
      </c>
      <c r="D2" s="281">
        <f>-'IncomeandExpenditure Data'!Y53</f>
        <v>-108.7390000000014</v>
      </c>
      <c r="E2" s="281">
        <f>-'IncomeandExpenditure Data'!Z53</f>
        <v>-127.60100000000239</v>
      </c>
      <c r="F2" s="281">
        <f>-'IncomeandExpenditure Data'!AA53</f>
        <v>1231.7199999999939</v>
      </c>
      <c r="G2" s="281">
        <f>-'IncomeandExpenditure Data'!AB53</f>
        <v>1106.9999999999854</v>
      </c>
      <c r="H2" s="281">
        <f>-'IncomeandExpenditure Data'!AC53</f>
        <v>1274.077000000012</v>
      </c>
      <c r="I2" s="281">
        <f>-'IncomeandExpenditure Data'!AD53</f>
        <v>2177.3689999999988</v>
      </c>
      <c r="J2" s="281">
        <f>-'IncomeandExpenditure Data'!AE53</f>
        <v>2297.6810000000041</v>
      </c>
      <c r="K2" s="281">
        <f>-'IncomeandExpenditure Data'!AF53</f>
        <v>2583.9120000000039</v>
      </c>
      <c r="L2" s="281">
        <f>-'IncomeandExpenditure Data'!AG53</f>
        <v>2609.5590000000084</v>
      </c>
      <c r="M2" s="281">
        <f>-'IncomeandExpenditure Data'!AH53</f>
        <v>2612.7889999999898</v>
      </c>
      <c r="N2" s="281">
        <f>-'IncomeandExpenditure Data'!AI53</f>
        <v>2604.8960000000079</v>
      </c>
      <c r="O2" s="35">
        <f>SUM(C2:N2)</f>
        <v>18159.811000000002</v>
      </c>
      <c r="P2" s="35"/>
      <c r="Q2" s="30" t="s">
        <v>865</v>
      </c>
      <c r="R2" s="281">
        <f>-'IncomeandExpenditure Data'!J53</f>
        <v>-2127.0429999999978</v>
      </c>
      <c r="S2" s="281">
        <f>-'IncomeandExpenditure Data'!K53</f>
        <v>-3564.4700000000084</v>
      </c>
      <c r="T2" s="281">
        <f>-'IncomeandExpenditure Data'!L53</f>
        <v>-2021.2059999999983</v>
      </c>
      <c r="U2" s="281">
        <f>-'IncomeandExpenditure Data'!M53</f>
        <v>2947.471000000005</v>
      </c>
      <c r="V2" s="281">
        <f>-'IncomeandExpenditure Data'!N53</f>
        <v>484.37799999999697</v>
      </c>
      <c r="W2" s="281">
        <f>-'IncomeandExpenditure Data'!O53</f>
        <v>556.9429999999993</v>
      </c>
      <c r="X2" s="281">
        <f>-'IncomeandExpenditure Data'!P53</f>
        <v>5090.5649999999878</v>
      </c>
      <c r="Y2" s="281">
        <f>-'IncomeandExpenditure Data'!Q53</f>
        <v>1580.0929999999862</v>
      </c>
      <c r="Z2" s="281">
        <f>-'IncomeandExpenditure Data'!R53</f>
        <v>1873.599000000002</v>
      </c>
      <c r="AA2" s="281">
        <f>-'IncomeandExpenditure Data'!S53</f>
        <v>5557.7349999999933</v>
      </c>
      <c r="AB2" s="281">
        <f>-'IncomeandExpenditure Data'!T53</f>
        <v>2001.0250000000015</v>
      </c>
      <c r="AC2" s="281">
        <f>-'IncomeandExpenditure Data'!U53</f>
        <v>5568.9499999999971</v>
      </c>
      <c r="AD2" s="35">
        <f>SUM(R2:AC2)</f>
        <v>17948.039999999964</v>
      </c>
      <c r="AF2" t="s">
        <v>22</v>
      </c>
      <c r="AG2" s="35">
        <v>7000</v>
      </c>
      <c r="AH2" s="35">
        <v>5000</v>
      </c>
      <c r="AI2" s="35">
        <v>7000</v>
      </c>
      <c r="AJ2" s="35">
        <v>7000</v>
      </c>
      <c r="AK2" s="35">
        <v>7000</v>
      </c>
      <c r="AL2" s="35">
        <v>7000</v>
      </c>
      <c r="AM2" s="35">
        <v>7000</v>
      </c>
      <c r="AN2" s="35">
        <v>7000</v>
      </c>
      <c r="AO2" s="35">
        <v>7000</v>
      </c>
      <c r="AP2" s="35">
        <v>7000</v>
      </c>
      <c r="AQ2" s="35">
        <v>7000</v>
      </c>
      <c r="AR2" s="35">
        <v>7000</v>
      </c>
      <c r="AU2" s="30" t="s">
        <v>865</v>
      </c>
      <c r="AV2" s="281">
        <v>-104</v>
      </c>
      <c r="AW2" s="281">
        <v>-110</v>
      </c>
      <c r="AX2" s="281">
        <v>-123</v>
      </c>
      <c r="AY2" s="281">
        <v>1235</v>
      </c>
      <c r="AZ2" s="281">
        <v>1108</v>
      </c>
      <c r="BA2" s="281">
        <v>1272</v>
      </c>
      <c r="BB2" s="281">
        <v>2180</v>
      </c>
      <c r="BC2" s="281">
        <v>2296</v>
      </c>
      <c r="BD2" s="281">
        <v>2584</v>
      </c>
      <c r="BE2" s="281">
        <v>2607</v>
      </c>
      <c r="BF2" s="281">
        <v>2613</v>
      </c>
      <c r="BG2" s="281">
        <v>2605</v>
      </c>
      <c r="BH2" s="35">
        <f>SUM(AV2:BG2)</f>
        <v>18163</v>
      </c>
    </row>
    <row r="3" spans="1:60">
      <c r="A3" s="236"/>
      <c r="B3" s="30" t="s">
        <v>165</v>
      </c>
      <c r="C3" s="279">
        <v>0</v>
      </c>
      <c r="D3" s="279">
        <v>0</v>
      </c>
      <c r="E3" s="279">
        <v>0</v>
      </c>
      <c r="F3" s="279">
        <v>0</v>
      </c>
      <c r="G3" s="279">
        <v>0</v>
      </c>
      <c r="H3" s="279">
        <v>0</v>
      </c>
      <c r="I3" s="279">
        <v>0</v>
      </c>
      <c r="J3" s="279">
        <v>0</v>
      </c>
      <c r="K3" s="279">
        <v>0</v>
      </c>
      <c r="L3" s="279">
        <v>0</v>
      </c>
      <c r="M3" s="279">
        <v>0</v>
      </c>
      <c r="N3" s="279">
        <v>0</v>
      </c>
      <c r="O3" s="35">
        <f>SUM(C3:N3)</f>
        <v>0</v>
      </c>
      <c r="P3" s="35"/>
      <c r="Q3" s="30" t="s">
        <v>165</v>
      </c>
      <c r="R3" s="279">
        <v>0</v>
      </c>
      <c r="S3" s="279">
        <v>0</v>
      </c>
      <c r="T3" s="279">
        <v>0</v>
      </c>
      <c r="U3" s="279">
        <v>0</v>
      </c>
      <c r="V3" s="279">
        <v>0</v>
      </c>
      <c r="W3" s="279">
        <v>0</v>
      </c>
      <c r="X3" s="279">
        <v>0</v>
      </c>
      <c r="Y3" s="279">
        <v>0</v>
      </c>
      <c r="Z3" s="279">
        <v>0</v>
      </c>
      <c r="AA3" s="279">
        <v>0</v>
      </c>
      <c r="AB3" s="279">
        <v>0</v>
      </c>
      <c r="AC3" s="279">
        <v>0</v>
      </c>
      <c r="AD3" s="35">
        <f>SUM(R3:AC3)</f>
        <v>0</v>
      </c>
      <c r="AF3" t="s">
        <v>21</v>
      </c>
      <c r="AG3" s="35">
        <v>4000</v>
      </c>
      <c r="AH3" s="35">
        <v>3000</v>
      </c>
      <c r="AI3" s="35">
        <v>4000</v>
      </c>
      <c r="AJ3" s="35">
        <v>4000</v>
      </c>
      <c r="AK3" s="35">
        <v>4000</v>
      </c>
      <c r="AL3" s="35">
        <v>4000</v>
      </c>
      <c r="AM3" s="35">
        <v>4000</v>
      </c>
      <c r="AN3" s="35">
        <v>4000</v>
      </c>
      <c r="AO3" s="35">
        <v>4000</v>
      </c>
      <c r="AP3" s="35">
        <v>4000</v>
      </c>
      <c r="AQ3" s="35">
        <v>4000</v>
      </c>
      <c r="AR3" s="35">
        <v>4000</v>
      </c>
      <c r="AU3" s="30" t="s">
        <v>165</v>
      </c>
      <c r="AV3" s="279"/>
      <c r="AW3" s="279"/>
      <c r="AX3" s="279"/>
      <c r="AY3" s="279"/>
      <c r="AZ3" s="279"/>
      <c r="BA3" s="279"/>
      <c r="BB3" s="279"/>
      <c r="BC3" s="279"/>
      <c r="BD3" s="279"/>
      <c r="BE3" s="279"/>
      <c r="BF3" s="279"/>
      <c r="BG3" s="279"/>
      <c r="BH3" s="35">
        <f>SUM(AV3:BG3)</f>
        <v>0</v>
      </c>
    </row>
    <row r="4" spans="1:60">
      <c r="A4" s="238" t="s">
        <v>573</v>
      </c>
      <c r="B4" s="30" t="s">
        <v>166</v>
      </c>
      <c r="C4" s="279">
        <f>4155-1</f>
        <v>4154</v>
      </c>
      <c r="D4" s="243">
        <f>-2578-1</f>
        <v>-2579</v>
      </c>
      <c r="E4" s="243">
        <f>-1853-1</f>
        <v>-1854</v>
      </c>
      <c r="F4" s="1749">
        <f>-6704</f>
        <v>-6704</v>
      </c>
      <c r="G4" s="243">
        <f>3009-1</f>
        <v>3008</v>
      </c>
      <c r="H4" s="243">
        <f>5217-1</f>
        <v>5216</v>
      </c>
      <c r="I4" s="243">
        <f>3461-1</f>
        <v>3460</v>
      </c>
      <c r="J4" s="243">
        <f>-116-2</f>
        <v>-118</v>
      </c>
      <c r="K4" s="243">
        <f>-1408-1</f>
        <v>-1409</v>
      </c>
      <c r="L4" s="243">
        <f>4014-1</f>
        <v>4013</v>
      </c>
      <c r="M4" s="243">
        <f>-2479-1</f>
        <v>-2480</v>
      </c>
      <c r="N4" s="1749">
        <f>-912+14</f>
        <v>-898</v>
      </c>
      <c r="O4" s="35">
        <f>SUM(C4:N4)</f>
        <v>3809</v>
      </c>
      <c r="P4" s="35"/>
      <c r="Q4" s="30" t="s">
        <v>166</v>
      </c>
      <c r="R4" s="279">
        <f>6348-570</f>
        <v>5778</v>
      </c>
      <c r="S4" s="243">
        <f>-8291-12</f>
        <v>-8303</v>
      </c>
      <c r="T4" s="243">
        <v>1170</v>
      </c>
      <c r="U4" s="1749">
        <f>-7310-68</f>
        <v>-7378</v>
      </c>
      <c r="V4" s="1749">
        <f>7671+66</f>
        <v>7737</v>
      </c>
      <c r="W4" s="243">
        <v>1914</v>
      </c>
      <c r="X4" s="243">
        <f>-604-1</f>
        <v>-605</v>
      </c>
      <c r="Y4" s="1749">
        <f>1272-1</f>
        <v>1271</v>
      </c>
      <c r="Z4" s="243">
        <f>4870+1</f>
        <v>4871</v>
      </c>
      <c r="AA4" s="1749">
        <f>5904-1</f>
        <v>5903</v>
      </c>
      <c r="AB4" s="243">
        <v>-822</v>
      </c>
      <c r="AC4" s="1749">
        <v>-2852</v>
      </c>
      <c r="AD4" s="35">
        <f>SUM(R4:AC4)</f>
        <v>8684</v>
      </c>
      <c r="AE4">
        <v>-12451</v>
      </c>
      <c r="AU4" s="30" t="s">
        <v>166</v>
      </c>
      <c r="AV4" s="279">
        <v>4155</v>
      </c>
      <c r="AW4" s="243">
        <v>-2578</v>
      </c>
      <c r="AX4" s="243">
        <v>-1853</v>
      </c>
      <c r="AY4" s="1749">
        <v>-6704</v>
      </c>
      <c r="AZ4" s="243">
        <v>3009</v>
      </c>
      <c r="BA4" s="243">
        <v>5217</v>
      </c>
      <c r="BB4" s="243">
        <v>3461</v>
      </c>
      <c r="BC4" s="1749">
        <v>-116</v>
      </c>
      <c r="BD4" s="243">
        <v>-1408</v>
      </c>
      <c r="BE4" s="1749">
        <v>4014</v>
      </c>
      <c r="BF4" s="243">
        <v>-2479</v>
      </c>
      <c r="BG4" s="1749">
        <v>-912</v>
      </c>
      <c r="BH4" s="35">
        <f>SUM(AV4:BG4)</f>
        <v>3806</v>
      </c>
    </row>
    <row r="5" spans="1:60">
      <c r="A5" s="236"/>
      <c r="B5" s="43" t="s">
        <v>167</v>
      </c>
      <c r="C5" s="279">
        <v>127</v>
      </c>
      <c r="D5" s="231">
        <v>4</v>
      </c>
      <c r="E5" s="231">
        <v>-20</v>
      </c>
      <c r="F5" s="231">
        <v>-18</v>
      </c>
      <c r="G5" s="231">
        <v>12</v>
      </c>
      <c r="H5" s="243">
        <v>36</v>
      </c>
      <c r="I5" s="231">
        <v>-1538</v>
      </c>
      <c r="J5" s="231">
        <v>57</v>
      </c>
      <c r="K5" s="231">
        <v>35</v>
      </c>
      <c r="L5" s="231">
        <v>0</v>
      </c>
      <c r="M5" s="231">
        <v>0</v>
      </c>
      <c r="N5" s="231">
        <v>-45</v>
      </c>
      <c r="O5" s="35">
        <f>SUM(C5:N5)</f>
        <v>-1350</v>
      </c>
      <c r="P5" s="35"/>
      <c r="Q5" s="43" t="s">
        <v>167</v>
      </c>
      <c r="R5" s="279">
        <v>-13</v>
      </c>
      <c r="S5" s="231">
        <v>12</v>
      </c>
      <c r="T5" s="231">
        <v>-20</v>
      </c>
      <c r="U5" s="231">
        <v>-18</v>
      </c>
      <c r="V5" s="231">
        <v>12</v>
      </c>
      <c r="W5" s="231">
        <v>36</v>
      </c>
      <c r="X5" s="243">
        <v>-1538</v>
      </c>
      <c r="Y5" s="231">
        <v>57</v>
      </c>
      <c r="Z5" s="231">
        <v>35</v>
      </c>
      <c r="AA5" s="231">
        <v>0</v>
      </c>
      <c r="AB5" s="243">
        <v>0</v>
      </c>
      <c r="AC5" s="243">
        <v>-45</v>
      </c>
      <c r="AD5" s="35">
        <f>SUM(R5:AC5)</f>
        <v>-1482</v>
      </c>
      <c r="AE5" s="231">
        <v>-1186</v>
      </c>
      <c r="AU5" s="43" t="s">
        <v>167</v>
      </c>
      <c r="AV5" s="279">
        <v>127</v>
      </c>
      <c r="AW5" s="231">
        <v>4</v>
      </c>
      <c r="AX5" s="231">
        <v>-20</v>
      </c>
      <c r="AY5" s="231">
        <v>-18</v>
      </c>
      <c r="AZ5" s="231">
        <v>12</v>
      </c>
      <c r="BA5" s="231">
        <v>36</v>
      </c>
      <c r="BB5" s="243">
        <v>-1538</v>
      </c>
      <c r="BC5" s="231">
        <v>57</v>
      </c>
      <c r="BD5" s="231">
        <v>35</v>
      </c>
      <c r="BE5" s="231"/>
      <c r="BF5" s="243"/>
      <c r="BG5" s="243">
        <v>-45</v>
      </c>
      <c r="BH5" s="35">
        <f>SUM(AV5:BG5)</f>
        <v>-1350</v>
      </c>
    </row>
    <row r="6" spans="1:60">
      <c r="A6" s="236"/>
      <c r="B6" s="278" t="s">
        <v>168</v>
      </c>
      <c r="C6" s="74">
        <f>SUM(C2:C5)</f>
        <v>4178.148000000001</v>
      </c>
      <c r="D6" s="74">
        <f t="shared" ref="D6:N6" si="0">SUM(D2:D5)</f>
        <v>-2683.7390000000014</v>
      </c>
      <c r="E6" s="74">
        <f t="shared" si="0"/>
        <v>-2001.6010000000024</v>
      </c>
      <c r="F6" s="74">
        <f t="shared" si="0"/>
        <v>-5490.2800000000061</v>
      </c>
      <c r="G6" s="74">
        <f t="shared" si="0"/>
        <v>4126.9999999999854</v>
      </c>
      <c r="H6" s="74">
        <f t="shared" si="0"/>
        <v>6526.077000000012</v>
      </c>
      <c r="I6" s="74">
        <f t="shared" si="0"/>
        <v>4099.3689999999988</v>
      </c>
      <c r="J6" s="74">
        <f t="shared" si="0"/>
        <v>2236.6810000000041</v>
      </c>
      <c r="K6" s="74">
        <f t="shared" si="0"/>
        <v>1209.9120000000039</v>
      </c>
      <c r="L6" s="74">
        <f>SUM(L2:L5)</f>
        <v>6622.5590000000084</v>
      </c>
      <c r="M6" s="74">
        <f t="shared" si="0"/>
        <v>132.78899999998976</v>
      </c>
      <c r="N6" s="74">
        <f t="shared" si="0"/>
        <v>1661.8960000000079</v>
      </c>
      <c r="O6" s="168">
        <f>SUM(O2:O5)</f>
        <v>20618.811000000002</v>
      </c>
      <c r="P6" s="35"/>
      <c r="Q6" s="278" t="s">
        <v>168</v>
      </c>
      <c r="R6" s="74">
        <f t="shared" ref="R6:AD6" si="1">SUM(R2:R5)</f>
        <v>3637.9570000000022</v>
      </c>
      <c r="S6" s="74">
        <f t="shared" si="1"/>
        <v>-11855.470000000008</v>
      </c>
      <c r="T6" s="74">
        <f t="shared" si="1"/>
        <v>-871.20599999999831</v>
      </c>
      <c r="U6" s="74">
        <f t="shared" si="1"/>
        <v>-4448.528999999995</v>
      </c>
      <c r="V6" s="74">
        <f t="shared" si="1"/>
        <v>8233.377999999997</v>
      </c>
      <c r="W6" s="74">
        <f t="shared" si="1"/>
        <v>2506.9429999999993</v>
      </c>
      <c r="X6" s="74">
        <f t="shared" si="1"/>
        <v>2947.5649999999878</v>
      </c>
      <c r="Y6" s="74">
        <f t="shared" si="1"/>
        <v>2908.0929999999862</v>
      </c>
      <c r="Z6" s="74">
        <f t="shared" si="1"/>
        <v>6779.599000000002</v>
      </c>
      <c r="AA6" s="74">
        <f t="shared" si="1"/>
        <v>11460.734999999993</v>
      </c>
      <c r="AB6" s="74">
        <f t="shared" si="1"/>
        <v>1179.0250000000015</v>
      </c>
      <c r="AC6" s="74">
        <f t="shared" si="1"/>
        <v>2671.9499999999971</v>
      </c>
      <c r="AD6" s="74">
        <f t="shared" si="1"/>
        <v>25150.039999999964</v>
      </c>
      <c r="AU6" s="278" t="s">
        <v>168</v>
      </c>
      <c r="AV6" s="74">
        <f t="shared" ref="AV6:BH6" si="2">SUM(AV2:AV5)</f>
        <v>4178</v>
      </c>
      <c r="AW6" s="74">
        <f t="shared" si="2"/>
        <v>-2684</v>
      </c>
      <c r="AX6" s="74">
        <f t="shared" si="2"/>
        <v>-1996</v>
      </c>
      <c r="AY6" s="74">
        <f t="shared" si="2"/>
        <v>-5487</v>
      </c>
      <c r="AZ6" s="74">
        <f t="shared" si="2"/>
        <v>4129</v>
      </c>
      <c r="BA6" s="74">
        <f t="shared" si="2"/>
        <v>6525</v>
      </c>
      <c r="BB6" s="74">
        <f t="shared" si="2"/>
        <v>4103</v>
      </c>
      <c r="BC6" s="74">
        <f t="shared" si="2"/>
        <v>2237</v>
      </c>
      <c r="BD6" s="74">
        <f t="shared" si="2"/>
        <v>1211</v>
      </c>
      <c r="BE6" s="74">
        <f t="shared" si="2"/>
        <v>6621</v>
      </c>
      <c r="BF6" s="74">
        <f t="shared" si="2"/>
        <v>134</v>
      </c>
      <c r="BG6" s="74">
        <f t="shared" si="2"/>
        <v>1648</v>
      </c>
      <c r="BH6" s="74">
        <f t="shared" si="2"/>
        <v>20619</v>
      </c>
    </row>
    <row r="7" spans="1:60">
      <c r="A7" s="236"/>
      <c r="B7" s="30" t="s">
        <v>941</v>
      </c>
      <c r="C7" s="279">
        <v>-8648</v>
      </c>
      <c r="D7" s="243">
        <v>-14247</v>
      </c>
      <c r="E7" s="243">
        <v>-10039</v>
      </c>
      <c r="F7" s="243">
        <v>-1038</v>
      </c>
      <c r="G7" s="243">
        <v>-13002</v>
      </c>
      <c r="H7" s="243">
        <v>-5277</v>
      </c>
      <c r="I7" s="243">
        <v>-6227</v>
      </c>
      <c r="J7" s="243">
        <v>-5506</v>
      </c>
      <c r="K7" s="243">
        <v>-6428</v>
      </c>
      <c r="L7" s="243">
        <v>-10640</v>
      </c>
      <c r="M7" s="243">
        <v>-2956</v>
      </c>
      <c r="N7" s="243">
        <v>-6349</v>
      </c>
      <c r="O7" s="35">
        <f>SUM(C7:N7)</f>
        <v>-90357</v>
      </c>
      <c r="Q7" s="30" t="s">
        <v>941</v>
      </c>
      <c r="R7" s="279">
        <v>-4234</v>
      </c>
      <c r="S7" s="243">
        <v>-8809</v>
      </c>
      <c r="T7" s="243">
        <v>-11164</v>
      </c>
      <c r="U7" s="243">
        <v>-2144</v>
      </c>
      <c r="V7" s="243">
        <v>-13039</v>
      </c>
      <c r="W7" s="243">
        <v>-5277</v>
      </c>
      <c r="X7" s="243">
        <v>-7363</v>
      </c>
      <c r="Y7" s="243">
        <v>-7461</v>
      </c>
      <c r="Z7" s="243">
        <v>-9996</v>
      </c>
      <c r="AA7" s="243">
        <v>-15480</v>
      </c>
      <c r="AB7" s="243">
        <v>-4965</v>
      </c>
      <c r="AC7" s="243">
        <v>-7911</v>
      </c>
      <c r="AD7" s="35">
        <f>SUM(R7:AC7)</f>
        <v>-97843</v>
      </c>
      <c r="AE7" s="243">
        <v>-24468</v>
      </c>
      <c r="AU7" s="30" t="s">
        <v>941</v>
      </c>
      <c r="AV7" s="279">
        <v>-8648</v>
      </c>
      <c r="AW7" s="243">
        <v>-14247</v>
      </c>
      <c r="AX7" s="243">
        <v>-10039</v>
      </c>
      <c r="AY7" s="243">
        <v>-1038</v>
      </c>
      <c r="AZ7" s="243">
        <v>-13002</v>
      </c>
      <c r="BA7" s="243">
        <v>-5277</v>
      </c>
      <c r="BB7" s="243">
        <v>-6227</v>
      </c>
      <c r="BC7" s="243">
        <v>-5506</v>
      </c>
      <c r="BD7" s="243">
        <v>-6428</v>
      </c>
      <c r="BE7" s="243">
        <v>-10640</v>
      </c>
      <c r="BF7" s="243">
        <v>-2956</v>
      </c>
      <c r="BG7" s="243">
        <v>-6349</v>
      </c>
      <c r="BH7" s="35">
        <f>SUM(AV7:BG7)</f>
        <v>-90357</v>
      </c>
    </row>
    <row r="8" spans="1:60">
      <c r="A8" s="236"/>
      <c r="B8" s="30" t="s">
        <v>169</v>
      </c>
      <c r="C8" s="279">
        <v>0</v>
      </c>
      <c r="D8" s="231">
        <v>0</v>
      </c>
      <c r="E8" s="243">
        <v>0</v>
      </c>
      <c r="F8" s="243">
        <v>0</v>
      </c>
      <c r="G8" s="243">
        <v>0</v>
      </c>
      <c r="H8" s="243">
        <v>0</v>
      </c>
      <c r="I8" s="243">
        <v>0</v>
      </c>
      <c r="J8" s="243">
        <v>0</v>
      </c>
      <c r="K8" s="243">
        <v>0</v>
      </c>
      <c r="L8" s="243">
        <v>0</v>
      </c>
      <c r="M8" s="243">
        <v>0</v>
      </c>
      <c r="N8" s="243">
        <v>0</v>
      </c>
      <c r="O8" s="35">
        <f>SUM(C8:N8)</f>
        <v>0</v>
      </c>
      <c r="Q8" s="30" t="s">
        <v>169</v>
      </c>
      <c r="R8" s="279">
        <v>0</v>
      </c>
      <c r="S8" s="231">
        <v>0</v>
      </c>
      <c r="T8" s="243">
        <v>0</v>
      </c>
      <c r="U8" s="243">
        <v>0</v>
      </c>
      <c r="V8" s="243">
        <v>0</v>
      </c>
      <c r="W8" s="243">
        <v>0</v>
      </c>
      <c r="X8" s="243">
        <v>0</v>
      </c>
      <c r="Y8" s="243">
        <v>0</v>
      </c>
      <c r="Z8" s="243">
        <v>0</v>
      </c>
      <c r="AA8" s="243">
        <v>0</v>
      </c>
      <c r="AB8" s="243">
        <v>0</v>
      </c>
      <c r="AC8" s="243">
        <v>0</v>
      </c>
      <c r="AD8" s="35">
        <f>SUM(R8:AC8)</f>
        <v>0</v>
      </c>
      <c r="AE8" s="243">
        <v>2171</v>
      </c>
      <c r="AU8" s="30" t="s">
        <v>169</v>
      </c>
      <c r="AV8" s="279"/>
      <c r="AW8" s="231"/>
      <c r="AX8" s="243"/>
      <c r="AY8" s="243"/>
      <c r="AZ8" s="243"/>
      <c r="BA8" s="243"/>
      <c r="BB8" s="243"/>
      <c r="BC8" s="243"/>
      <c r="BD8" s="243"/>
      <c r="BE8" s="243"/>
      <c r="BF8" s="243"/>
      <c r="BG8" s="243"/>
      <c r="BH8" s="35">
        <f>SUM(AV8:BG8)</f>
        <v>0</v>
      </c>
    </row>
    <row r="9" spans="1:60">
      <c r="A9" s="236"/>
      <c r="B9" s="116" t="s">
        <v>170</v>
      </c>
      <c r="C9" s="74">
        <f>SUM(C6:C8)</f>
        <v>-4469.851999999999</v>
      </c>
      <c r="D9" s="74">
        <f t="shared" ref="D9:N9" si="3">SUM(D6:D8)</f>
        <v>-16930.739000000001</v>
      </c>
      <c r="E9" s="74">
        <f t="shared" si="3"/>
        <v>-12040.601000000002</v>
      </c>
      <c r="F9" s="74">
        <f t="shared" si="3"/>
        <v>-6528.2800000000061</v>
      </c>
      <c r="G9" s="74">
        <f t="shared" si="3"/>
        <v>-8875.0000000000146</v>
      </c>
      <c r="H9" s="74">
        <f t="shared" si="3"/>
        <v>1249.077000000012</v>
      </c>
      <c r="I9" s="74">
        <f t="shared" si="3"/>
        <v>-2127.6310000000012</v>
      </c>
      <c r="J9" s="74">
        <f t="shared" si="3"/>
        <v>-3269.3189999999959</v>
      </c>
      <c r="K9" s="74">
        <f t="shared" si="3"/>
        <v>-5218.0879999999961</v>
      </c>
      <c r="L9" s="74">
        <f t="shared" si="3"/>
        <v>-4017.4409999999916</v>
      </c>
      <c r="M9" s="74">
        <f t="shared" si="3"/>
        <v>-2823.2110000000102</v>
      </c>
      <c r="N9" s="74">
        <f t="shared" si="3"/>
        <v>-4687.1039999999921</v>
      </c>
      <c r="O9" s="168">
        <f>SUM(O6:O8)</f>
        <v>-69738.188999999998</v>
      </c>
      <c r="Q9" s="116" t="s">
        <v>170</v>
      </c>
      <c r="R9" s="74">
        <f t="shared" ref="R9:AD9" si="4">SUM(R6:R8)</f>
        <v>-596.04299999999785</v>
      </c>
      <c r="S9" s="74">
        <f t="shared" si="4"/>
        <v>-20664.470000000008</v>
      </c>
      <c r="T9" s="74">
        <f t="shared" si="4"/>
        <v>-12035.205999999998</v>
      </c>
      <c r="U9" s="74">
        <f t="shared" si="4"/>
        <v>-6592.528999999995</v>
      </c>
      <c r="V9" s="74">
        <f t="shared" si="4"/>
        <v>-4805.622000000003</v>
      </c>
      <c r="W9" s="74">
        <f t="shared" si="4"/>
        <v>-2770.0570000000007</v>
      </c>
      <c r="X9" s="74">
        <f t="shared" si="4"/>
        <v>-4415.4350000000122</v>
      </c>
      <c r="Y9" s="74">
        <f t="shared" si="4"/>
        <v>-4552.9070000000138</v>
      </c>
      <c r="Z9" s="74">
        <f t="shared" si="4"/>
        <v>-3216.400999999998</v>
      </c>
      <c r="AA9" s="74">
        <f t="shared" si="4"/>
        <v>-4019.2650000000067</v>
      </c>
      <c r="AB9" s="74">
        <f t="shared" si="4"/>
        <v>-3785.9749999999985</v>
      </c>
      <c r="AC9" s="74">
        <f t="shared" si="4"/>
        <v>-5239.0500000000029</v>
      </c>
      <c r="AD9" s="74">
        <f t="shared" si="4"/>
        <v>-72692.960000000036</v>
      </c>
      <c r="AU9" s="116" t="s">
        <v>170</v>
      </c>
      <c r="AV9" s="74">
        <f t="shared" ref="AV9:BH9" si="5">SUM(AV6:AV8)</f>
        <v>-4470</v>
      </c>
      <c r="AW9" s="74">
        <f t="shared" si="5"/>
        <v>-16931</v>
      </c>
      <c r="AX9" s="74">
        <f t="shared" si="5"/>
        <v>-12035</v>
      </c>
      <c r="AY9" s="74">
        <f t="shared" si="5"/>
        <v>-6525</v>
      </c>
      <c r="AZ9" s="74">
        <f t="shared" si="5"/>
        <v>-8873</v>
      </c>
      <c r="BA9" s="74">
        <f t="shared" si="5"/>
        <v>1248</v>
      </c>
      <c r="BB9" s="74">
        <f t="shared" si="5"/>
        <v>-2124</v>
      </c>
      <c r="BC9" s="74">
        <f t="shared" si="5"/>
        <v>-3269</v>
      </c>
      <c r="BD9" s="74">
        <f t="shared" si="5"/>
        <v>-5217</v>
      </c>
      <c r="BE9" s="74">
        <f t="shared" si="5"/>
        <v>-4019</v>
      </c>
      <c r="BF9" s="74">
        <f t="shared" si="5"/>
        <v>-2822</v>
      </c>
      <c r="BG9" s="74">
        <f t="shared" si="5"/>
        <v>-4701</v>
      </c>
      <c r="BH9" s="74">
        <f t="shared" si="5"/>
        <v>-69738</v>
      </c>
    </row>
    <row r="10" spans="1:60">
      <c r="A10" s="236"/>
      <c r="B10" s="30" t="s">
        <v>171</v>
      </c>
      <c r="C10" s="279">
        <v>7024</v>
      </c>
      <c r="D10" s="243">
        <v>8504</v>
      </c>
      <c r="E10" s="243">
        <v>8000</v>
      </c>
      <c r="F10" s="243">
        <v>4631</v>
      </c>
      <c r="G10" s="243">
        <v>3905</v>
      </c>
      <c r="H10" s="243">
        <v>4245</v>
      </c>
      <c r="I10" s="243">
        <v>4082</v>
      </c>
      <c r="J10" s="243">
        <v>4226</v>
      </c>
      <c r="K10" s="243">
        <v>4414</v>
      </c>
      <c r="L10" s="243">
        <v>4706</v>
      </c>
      <c r="M10" s="243">
        <v>4785</v>
      </c>
      <c r="N10" s="243">
        <v>4394</v>
      </c>
      <c r="O10" s="35">
        <f>SUM(C10:N10)</f>
        <v>62916</v>
      </c>
      <c r="Q10" s="30" t="s">
        <v>171</v>
      </c>
      <c r="R10" s="279">
        <v>0</v>
      </c>
      <c r="S10" s="243">
        <v>15187</v>
      </c>
      <c r="T10" s="243">
        <v>7932</v>
      </c>
      <c r="U10" s="243">
        <v>4399</v>
      </c>
      <c r="V10" s="243">
        <v>4017</v>
      </c>
      <c r="W10" s="243">
        <v>4802</v>
      </c>
      <c r="X10" s="243">
        <v>3956</v>
      </c>
      <c r="Y10" s="243">
        <v>4243</v>
      </c>
      <c r="Z10" s="243">
        <v>4532</v>
      </c>
      <c r="AA10" s="243">
        <v>4912</v>
      </c>
      <c r="AB10" s="243">
        <v>4659</v>
      </c>
      <c r="AC10" s="243">
        <v>5612</v>
      </c>
      <c r="AD10" s="35">
        <f>SUM(R10:AC10)</f>
        <v>64251</v>
      </c>
      <c r="AE10" s="243">
        <v>1031</v>
      </c>
      <c r="AU10" s="30" t="s">
        <v>171</v>
      </c>
      <c r="AV10" s="279">
        <v>7024</v>
      </c>
      <c r="AW10" s="279">
        <v>8504</v>
      </c>
      <c r="AX10" s="279">
        <v>8000</v>
      </c>
      <c r="AY10" s="279">
        <v>4631</v>
      </c>
      <c r="AZ10" s="279">
        <v>3905</v>
      </c>
      <c r="BA10" s="279">
        <v>4245</v>
      </c>
      <c r="BB10" s="279">
        <v>4082</v>
      </c>
      <c r="BC10" s="279">
        <v>4226</v>
      </c>
      <c r="BD10" s="279">
        <v>4414</v>
      </c>
      <c r="BE10" s="279">
        <v>4706</v>
      </c>
      <c r="BF10" s="279">
        <v>4785</v>
      </c>
      <c r="BG10" s="279">
        <v>4394</v>
      </c>
      <c r="BH10" s="35">
        <f>SUM(AV10:BG10)</f>
        <v>62916</v>
      </c>
    </row>
    <row r="11" spans="1:60">
      <c r="A11" s="236"/>
      <c r="B11" s="30" t="s">
        <v>172</v>
      </c>
      <c r="C11" s="279">
        <v>0</v>
      </c>
      <c r="D11" s="231">
        <v>0</v>
      </c>
      <c r="E11" s="243">
        <v>0</v>
      </c>
      <c r="F11" s="243">
        <v>0</v>
      </c>
      <c r="G11" s="243">
        <v>0</v>
      </c>
      <c r="H11" s="243">
        <v>0</v>
      </c>
      <c r="I11" s="243">
        <v>0</v>
      </c>
      <c r="J11" s="243">
        <v>0</v>
      </c>
      <c r="K11" s="243">
        <v>0</v>
      </c>
      <c r="L11" s="243">
        <v>0</v>
      </c>
      <c r="M11" s="243">
        <v>0</v>
      </c>
      <c r="N11" s="243">
        <v>0</v>
      </c>
      <c r="O11" s="35">
        <f t="shared" ref="O11:O16" si="6">SUM(C11:N11)</f>
        <v>0</v>
      </c>
      <c r="Q11" s="30" t="s">
        <v>172</v>
      </c>
      <c r="R11" s="279">
        <v>0</v>
      </c>
      <c r="S11" s="231">
        <v>0</v>
      </c>
      <c r="T11" s="243">
        <v>0</v>
      </c>
      <c r="U11" s="243">
        <v>0</v>
      </c>
      <c r="V11" s="243">
        <v>0</v>
      </c>
      <c r="W11" s="243"/>
      <c r="X11" s="243">
        <v>0</v>
      </c>
      <c r="Y11" s="243">
        <v>0</v>
      </c>
      <c r="Z11" s="243">
        <v>0</v>
      </c>
      <c r="AA11" s="243">
        <v>0</v>
      </c>
      <c r="AB11" s="243">
        <v>0</v>
      </c>
      <c r="AC11" s="243">
        <v>0</v>
      </c>
      <c r="AD11" s="35">
        <f t="shared" ref="AD11:AD16" si="7">SUM(R11:AC11)</f>
        <v>0</v>
      </c>
      <c r="AU11" s="30" t="s">
        <v>172</v>
      </c>
      <c r="AV11" s="279"/>
      <c r="AW11" s="231"/>
      <c r="AX11" s="243"/>
      <c r="AY11" s="243"/>
      <c r="AZ11" s="243"/>
      <c r="BA11" s="243"/>
      <c r="BB11" s="243"/>
      <c r="BC11" s="243"/>
      <c r="BD11" s="243"/>
      <c r="BE11" s="243"/>
      <c r="BF11" s="243"/>
      <c r="BG11" s="243"/>
      <c r="BH11" s="35">
        <f t="shared" ref="BH11:BH16" si="8">SUM(AV11:BG11)</f>
        <v>0</v>
      </c>
    </row>
    <row r="12" spans="1:60">
      <c r="A12" s="236"/>
      <c r="B12" s="30" t="s">
        <v>173</v>
      </c>
      <c r="C12" s="279">
        <v>0</v>
      </c>
      <c r="D12" s="231">
        <v>0</v>
      </c>
      <c r="E12" s="243">
        <v>0</v>
      </c>
      <c r="F12" s="243">
        <v>0</v>
      </c>
      <c r="G12" s="243">
        <v>0</v>
      </c>
      <c r="H12" s="243">
        <v>-3693</v>
      </c>
      <c r="I12" s="243">
        <v>0</v>
      </c>
      <c r="J12" s="243">
        <v>0</v>
      </c>
      <c r="K12" s="243">
        <v>0</v>
      </c>
      <c r="L12" s="243">
        <v>0</v>
      </c>
      <c r="M12" s="243">
        <v>0</v>
      </c>
      <c r="N12" s="243">
        <v>-3693</v>
      </c>
      <c r="O12" s="35">
        <f t="shared" si="6"/>
        <v>-7386</v>
      </c>
      <c r="Q12" s="30" t="s">
        <v>173</v>
      </c>
      <c r="R12" s="279">
        <v>0</v>
      </c>
      <c r="S12" s="231">
        <v>0</v>
      </c>
      <c r="T12" s="243">
        <v>0</v>
      </c>
      <c r="U12" s="243">
        <v>0</v>
      </c>
      <c r="V12" s="243">
        <v>0</v>
      </c>
      <c r="W12" s="243">
        <v>-3693</v>
      </c>
      <c r="X12" s="243">
        <v>0</v>
      </c>
      <c r="Y12" s="243">
        <v>0</v>
      </c>
      <c r="Z12" s="243">
        <v>0</v>
      </c>
      <c r="AA12" s="243">
        <v>0</v>
      </c>
      <c r="AB12" s="243">
        <v>0</v>
      </c>
      <c r="AC12" s="243">
        <v>-3693</v>
      </c>
      <c r="AD12" s="35">
        <f t="shared" si="7"/>
        <v>-7386</v>
      </c>
      <c r="AE12">
        <v>-6866</v>
      </c>
      <c r="AU12" s="30" t="s">
        <v>173</v>
      </c>
      <c r="AV12" s="279"/>
      <c r="AW12" s="231"/>
      <c r="AX12" s="243"/>
      <c r="AY12" s="243"/>
      <c r="AZ12" s="243"/>
      <c r="BA12" s="243">
        <v>-3693</v>
      </c>
      <c r="BB12" s="243"/>
      <c r="BC12" s="243"/>
      <c r="BD12" s="243"/>
      <c r="BE12" s="243"/>
      <c r="BF12" s="243"/>
      <c r="BG12" s="243">
        <v>-3693</v>
      </c>
      <c r="BH12" s="35">
        <f t="shared" si="8"/>
        <v>-7386</v>
      </c>
    </row>
    <row r="13" spans="1:60">
      <c r="A13" s="236"/>
      <c r="B13" s="30" t="s">
        <v>174</v>
      </c>
      <c r="C13" s="279">
        <v>-220</v>
      </c>
      <c r="D13" s="279">
        <v>-445</v>
      </c>
      <c r="E13" s="279">
        <v>-221</v>
      </c>
      <c r="F13" s="243">
        <v>-223</v>
      </c>
      <c r="G13" s="243">
        <v>-222</v>
      </c>
      <c r="H13" s="243">
        <v>-1207</v>
      </c>
      <c r="I13" s="243">
        <v>-222</v>
      </c>
      <c r="J13" s="243">
        <v>-444</v>
      </c>
      <c r="K13" s="243">
        <v>-222</v>
      </c>
      <c r="L13" s="243">
        <v>-223</v>
      </c>
      <c r="M13" s="243">
        <v>-406</v>
      </c>
      <c r="N13" s="243">
        <v>-1289</v>
      </c>
      <c r="O13" s="35">
        <f t="shared" si="6"/>
        <v>-5344</v>
      </c>
      <c r="Q13" s="30" t="s">
        <v>174</v>
      </c>
      <c r="R13" s="279">
        <v>-220</v>
      </c>
      <c r="S13" s="231">
        <v>-445</v>
      </c>
      <c r="T13" s="243">
        <v>-221</v>
      </c>
      <c r="U13" s="243">
        <v>-223</v>
      </c>
      <c r="V13" s="243">
        <v>-222</v>
      </c>
      <c r="W13" s="243">
        <v>-1170</v>
      </c>
      <c r="X13" s="243">
        <v>-222</v>
      </c>
      <c r="Y13" s="243">
        <v>-444</v>
      </c>
      <c r="Z13" s="243">
        <v>-222</v>
      </c>
      <c r="AA13" s="243">
        <v>-223</v>
      </c>
      <c r="AB13" s="243">
        <v>-406</v>
      </c>
      <c r="AC13" s="243">
        <v>-1271</v>
      </c>
      <c r="AD13" s="35">
        <f t="shared" si="7"/>
        <v>-5289</v>
      </c>
      <c r="AE13" s="243">
        <v>-2957</v>
      </c>
      <c r="AU13" s="30" t="s">
        <v>174</v>
      </c>
      <c r="AV13" s="279">
        <v>-220</v>
      </c>
      <c r="AW13" s="279">
        <v>-445</v>
      </c>
      <c r="AX13" s="279">
        <v>-221</v>
      </c>
      <c r="AY13" s="279">
        <v>-223</v>
      </c>
      <c r="AZ13" s="279">
        <v>-222</v>
      </c>
      <c r="BA13" s="279">
        <v>-1207</v>
      </c>
      <c r="BB13" s="279">
        <v>-222</v>
      </c>
      <c r="BC13" s="279">
        <v>-444</v>
      </c>
      <c r="BD13" s="279">
        <v>-222</v>
      </c>
      <c r="BE13" s="279">
        <v>-223</v>
      </c>
      <c r="BF13" s="279">
        <v>-406</v>
      </c>
      <c r="BG13" s="279">
        <v>-1289</v>
      </c>
      <c r="BH13" s="35">
        <f t="shared" si="8"/>
        <v>-5344</v>
      </c>
    </row>
    <row r="14" spans="1:60">
      <c r="A14" s="236"/>
      <c r="B14" s="30" t="s">
        <v>175</v>
      </c>
      <c r="C14" s="279">
        <v>4</v>
      </c>
      <c r="D14" s="279">
        <v>4</v>
      </c>
      <c r="E14" s="279">
        <v>4</v>
      </c>
      <c r="F14" s="279">
        <v>4</v>
      </c>
      <c r="G14" s="279">
        <v>4</v>
      </c>
      <c r="H14" s="279">
        <v>4</v>
      </c>
      <c r="I14" s="279">
        <v>4</v>
      </c>
      <c r="J14" s="279">
        <v>4</v>
      </c>
      <c r="K14" s="279">
        <v>4</v>
      </c>
      <c r="L14" s="279">
        <v>4</v>
      </c>
      <c r="M14" s="279">
        <v>4</v>
      </c>
      <c r="N14" s="279">
        <v>4</v>
      </c>
      <c r="O14" s="35">
        <f t="shared" si="6"/>
        <v>48</v>
      </c>
      <c r="Q14" s="30" t="s">
        <v>175</v>
      </c>
      <c r="R14" s="279">
        <v>4</v>
      </c>
      <c r="S14" s="231">
        <v>3</v>
      </c>
      <c r="T14" s="243">
        <v>4</v>
      </c>
      <c r="U14" s="243">
        <v>4</v>
      </c>
      <c r="V14" s="243">
        <v>4</v>
      </c>
      <c r="W14" s="243">
        <v>4</v>
      </c>
      <c r="X14" s="243">
        <v>4</v>
      </c>
      <c r="Y14" s="243">
        <v>4</v>
      </c>
      <c r="Z14" s="243">
        <v>4</v>
      </c>
      <c r="AA14" s="243">
        <v>4</v>
      </c>
      <c r="AB14" s="243">
        <v>4</v>
      </c>
      <c r="AC14" s="243">
        <v>4</v>
      </c>
      <c r="AD14" s="35">
        <f t="shared" si="7"/>
        <v>47</v>
      </c>
      <c r="AE14" s="243">
        <v>86</v>
      </c>
      <c r="AU14" s="30" t="s">
        <v>175</v>
      </c>
      <c r="AV14" s="279">
        <v>4</v>
      </c>
      <c r="AW14" s="231">
        <v>4</v>
      </c>
      <c r="AX14" s="243">
        <v>4</v>
      </c>
      <c r="AY14" s="243">
        <v>4</v>
      </c>
      <c r="AZ14" s="243">
        <v>4</v>
      </c>
      <c r="BA14" s="243">
        <v>4</v>
      </c>
      <c r="BB14" s="243">
        <v>4</v>
      </c>
      <c r="BC14" s="243">
        <v>4</v>
      </c>
      <c r="BD14" s="243">
        <v>4</v>
      </c>
      <c r="BE14" s="243">
        <v>4</v>
      </c>
      <c r="BF14" s="243">
        <v>4</v>
      </c>
      <c r="BG14" s="243">
        <v>4</v>
      </c>
      <c r="BH14" s="35">
        <f t="shared" si="8"/>
        <v>48</v>
      </c>
    </row>
    <row r="15" spans="1:60">
      <c r="A15" s="236"/>
      <c r="B15" s="30" t="s">
        <v>176</v>
      </c>
      <c r="C15" s="279">
        <v>1938</v>
      </c>
      <c r="D15" s="243">
        <v>9176</v>
      </c>
      <c r="E15" s="243">
        <v>4374</v>
      </c>
      <c r="F15" s="243">
        <v>2163</v>
      </c>
      <c r="G15" s="243">
        <v>6740</v>
      </c>
      <c r="H15" s="243">
        <v>1783</v>
      </c>
      <c r="I15" s="243">
        <v>200</v>
      </c>
      <c r="J15" s="243">
        <v>0</v>
      </c>
      <c r="K15" s="243">
        <v>200</v>
      </c>
      <c r="L15" s="243">
        <v>0</v>
      </c>
      <c r="M15" s="243">
        <v>0</v>
      </c>
      <c r="N15" s="243">
        <v>0</v>
      </c>
      <c r="O15" s="35">
        <f t="shared" si="6"/>
        <v>26574</v>
      </c>
      <c r="Q15" s="30" t="s">
        <v>176</v>
      </c>
      <c r="R15" s="279">
        <v>1938</v>
      </c>
      <c r="S15" s="243">
        <v>8027</v>
      </c>
      <c r="T15" s="243">
        <v>4288</v>
      </c>
      <c r="U15" s="243">
        <v>4035</v>
      </c>
      <c r="V15" s="243">
        <v>2963</v>
      </c>
      <c r="W15" s="243">
        <v>5240</v>
      </c>
      <c r="X15" s="243">
        <v>414</v>
      </c>
      <c r="Y15" s="243">
        <v>0</v>
      </c>
      <c r="Z15" s="243">
        <v>0</v>
      </c>
      <c r="AA15" s="243">
        <v>0</v>
      </c>
      <c r="AB15" s="243">
        <v>0</v>
      </c>
      <c r="AC15" s="243">
        <v>0</v>
      </c>
      <c r="AD15" s="35">
        <f t="shared" si="7"/>
        <v>26905</v>
      </c>
      <c r="AE15" s="243">
        <v>1018</v>
      </c>
      <c r="AU15" s="30" t="s">
        <v>176</v>
      </c>
      <c r="AV15" s="279">
        <v>1938</v>
      </c>
      <c r="AW15" s="243">
        <v>9176</v>
      </c>
      <c r="AX15" s="243">
        <v>4374</v>
      </c>
      <c r="AY15" s="243">
        <v>2163</v>
      </c>
      <c r="AZ15" s="243">
        <v>6740</v>
      </c>
      <c r="BA15" s="243">
        <v>1783</v>
      </c>
      <c r="BB15" s="243">
        <v>200</v>
      </c>
      <c r="BC15" s="243"/>
      <c r="BD15" s="243">
        <v>200</v>
      </c>
      <c r="BE15" s="243"/>
      <c r="BF15" s="243"/>
      <c r="BG15" s="243"/>
      <c r="BH15" s="35">
        <f t="shared" si="8"/>
        <v>26574</v>
      </c>
    </row>
    <row r="16" spans="1:60">
      <c r="A16" s="236"/>
      <c r="B16" s="30" t="s">
        <v>177</v>
      </c>
      <c r="C16" s="279">
        <v>-128</v>
      </c>
      <c r="D16" s="279">
        <v>-552</v>
      </c>
      <c r="E16" s="279">
        <v>-128</v>
      </c>
      <c r="F16" s="279">
        <v>-128</v>
      </c>
      <c r="G16" s="279">
        <v>-440</v>
      </c>
      <c r="H16" s="243">
        <v>-3094</v>
      </c>
      <c r="I16" s="243">
        <v>-128</v>
      </c>
      <c r="J16" s="243">
        <v>-352</v>
      </c>
      <c r="K16" s="243">
        <v>-128</v>
      </c>
      <c r="L16" s="243">
        <v>-128</v>
      </c>
      <c r="M16" s="243">
        <v>-440</v>
      </c>
      <c r="N16" s="243">
        <v>-1600</v>
      </c>
      <c r="O16" s="35">
        <f t="shared" si="6"/>
        <v>-7246</v>
      </c>
      <c r="Q16" s="30" t="s">
        <v>177</v>
      </c>
      <c r="R16" s="279">
        <v>-128</v>
      </c>
      <c r="S16" s="279">
        <v>-552</v>
      </c>
      <c r="T16" s="279">
        <v>-128</v>
      </c>
      <c r="U16" s="279">
        <v>-128</v>
      </c>
      <c r="V16" s="279">
        <v>-440</v>
      </c>
      <c r="W16" s="243">
        <v>-2376</v>
      </c>
      <c r="X16" s="243">
        <v>-128</v>
      </c>
      <c r="Y16" s="243">
        <v>-552</v>
      </c>
      <c r="Z16" s="243">
        <v>-128</v>
      </c>
      <c r="AA16" s="243">
        <v>-128</v>
      </c>
      <c r="AB16" s="243">
        <v>-440</v>
      </c>
      <c r="AC16" s="243">
        <v>-882</v>
      </c>
      <c r="AD16" s="35">
        <f t="shared" si="7"/>
        <v>-6010</v>
      </c>
      <c r="AE16" s="243">
        <v>-5329</v>
      </c>
      <c r="AU16" s="30" t="s">
        <v>177</v>
      </c>
      <c r="AV16" s="279">
        <v>-128</v>
      </c>
      <c r="AW16" s="279">
        <v>-552</v>
      </c>
      <c r="AX16" s="279">
        <v>-128</v>
      </c>
      <c r="AY16" s="279">
        <v>-128</v>
      </c>
      <c r="AZ16" s="279">
        <v>-440</v>
      </c>
      <c r="BA16" s="243">
        <v>-3094</v>
      </c>
      <c r="BB16" s="279">
        <v>-128</v>
      </c>
      <c r="BC16" s="279">
        <v>-352</v>
      </c>
      <c r="BD16" s="279">
        <v>-128</v>
      </c>
      <c r="BE16" s="279">
        <v>-128</v>
      </c>
      <c r="BF16" s="279">
        <v>-440</v>
      </c>
      <c r="BG16" s="243">
        <v>-1600</v>
      </c>
      <c r="BH16" s="35">
        <f t="shared" si="8"/>
        <v>-7246</v>
      </c>
    </row>
    <row r="17" spans="1:60">
      <c r="A17" s="236"/>
      <c r="B17" s="116" t="s">
        <v>178</v>
      </c>
      <c r="C17" s="74">
        <f>SUM(C10:C16)</f>
        <v>8618</v>
      </c>
      <c r="D17" s="74">
        <f t="shared" ref="D17:N17" si="9">SUM(D10:D16)</f>
        <v>16687</v>
      </c>
      <c r="E17" s="74">
        <f t="shared" si="9"/>
        <v>12029</v>
      </c>
      <c r="F17" s="74">
        <f t="shared" si="9"/>
        <v>6447</v>
      </c>
      <c r="G17" s="74">
        <f t="shared" si="9"/>
        <v>9987</v>
      </c>
      <c r="H17" s="74">
        <f t="shared" si="9"/>
        <v>-1962</v>
      </c>
      <c r="I17" s="74">
        <f t="shared" si="9"/>
        <v>3936</v>
      </c>
      <c r="J17" s="74">
        <f t="shared" si="9"/>
        <v>3434</v>
      </c>
      <c r="K17" s="74">
        <f t="shared" si="9"/>
        <v>4268</v>
      </c>
      <c r="L17" s="74">
        <f t="shared" si="9"/>
        <v>4359</v>
      </c>
      <c r="M17" s="74">
        <f t="shared" si="9"/>
        <v>3943</v>
      </c>
      <c r="N17" s="74">
        <f t="shared" si="9"/>
        <v>-2184</v>
      </c>
      <c r="O17" s="35">
        <f>SUM(O10:O16)</f>
        <v>69562</v>
      </c>
      <c r="Q17" s="116" t="s">
        <v>178</v>
      </c>
      <c r="R17" s="74">
        <f t="shared" ref="R17:AD17" si="10">SUM(R10:R16)</f>
        <v>1594</v>
      </c>
      <c r="S17" s="74">
        <f t="shared" si="10"/>
        <v>22220</v>
      </c>
      <c r="T17" s="74">
        <f t="shared" si="10"/>
        <v>11875</v>
      </c>
      <c r="U17" s="74">
        <f t="shared" si="10"/>
        <v>8087</v>
      </c>
      <c r="V17" s="74">
        <f t="shared" si="10"/>
        <v>6322</v>
      </c>
      <c r="W17" s="74">
        <f t="shared" si="10"/>
        <v>2807</v>
      </c>
      <c r="X17" s="74">
        <f t="shared" si="10"/>
        <v>4024</v>
      </c>
      <c r="Y17" s="74">
        <f t="shared" si="10"/>
        <v>3251</v>
      </c>
      <c r="Z17" s="74">
        <f t="shared" si="10"/>
        <v>4186</v>
      </c>
      <c r="AA17" s="74">
        <f t="shared" si="10"/>
        <v>4565</v>
      </c>
      <c r="AB17" s="74">
        <f t="shared" si="10"/>
        <v>3817</v>
      </c>
      <c r="AC17" s="74">
        <f t="shared" si="10"/>
        <v>-230</v>
      </c>
      <c r="AD17" s="74">
        <f t="shared" si="10"/>
        <v>72518</v>
      </c>
      <c r="AU17" s="116" t="s">
        <v>178</v>
      </c>
      <c r="AV17" s="74">
        <f t="shared" ref="AV17:BH17" si="11">SUM(AV10:AV16)</f>
        <v>8618</v>
      </c>
      <c r="AW17" s="74">
        <f t="shared" si="11"/>
        <v>16687</v>
      </c>
      <c r="AX17" s="74">
        <f t="shared" si="11"/>
        <v>12029</v>
      </c>
      <c r="AY17" s="74">
        <f t="shared" si="11"/>
        <v>6447</v>
      </c>
      <c r="AZ17" s="74">
        <f t="shared" si="11"/>
        <v>9987</v>
      </c>
      <c r="BA17" s="74">
        <f t="shared" si="11"/>
        <v>-1962</v>
      </c>
      <c r="BB17" s="74">
        <f t="shared" si="11"/>
        <v>3936</v>
      </c>
      <c r="BC17" s="74">
        <f t="shared" si="11"/>
        <v>3434</v>
      </c>
      <c r="BD17" s="74">
        <f t="shared" si="11"/>
        <v>4268</v>
      </c>
      <c r="BE17" s="74">
        <f t="shared" si="11"/>
        <v>4359</v>
      </c>
      <c r="BF17" s="74">
        <f t="shared" si="11"/>
        <v>3943</v>
      </c>
      <c r="BG17" s="74">
        <f t="shared" si="11"/>
        <v>-2184</v>
      </c>
      <c r="BH17" s="74">
        <f t="shared" si="11"/>
        <v>69562</v>
      </c>
    </row>
    <row r="18" spans="1:60">
      <c r="A18" s="236"/>
      <c r="B18" s="72" t="s">
        <v>179</v>
      </c>
      <c r="C18" s="74">
        <f>C17+C9</f>
        <v>4148.148000000001</v>
      </c>
      <c r="D18" s="74">
        <f t="shared" ref="D18:O18" si="12">D17+D9</f>
        <v>-243.7390000000014</v>
      </c>
      <c r="E18" s="74">
        <f t="shared" si="12"/>
        <v>-11.601000000002387</v>
      </c>
      <c r="F18" s="74">
        <f t="shared" si="12"/>
        <v>-81.280000000006112</v>
      </c>
      <c r="G18" s="74">
        <f t="shared" si="12"/>
        <v>1111.9999999999854</v>
      </c>
      <c r="H18" s="74">
        <f t="shared" si="12"/>
        <v>-712.92299999998795</v>
      </c>
      <c r="I18" s="74">
        <f t="shared" si="12"/>
        <v>1808.3689999999988</v>
      </c>
      <c r="J18" s="74">
        <f t="shared" si="12"/>
        <v>164.68100000000413</v>
      </c>
      <c r="K18" s="74">
        <f t="shared" si="12"/>
        <v>-950.0879999999961</v>
      </c>
      <c r="L18" s="74">
        <f t="shared" si="12"/>
        <v>341.55900000000838</v>
      </c>
      <c r="M18" s="74">
        <f t="shared" si="12"/>
        <v>1119.7889999999898</v>
      </c>
      <c r="N18" s="74">
        <f t="shared" si="12"/>
        <v>-6871.1039999999921</v>
      </c>
      <c r="O18" s="74">
        <f t="shared" si="12"/>
        <v>-176.18899999999849</v>
      </c>
      <c r="Q18" s="72" t="s">
        <v>179</v>
      </c>
      <c r="R18" s="74">
        <f t="shared" ref="R18:AD18" si="13">R17+R9</f>
        <v>997.95700000000215</v>
      </c>
      <c r="S18" s="74">
        <f t="shared" si="13"/>
        <v>1555.5299999999916</v>
      </c>
      <c r="T18" s="74">
        <f t="shared" si="13"/>
        <v>-160.20599999999831</v>
      </c>
      <c r="U18" s="74">
        <f t="shared" si="13"/>
        <v>1494.471000000005</v>
      </c>
      <c r="V18" s="74">
        <f t="shared" si="13"/>
        <v>1516.377999999997</v>
      </c>
      <c r="W18" s="74">
        <f t="shared" si="13"/>
        <v>36.942999999999302</v>
      </c>
      <c r="X18" s="74">
        <f t="shared" si="13"/>
        <v>-391.43500000001222</v>
      </c>
      <c r="Y18" s="74">
        <f t="shared" si="13"/>
        <v>-1301.9070000000138</v>
      </c>
      <c r="Z18" s="74">
        <f t="shared" si="13"/>
        <v>969.59900000000198</v>
      </c>
      <c r="AA18" s="74">
        <f t="shared" si="13"/>
        <v>545.73499999999331</v>
      </c>
      <c r="AB18" s="74">
        <f t="shared" si="13"/>
        <v>31.025000000001455</v>
      </c>
      <c r="AC18" s="74">
        <f t="shared" si="13"/>
        <v>-5469.0500000000029</v>
      </c>
      <c r="AD18" s="74">
        <f t="shared" si="13"/>
        <v>-174.96000000003551</v>
      </c>
      <c r="AU18" s="72" t="s">
        <v>179</v>
      </c>
      <c r="AV18" s="74">
        <f t="shared" ref="AV18:BH18" si="14">AV17+AV9</f>
        <v>4148</v>
      </c>
      <c r="AW18" s="74">
        <f t="shared" si="14"/>
        <v>-244</v>
      </c>
      <c r="AX18" s="74">
        <f t="shared" si="14"/>
        <v>-6</v>
      </c>
      <c r="AY18" s="74">
        <f t="shared" si="14"/>
        <v>-78</v>
      </c>
      <c r="AZ18" s="74">
        <f t="shared" si="14"/>
        <v>1114</v>
      </c>
      <c r="BA18" s="74">
        <f t="shared" si="14"/>
        <v>-714</v>
      </c>
      <c r="BB18" s="74">
        <f t="shared" si="14"/>
        <v>1812</v>
      </c>
      <c r="BC18" s="74">
        <f t="shared" si="14"/>
        <v>165</v>
      </c>
      <c r="BD18" s="74">
        <f t="shared" si="14"/>
        <v>-949</v>
      </c>
      <c r="BE18" s="74">
        <f t="shared" si="14"/>
        <v>340</v>
      </c>
      <c r="BF18" s="74">
        <f t="shared" si="14"/>
        <v>1121</v>
      </c>
      <c r="BG18" s="74">
        <f t="shared" si="14"/>
        <v>-6885</v>
      </c>
      <c r="BH18" s="74">
        <f t="shared" si="14"/>
        <v>-176</v>
      </c>
    </row>
    <row r="19" spans="1:60">
      <c r="A19" s="236"/>
      <c r="B19" s="30" t="s">
        <v>163</v>
      </c>
      <c r="C19" s="279">
        <v>3343</v>
      </c>
      <c r="D19" s="35">
        <f>C20</f>
        <v>7491.148000000001</v>
      </c>
      <c r="E19" s="35">
        <f t="shared" ref="E19:N19" si="15">D20</f>
        <v>7247.4089999999997</v>
      </c>
      <c r="F19" s="35">
        <f t="shared" si="15"/>
        <v>7235.8079999999973</v>
      </c>
      <c r="G19" s="35">
        <f t="shared" si="15"/>
        <v>7154.5279999999912</v>
      </c>
      <c r="H19" s="35">
        <f t="shared" si="15"/>
        <v>8266.5279999999766</v>
      </c>
      <c r="I19" s="35">
        <f t="shared" si="15"/>
        <v>7553.6049999999886</v>
      </c>
      <c r="J19" s="35">
        <f t="shared" si="15"/>
        <v>9361.9739999999874</v>
      </c>
      <c r="K19" s="35">
        <f t="shared" si="15"/>
        <v>9526.6549999999916</v>
      </c>
      <c r="L19" s="35">
        <f t="shared" si="15"/>
        <v>8576.5669999999955</v>
      </c>
      <c r="M19" s="35">
        <f t="shared" si="15"/>
        <v>8918.1260000000038</v>
      </c>
      <c r="N19" s="35">
        <f t="shared" si="15"/>
        <v>10037.914999999994</v>
      </c>
      <c r="O19" s="35">
        <f>C19</f>
        <v>3343</v>
      </c>
      <c r="Q19" s="30" t="s">
        <v>163</v>
      </c>
      <c r="R19" s="279">
        <v>3343</v>
      </c>
      <c r="S19" s="35">
        <f>R20</f>
        <v>4340.9570000000022</v>
      </c>
      <c r="T19" s="35">
        <f t="shared" ref="T19:AC19" si="16">S20</f>
        <v>5896.4869999999937</v>
      </c>
      <c r="U19" s="35">
        <f t="shared" si="16"/>
        <v>5736.2809999999954</v>
      </c>
      <c r="V19" s="35">
        <f t="shared" si="16"/>
        <v>7230.7520000000004</v>
      </c>
      <c r="W19" s="35">
        <f t="shared" si="16"/>
        <v>8747.1299999999974</v>
      </c>
      <c r="X19" s="35">
        <f t="shared" si="16"/>
        <v>8784.0729999999967</v>
      </c>
      <c r="Y19" s="35">
        <f t="shared" si="16"/>
        <v>8392.6379999999845</v>
      </c>
      <c r="Z19" s="35">
        <f t="shared" si="16"/>
        <v>7090.7309999999707</v>
      </c>
      <c r="AA19" s="35">
        <f t="shared" si="16"/>
        <v>8060.3299999999726</v>
      </c>
      <c r="AB19" s="35">
        <f t="shared" si="16"/>
        <v>8606.0649999999659</v>
      </c>
      <c r="AC19" s="35">
        <f t="shared" si="16"/>
        <v>8637.0899999999674</v>
      </c>
      <c r="AD19" s="35">
        <f>R19</f>
        <v>3343</v>
      </c>
      <c r="AU19" s="30" t="s">
        <v>163</v>
      </c>
      <c r="AV19" s="279">
        <f>+AC21</f>
        <v>3168</v>
      </c>
      <c r="AW19" s="35">
        <f>AV20</f>
        <v>7316</v>
      </c>
      <c r="AX19" s="35">
        <f t="shared" ref="AX19" si="17">AW20</f>
        <v>7072</v>
      </c>
      <c r="AY19" s="35">
        <f t="shared" ref="AY19" si="18">AX20</f>
        <v>7066</v>
      </c>
      <c r="AZ19" s="35">
        <f t="shared" ref="AZ19" si="19">AY20</f>
        <v>6988</v>
      </c>
      <c r="BA19" s="35">
        <f t="shared" ref="BA19" si="20">AZ20</f>
        <v>8102</v>
      </c>
      <c r="BB19" s="35">
        <f t="shared" ref="BB19" si="21">BA20</f>
        <v>7388</v>
      </c>
      <c r="BC19" s="35">
        <f t="shared" ref="BC19" si="22">BB20</f>
        <v>9200</v>
      </c>
      <c r="BD19" s="35">
        <f t="shared" ref="BD19" si="23">BC20</f>
        <v>9365</v>
      </c>
      <c r="BE19" s="35">
        <f t="shared" ref="BE19" si="24">BD20</f>
        <v>8416</v>
      </c>
      <c r="BF19" s="35">
        <f t="shared" ref="BF19" si="25">BE20</f>
        <v>8756</v>
      </c>
      <c r="BG19" s="35">
        <f t="shared" ref="BG19" si="26">BF20</f>
        <v>9877</v>
      </c>
      <c r="BH19" s="35">
        <f>AV19</f>
        <v>3168</v>
      </c>
    </row>
    <row r="20" spans="1:60">
      <c r="A20" s="236"/>
      <c r="B20" s="72" t="s">
        <v>164</v>
      </c>
      <c r="C20" s="74">
        <f>C19+C18</f>
        <v>7491.148000000001</v>
      </c>
      <c r="D20" s="74">
        <f t="shared" ref="D20:O20" si="27">D19+D18</f>
        <v>7247.4089999999997</v>
      </c>
      <c r="E20" s="74">
        <f t="shared" si="27"/>
        <v>7235.8079999999973</v>
      </c>
      <c r="F20" s="74">
        <f t="shared" si="27"/>
        <v>7154.5279999999912</v>
      </c>
      <c r="G20" s="74">
        <f t="shared" si="27"/>
        <v>8266.5279999999766</v>
      </c>
      <c r="H20" s="74">
        <f t="shared" si="27"/>
        <v>7553.6049999999886</v>
      </c>
      <c r="I20" s="74">
        <f t="shared" si="27"/>
        <v>9361.9739999999874</v>
      </c>
      <c r="J20" s="74">
        <f t="shared" si="27"/>
        <v>9526.6549999999916</v>
      </c>
      <c r="K20" s="74">
        <f t="shared" si="27"/>
        <v>8576.5669999999955</v>
      </c>
      <c r="L20" s="74">
        <f t="shared" si="27"/>
        <v>8918.1260000000038</v>
      </c>
      <c r="M20" s="74">
        <f t="shared" si="27"/>
        <v>10037.914999999994</v>
      </c>
      <c r="N20" s="74">
        <f t="shared" si="27"/>
        <v>3166.8110000000015</v>
      </c>
      <c r="O20" s="74">
        <f t="shared" si="27"/>
        <v>3166.8110000000015</v>
      </c>
      <c r="P20" s="285" t="str">
        <f>IF(N20=O20,"","ERROR")</f>
        <v/>
      </c>
      <c r="Q20" s="72" t="s">
        <v>164</v>
      </c>
      <c r="R20" s="74">
        <f t="shared" ref="R20:AD20" si="28">R19+R18</f>
        <v>4340.9570000000022</v>
      </c>
      <c r="S20" s="74">
        <f t="shared" si="28"/>
        <v>5896.4869999999937</v>
      </c>
      <c r="T20" s="74">
        <f t="shared" si="28"/>
        <v>5736.2809999999954</v>
      </c>
      <c r="U20" s="74">
        <f t="shared" si="28"/>
        <v>7230.7520000000004</v>
      </c>
      <c r="V20" s="74">
        <f t="shared" si="28"/>
        <v>8747.1299999999974</v>
      </c>
      <c r="W20" s="74">
        <f t="shared" si="28"/>
        <v>8784.0729999999967</v>
      </c>
      <c r="X20" s="74">
        <f t="shared" si="28"/>
        <v>8392.6379999999845</v>
      </c>
      <c r="Y20" s="74">
        <f t="shared" si="28"/>
        <v>7090.7309999999707</v>
      </c>
      <c r="Z20" s="74">
        <f t="shared" si="28"/>
        <v>8060.3299999999726</v>
      </c>
      <c r="AA20" s="74">
        <f t="shared" si="28"/>
        <v>8606.0649999999659</v>
      </c>
      <c r="AB20" s="74">
        <f t="shared" si="28"/>
        <v>8637.0899999999674</v>
      </c>
      <c r="AC20" s="74">
        <f t="shared" si="28"/>
        <v>3168.0399999999645</v>
      </c>
      <c r="AD20" s="74">
        <f t="shared" si="28"/>
        <v>3168.0399999999645</v>
      </c>
      <c r="AE20" s="285" t="str">
        <f>IF(AC20=AD20,"","ERROR")</f>
        <v/>
      </c>
      <c r="AU20" s="72" t="s">
        <v>164</v>
      </c>
      <c r="AV20" s="74">
        <f t="shared" ref="AV20:BH20" si="29">AV19+AV18</f>
        <v>7316</v>
      </c>
      <c r="AW20" s="74">
        <f t="shared" si="29"/>
        <v>7072</v>
      </c>
      <c r="AX20" s="74">
        <f t="shared" si="29"/>
        <v>7066</v>
      </c>
      <c r="AY20" s="74">
        <f t="shared" si="29"/>
        <v>6988</v>
      </c>
      <c r="AZ20" s="74">
        <f t="shared" si="29"/>
        <v>8102</v>
      </c>
      <c r="BA20" s="74">
        <f t="shared" si="29"/>
        <v>7388</v>
      </c>
      <c r="BB20" s="74">
        <f t="shared" si="29"/>
        <v>9200</v>
      </c>
      <c r="BC20" s="74">
        <f t="shared" si="29"/>
        <v>9365</v>
      </c>
      <c r="BD20" s="74">
        <f t="shared" si="29"/>
        <v>8416</v>
      </c>
      <c r="BE20" s="74">
        <f t="shared" si="29"/>
        <v>8756</v>
      </c>
      <c r="BF20" s="74">
        <f t="shared" si="29"/>
        <v>9877</v>
      </c>
      <c r="BG20" s="74">
        <f t="shared" si="29"/>
        <v>2992</v>
      </c>
      <c r="BH20" s="74">
        <f t="shared" si="29"/>
        <v>2992</v>
      </c>
    </row>
    <row r="21" spans="1:60">
      <c r="A21" s="236"/>
      <c r="B21" s="282" t="s">
        <v>721</v>
      </c>
      <c r="C21" s="284">
        <v>7491</v>
      </c>
      <c r="D21" s="284">
        <v>7247</v>
      </c>
      <c r="E21" s="284">
        <v>7241</v>
      </c>
      <c r="F21" s="284">
        <v>7163</v>
      </c>
      <c r="G21" s="284">
        <v>8277</v>
      </c>
      <c r="H21" s="284">
        <v>7563</v>
      </c>
      <c r="I21" s="284">
        <v>9375</v>
      </c>
      <c r="J21" s="284">
        <v>9540</v>
      </c>
      <c r="K21" s="284">
        <v>8591</v>
      </c>
      <c r="L21" s="284">
        <v>8931</v>
      </c>
      <c r="M21" s="284">
        <v>10052</v>
      </c>
      <c r="N21" s="284">
        <v>3167</v>
      </c>
      <c r="Q21" s="282" t="s">
        <v>834</v>
      </c>
      <c r="R21" s="312">
        <v>4341</v>
      </c>
      <c r="S21" s="312">
        <v>5896</v>
      </c>
      <c r="T21" s="312">
        <v>5736</v>
      </c>
      <c r="U21" s="312">
        <v>7231</v>
      </c>
      <c r="V21" s="312">
        <v>8747</v>
      </c>
      <c r="W21" s="312">
        <v>8784</v>
      </c>
      <c r="X21" s="312">
        <v>8393</v>
      </c>
      <c r="Y21" s="312">
        <v>7091</v>
      </c>
      <c r="Z21" s="312">
        <v>8060</v>
      </c>
      <c r="AA21" s="312">
        <v>8606</v>
      </c>
      <c r="AB21" s="312">
        <v>8637</v>
      </c>
      <c r="AC21" s="312">
        <v>3168</v>
      </c>
      <c r="AU21" s="282" t="s">
        <v>834</v>
      </c>
      <c r="AV21" s="312"/>
      <c r="AW21" s="312"/>
      <c r="AX21" s="312"/>
      <c r="AY21" s="312"/>
      <c r="AZ21" s="312"/>
      <c r="BA21" s="312"/>
      <c r="BB21" s="312"/>
      <c r="BC21" s="312"/>
      <c r="BD21" s="312"/>
      <c r="BE21" s="312"/>
      <c r="BF21" s="312"/>
      <c r="BG21" s="312"/>
    </row>
    <row r="22" spans="1:60">
      <c r="A22" s="236"/>
      <c r="C22" s="237" t="str">
        <f>IF(C21=C20,"","ERROR")</f>
        <v>ERROR</v>
      </c>
      <c r="D22" s="237" t="str">
        <f t="shared" ref="D22:N22" si="30">IF(D21=D20,"","ERROR")</f>
        <v>ERROR</v>
      </c>
      <c r="E22" s="237" t="str">
        <f t="shared" si="30"/>
        <v>ERROR</v>
      </c>
      <c r="F22" s="237" t="str">
        <f t="shared" si="30"/>
        <v>ERROR</v>
      </c>
      <c r="G22" s="237" t="str">
        <f t="shared" si="30"/>
        <v>ERROR</v>
      </c>
      <c r="H22" s="237" t="str">
        <f t="shared" si="30"/>
        <v>ERROR</v>
      </c>
      <c r="I22" s="237" t="str">
        <f t="shared" si="30"/>
        <v>ERROR</v>
      </c>
      <c r="J22" s="237" t="str">
        <f t="shared" si="30"/>
        <v>ERROR</v>
      </c>
      <c r="K22" s="237" t="str">
        <f t="shared" si="30"/>
        <v>ERROR</v>
      </c>
      <c r="L22" s="237" t="str">
        <f t="shared" si="30"/>
        <v>ERROR</v>
      </c>
      <c r="M22" s="237" t="str">
        <f t="shared" si="30"/>
        <v>ERROR</v>
      </c>
      <c r="N22" s="237" t="str">
        <f t="shared" si="30"/>
        <v>ERROR</v>
      </c>
      <c r="R22" s="283" t="str">
        <f>IF(R21=R20,"","ERROR")</f>
        <v>ERROR</v>
      </c>
      <c r="S22" s="283" t="str">
        <f t="shared" ref="S22:AC22" si="31">IF(S21=S20,"","ERROR")</f>
        <v>ERROR</v>
      </c>
      <c r="T22" s="283" t="str">
        <f t="shared" si="31"/>
        <v>ERROR</v>
      </c>
      <c r="U22" s="283" t="str">
        <f t="shared" si="31"/>
        <v>ERROR</v>
      </c>
      <c r="V22" s="283" t="str">
        <f t="shared" si="31"/>
        <v>ERROR</v>
      </c>
      <c r="W22" s="283" t="str">
        <f t="shared" si="31"/>
        <v>ERROR</v>
      </c>
      <c r="X22" s="283" t="str">
        <f t="shared" si="31"/>
        <v>ERROR</v>
      </c>
      <c r="Y22" s="283" t="str">
        <f t="shared" si="31"/>
        <v>ERROR</v>
      </c>
      <c r="Z22" s="283" t="str">
        <f t="shared" si="31"/>
        <v>ERROR</v>
      </c>
      <c r="AA22" s="283" t="str">
        <f t="shared" si="31"/>
        <v>ERROR</v>
      </c>
      <c r="AB22" s="283" t="str">
        <f t="shared" si="31"/>
        <v>ERROR</v>
      </c>
      <c r="AC22" s="283" t="str">
        <f t="shared" si="31"/>
        <v>ERROR</v>
      </c>
    </row>
    <row r="23" spans="1:60">
      <c r="A23" s="236"/>
      <c r="C23" s="35">
        <f>C21-C20</f>
        <v>-0.14800000000104774</v>
      </c>
      <c r="D23" s="35">
        <f>D21-D20</f>
        <v>-0.40899999999965075</v>
      </c>
      <c r="E23" s="35">
        <f t="shared" ref="E23:N23" si="32">E21-E20</f>
        <v>5.1920000000027358</v>
      </c>
      <c r="F23" s="35">
        <f t="shared" si="32"/>
        <v>8.4720000000088476</v>
      </c>
      <c r="G23" s="35">
        <f t="shared" si="32"/>
        <v>10.472000000023399</v>
      </c>
      <c r="H23" s="35">
        <f t="shared" si="32"/>
        <v>9.3950000000113505</v>
      </c>
      <c r="I23" s="35">
        <f t="shared" si="32"/>
        <v>13.026000000012573</v>
      </c>
      <c r="J23" s="35">
        <f t="shared" si="32"/>
        <v>13.34500000000844</v>
      </c>
      <c r="K23" s="35">
        <f t="shared" si="32"/>
        <v>14.43300000000454</v>
      </c>
      <c r="L23" s="35">
        <f t="shared" si="32"/>
        <v>12.873999999996158</v>
      </c>
      <c r="M23" s="35">
        <f t="shared" si="32"/>
        <v>14.085000000006403</v>
      </c>
      <c r="N23" s="35">
        <f t="shared" si="32"/>
        <v>0.1889999999984866</v>
      </c>
    </row>
    <row r="24" spans="1:60">
      <c r="A24" s="236"/>
      <c r="B24" s="72" t="s">
        <v>219</v>
      </c>
      <c r="Q24" s="72" t="s">
        <v>223</v>
      </c>
      <c r="V24" s="35"/>
      <c r="W24" s="325"/>
      <c r="X24" s="35">
        <v>25794</v>
      </c>
      <c r="Y24" s="35">
        <v>21368</v>
      </c>
      <c r="Z24" s="35">
        <v>18181</v>
      </c>
      <c r="AA24" s="35">
        <v>19064</v>
      </c>
      <c r="AB24" s="35">
        <v>18307</v>
      </c>
      <c r="AC24" s="325"/>
    </row>
    <row r="25" spans="1:60">
      <c r="A25" s="236"/>
    </row>
    <row r="26" spans="1:60">
      <c r="A26" s="236"/>
      <c r="B26" s="30" t="s">
        <v>865</v>
      </c>
      <c r="C26" s="35">
        <f>+C2</f>
        <v>-102.85199999999895</v>
      </c>
      <c r="D26" s="35">
        <f t="shared" ref="D26:N26" si="33">+D2+C26</f>
        <v>-211.59100000000035</v>
      </c>
      <c r="E26" s="35">
        <f t="shared" si="33"/>
        <v>-339.19200000000274</v>
      </c>
      <c r="F26" s="35">
        <f t="shared" si="33"/>
        <v>892.52799999999115</v>
      </c>
      <c r="G26" s="35">
        <f t="shared" si="33"/>
        <v>1999.5279999999766</v>
      </c>
      <c r="H26" s="35">
        <f t="shared" si="33"/>
        <v>3273.6049999999886</v>
      </c>
      <c r="I26" s="35">
        <f t="shared" si="33"/>
        <v>5450.9739999999874</v>
      </c>
      <c r="J26" s="35">
        <f t="shared" si="33"/>
        <v>7748.6549999999916</v>
      </c>
      <c r="K26" s="35">
        <f t="shared" si="33"/>
        <v>10332.566999999995</v>
      </c>
      <c r="L26" s="35">
        <f t="shared" si="33"/>
        <v>12942.126000000004</v>
      </c>
      <c r="M26" s="35">
        <f t="shared" si="33"/>
        <v>15554.914999999994</v>
      </c>
      <c r="N26" s="35">
        <f t="shared" si="33"/>
        <v>18159.811000000002</v>
      </c>
      <c r="O26" s="35"/>
      <c r="Q26" s="30" t="s">
        <v>865</v>
      </c>
      <c r="R26" s="35">
        <f>+R2</f>
        <v>-2127.0429999999978</v>
      </c>
      <c r="S26" s="35">
        <f t="shared" ref="S26:AC26" si="34">+S2+R26</f>
        <v>-5691.5130000000063</v>
      </c>
      <c r="T26" s="35">
        <f t="shared" si="34"/>
        <v>-7712.7190000000046</v>
      </c>
      <c r="U26" s="35">
        <f t="shared" si="34"/>
        <v>-4765.2479999999996</v>
      </c>
      <c r="V26" s="35">
        <f t="shared" si="34"/>
        <v>-4280.8700000000026</v>
      </c>
      <c r="W26" s="35">
        <f t="shared" si="34"/>
        <v>-3723.9270000000033</v>
      </c>
      <c r="X26" s="35">
        <f t="shared" si="34"/>
        <v>1366.6379999999845</v>
      </c>
      <c r="Y26" s="35">
        <f t="shared" si="34"/>
        <v>2946.7309999999707</v>
      </c>
      <c r="Z26" s="35">
        <f t="shared" si="34"/>
        <v>4820.3299999999726</v>
      </c>
      <c r="AA26" s="35">
        <f t="shared" si="34"/>
        <v>10378.064999999966</v>
      </c>
      <c r="AB26" s="35">
        <f t="shared" si="34"/>
        <v>12379.089999999967</v>
      </c>
      <c r="AC26" s="35">
        <f t="shared" si="34"/>
        <v>17948.039999999964</v>
      </c>
    </row>
    <row r="27" spans="1:60">
      <c r="A27" s="236"/>
      <c r="B27" s="30" t="s">
        <v>165</v>
      </c>
      <c r="C27" s="35">
        <f>+C3</f>
        <v>0</v>
      </c>
      <c r="D27" s="35">
        <f t="shared" ref="D27:N27" si="35">+D3+C27</f>
        <v>0</v>
      </c>
      <c r="E27" s="35">
        <f t="shared" si="35"/>
        <v>0</v>
      </c>
      <c r="F27" s="35">
        <f t="shared" si="35"/>
        <v>0</v>
      </c>
      <c r="G27" s="35">
        <f t="shared" si="35"/>
        <v>0</v>
      </c>
      <c r="H27" s="35">
        <f t="shared" si="35"/>
        <v>0</v>
      </c>
      <c r="I27" s="35">
        <f t="shared" si="35"/>
        <v>0</v>
      </c>
      <c r="J27" s="35">
        <f t="shared" si="35"/>
        <v>0</v>
      </c>
      <c r="K27" s="35">
        <f t="shared" si="35"/>
        <v>0</v>
      </c>
      <c r="L27" s="35">
        <f t="shared" si="35"/>
        <v>0</v>
      </c>
      <c r="M27" s="35">
        <f t="shared" si="35"/>
        <v>0</v>
      </c>
      <c r="N27" s="35">
        <f t="shared" si="35"/>
        <v>0</v>
      </c>
      <c r="O27" s="35"/>
      <c r="Q27" s="30" t="s">
        <v>165</v>
      </c>
      <c r="R27" s="35">
        <f>+R3</f>
        <v>0</v>
      </c>
      <c r="S27" s="35">
        <f t="shared" ref="S27:AC27" si="36">+S3+R27</f>
        <v>0</v>
      </c>
      <c r="T27" s="35">
        <f t="shared" si="36"/>
        <v>0</v>
      </c>
      <c r="U27" s="35">
        <f t="shared" si="36"/>
        <v>0</v>
      </c>
      <c r="V27" s="35">
        <f t="shared" si="36"/>
        <v>0</v>
      </c>
      <c r="W27" s="35">
        <f t="shared" si="36"/>
        <v>0</v>
      </c>
      <c r="X27" s="35">
        <f t="shared" si="36"/>
        <v>0</v>
      </c>
      <c r="Y27" s="35">
        <f t="shared" si="36"/>
        <v>0</v>
      </c>
      <c r="Z27" s="35">
        <f t="shared" si="36"/>
        <v>0</v>
      </c>
      <c r="AA27" s="35">
        <f t="shared" si="36"/>
        <v>0</v>
      </c>
      <c r="AB27" s="35">
        <f t="shared" si="36"/>
        <v>0</v>
      </c>
      <c r="AC27" s="35">
        <f t="shared" si="36"/>
        <v>0</v>
      </c>
    </row>
    <row r="28" spans="1:60">
      <c r="A28" s="236"/>
      <c r="B28" s="30" t="s">
        <v>166</v>
      </c>
      <c r="C28" s="35">
        <f>+C4</f>
        <v>4154</v>
      </c>
      <c r="D28" s="35">
        <f t="shared" ref="D28:N28" si="37">+D4+C28</f>
        <v>1575</v>
      </c>
      <c r="E28" s="35">
        <f t="shared" si="37"/>
        <v>-279</v>
      </c>
      <c r="F28" s="35">
        <f t="shared" si="37"/>
        <v>-6983</v>
      </c>
      <c r="G28" s="35">
        <f t="shared" si="37"/>
        <v>-3975</v>
      </c>
      <c r="H28" s="35">
        <f t="shared" si="37"/>
        <v>1241</v>
      </c>
      <c r="I28" s="35">
        <f t="shared" si="37"/>
        <v>4701</v>
      </c>
      <c r="J28" s="35">
        <f t="shared" si="37"/>
        <v>4583</v>
      </c>
      <c r="K28" s="35">
        <f t="shared" si="37"/>
        <v>3174</v>
      </c>
      <c r="L28" s="35">
        <f t="shared" si="37"/>
        <v>7187</v>
      </c>
      <c r="M28" s="35">
        <f t="shared" si="37"/>
        <v>4707</v>
      </c>
      <c r="N28" s="35">
        <f t="shared" si="37"/>
        <v>3809</v>
      </c>
      <c r="O28" s="35"/>
      <c r="Q28" s="30" t="s">
        <v>166</v>
      </c>
      <c r="R28" s="35">
        <f>+R4</f>
        <v>5778</v>
      </c>
      <c r="S28" s="35">
        <f t="shared" ref="S28:AC28" si="38">+S4+R28</f>
        <v>-2525</v>
      </c>
      <c r="T28" s="35">
        <f t="shared" si="38"/>
        <v>-1355</v>
      </c>
      <c r="U28" s="35">
        <f t="shared" si="38"/>
        <v>-8733</v>
      </c>
      <c r="V28" s="35">
        <f t="shared" si="38"/>
        <v>-996</v>
      </c>
      <c r="W28" s="35">
        <f t="shared" si="38"/>
        <v>918</v>
      </c>
      <c r="X28" s="35">
        <f t="shared" si="38"/>
        <v>313</v>
      </c>
      <c r="Y28" s="35">
        <f t="shared" si="38"/>
        <v>1584</v>
      </c>
      <c r="Z28" s="35">
        <f t="shared" si="38"/>
        <v>6455</v>
      </c>
      <c r="AA28" s="35">
        <f t="shared" si="38"/>
        <v>12358</v>
      </c>
      <c r="AB28" s="35">
        <f t="shared" si="38"/>
        <v>11536</v>
      </c>
      <c r="AC28" s="35">
        <f t="shared" si="38"/>
        <v>8684</v>
      </c>
    </row>
    <row r="29" spans="1:60">
      <c r="A29" s="236"/>
      <c r="B29" s="43" t="s">
        <v>167</v>
      </c>
      <c r="C29" s="35">
        <f>+C5</f>
        <v>127</v>
      </c>
      <c r="D29" s="35">
        <f t="shared" ref="D29:N29" si="39">+D5+C29</f>
        <v>131</v>
      </c>
      <c r="E29" s="35">
        <f t="shared" si="39"/>
        <v>111</v>
      </c>
      <c r="F29" s="35">
        <f t="shared" si="39"/>
        <v>93</v>
      </c>
      <c r="G29" s="35">
        <f t="shared" si="39"/>
        <v>105</v>
      </c>
      <c r="H29" s="35">
        <f t="shared" si="39"/>
        <v>141</v>
      </c>
      <c r="I29" s="35">
        <f t="shared" si="39"/>
        <v>-1397</v>
      </c>
      <c r="J29" s="35">
        <f t="shared" si="39"/>
        <v>-1340</v>
      </c>
      <c r="K29" s="35">
        <f t="shared" si="39"/>
        <v>-1305</v>
      </c>
      <c r="L29" s="35">
        <f t="shared" si="39"/>
        <v>-1305</v>
      </c>
      <c r="M29" s="35">
        <f t="shared" si="39"/>
        <v>-1305</v>
      </c>
      <c r="N29" s="35">
        <f t="shared" si="39"/>
        <v>-1350</v>
      </c>
      <c r="O29" s="35"/>
      <c r="Q29" s="43" t="s">
        <v>167</v>
      </c>
      <c r="R29" s="35">
        <f>+R5</f>
        <v>-13</v>
      </c>
      <c r="S29" s="35">
        <f t="shared" ref="S29:AC29" si="40">+S5+R29</f>
        <v>-1</v>
      </c>
      <c r="T29" s="35">
        <f t="shared" si="40"/>
        <v>-21</v>
      </c>
      <c r="U29" s="35">
        <f t="shared" si="40"/>
        <v>-39</v>
      </c>
      <c r="V29" s="35">
        <f t="shared" si="40"/>
        <v>-27</v>
      </c>
      <c r="W29" s="35">
        <f t="shared" si="40"/>
        <v>9</v>
      </c>
      <c r="X29" s="35">
        <f t="shared" si="40"/>
        <v>-1529</v>
      </c>
      <c r="Y29" s="35">
        <f t="shared" si="40"/>
        <v>-1472</v>
      </c>
      <c r="Z29" s="35">
        <f t="shared" si="40"/>
        <v>-1437</v>
      </c>
      <c r="AA29" s="35">
        <f t="shared" si="40"/>
        <v>-1437</v>
      </c>
      <c r="AB29" s="35">
        <f t="shared" si="40"/>
        <v>-1437</v>
      </c>
      <c r="AC29" s="35">
        <f t="shared" si="40"/>
        <v>-1482</v>
      </c>
    </row>
    <row r="30" spans="1:60">
      <c r="A30" s="236"/>
      <c r="B30" s="278" t="s">
        <v>168</v>
      </c>
      <c r="C30" s="168">
        <f t="shared" ref="C30:N30" si="41">SUM(C26:C29)</f>
        <v>4178.148000000001</v>
      </c>
      <c r="D30" s="168">
        <f t="shared" si="41"/>
        <v>1494.4089999999997</v>
      </c>
      <c r="E30" s="168">
        <f t="shared" si="41"/>
        <v>-507.19200000000274</v>
      </c>
      <c r="F30" s="168">
        <f t="shared" si="41"/>
        <v>-5997.4720000000088</v>
      </c>
      <c r="G30" s="168">
        <f t="shared" si="41"/>
        <v>-1870.4720000000234</v>
      </c>
      <c r="H30" s="168">
        <f t="shared" si="41"/>
        <v>4655.6049999999886</v>
      </c>
      <c r="I30" s="168">
        <f t="shared" si="41"/>
        <v>8754.9739999999874</v>
      </c>
      <c r="J30" s="168">
        <f t="shared" si="41"/>
        <v>10991.654999999992</v>
      </c>
      <c r="K30" s="168">
        <f t="shared" si="41"/>
        <v>12201.566999999995</v>
      </c>
      <c r="L30" s="168">
        <f t="shared" si="41"/>
        <v>18824.126000000004</v>
      </c>
      <c r="M30" s="168">
        <f t="shared" si="41"/>
        <v>18956.914999999994</v>
      </c>
      <c r="N30" s="168">
        <f t="shared" si="41"/>
        <v>20618.811000000002</v>
      </c>
      <c r="O30" s="168"/>
      <c r="Q30" s="278" t="s">
        <v>168</v>
      </c>
      <c r="R30" s="168">
        <f t="shared" ref="R30:AC30" si="42">SUM(R26:R29)</f>
        <v>3637.9570000000022</v>
      </c>
      <c r="S30" s="168">
        <f t="shared" si="42"/>
        <v>-8217.5130000000063</v>
      </c>
      <c r="T30" s="168">
        <f t="shared" si="42"/>
        <v>-9088.7190000000046</v>
      </c>
      <c r="U30" s="168">
        <f t="shared" si="42"/>
        <v>-13537.248</v>
      </c>
      <c r="V30" s="168">
        <f t="shared" si="42"/>
        <v>-5303.8700000000026</v>
      </c>
      <c r="W30" s="168">
        <f t="shared" si="42"/>
        <v>-2796.9270000000033</v>
      </c>
      <c r="X30" s="168">
        <f t="shared" si="42"/>
        <v>150.63799999998446</v>
      </c>
      <c r="Y30" s="168">
        <f t="shared" si="42"/>
        <v>3058.7309999999707</v>
      </c>
      <c r="Z30" s="168">
        <f t="shared" si="42"/>
        <v>9838.3299999999726</v>
      </c>
      <c r="AA30" s="168">
        <f t="shared" si="42"/>
        <v>21299.064999999966</v>
      </c>
      <c r="AB30" s="168">
        <f t="shared" si="42"/>
        <v>22478.089999999967</v>
      </c>
      <c r="AC30" s="168">
        <f t="shared" si="42"/>
        <v>25150.039999999964</v>
      </c>
    </row>
    <row r="31" spans="1:60">
      <c r="A31" s="236"/>
      <c r="B31" s="30" t="s">
        <v>941</v>
      </c>
      <c r="C31" s="35">
        <f>+C7</f>
        <v>-8648</v>
      </c>
      <c r="D31" s="35">
        <f t="shared" ref="D31:N31" si="43">+D7+C31</f>
        <v>-22895</v>
      </c>
      <c r="E31" s="35">
        <f t="shared" si="43"/>
        <v>-32934</v>
      </c>
      <c r="F31" s="35">
        <f t="shared" si="43"/>
        <v>-33972</v>
      </c>
      <c r="G31" s="35">
        <f t="shared" si="43"/>
        <v>-46974</v>
      </c>
      <c r="H31" s="35">
        <f t="shared" si="43"/>
        <v>-52251</v>
      </c>
      <c r="I31" s="35">
        <f t="shared" si="43"/>
        <v>-58478</v>
      </c>
      <c r="J31" s="35">
        <f t="shared" si="43"/>
        <v>-63984</v>
      </c>
      <c r="K31" s="35">
        <f t="shared" si="43"/>
        <v>-70412</v>
      </c>
      <c r="L31" s="35">
        <f t="shared" si="43"/>
        <v>-81052</v>
      </c>
      <c r="M31" s="35">
        <f t="shared" si="43"/>
        <v>-84008</v>
      </c>
      <c r="N31" s="35">
        <f t="shared" si="43"/>
        <v>-90357</v>
      </c>
      <c r="O31" s="35"/>
      <c r="Q31" s="30" t="s">
        <v>941</v>
      </c>
      <c r="R31" s="35">
        <f>+R7</f>
        <v>-4234</v>
      </c>
      <c r="S31" s="35">
        <f t="shared" ref="S31:AC31" si="44">+S7+R31</f>
        <v>-13043</v>
      </c>
      <c r="T31" s="35">
        <f t="shared" si="44"/>
        <v>-24207</v>
      </c>
      <c r="U31" s="35">
        <f t="shared" si="44"/>
        <v>-26351</v>
      </c>
      <c r="V31" s="35">
        <f t="shared" si="44"/>
        <v>-39390</v>
      </c>
      <c r="W31" s="35">
        <f t="shared" si="44"/>
        <v>-44667</v>
      </c>
      <c r="X31" s="35">
        <f t="shared" si="44"/>
        <v>-52030</v>
      </c>
      <c r="Y31" s="35">
        <f t="shared" si="44"/>
        <v>-59491</v>
      </c>
      <c r="Z31" s="35">
        <f t="shared" si="44"/>
        <v>-69487</v>
      </c>
      <c r="AA31" s="35">
        <f t="shared" si="44"/>
        <v>-84967</v>
      </c>
      <c r="AB31" s="35">
        <f t="shared" si="44"/>
        <v>-89932</v>
      </c>
      <c r="AC31" s="35">
        <f t="shared" si="44"/>
        <v>-97843</v>
      </c>
    </row>
    <row r="32" spans="1:60">
      <c r="A32" s="236"/>
      <c r="B32" s="30" t="s">
        <v>169</v>
      </c>
      <c r="C32" s="35">
        <f>+C8</f>
        <v>0</v>
      </c>
      <c r="D32" s="35">
        <f t="shared" ref="D32:N32" si="45">+D8+C32</f>
        <v>0</v>
      </c>
      <c r="E32" s="35">
        <f t="shared" si="45"/>
        <v>0</v>
      </c>
      <c r="F32" s="35">
        <f t="shared" si="45"/>
        <v>0</v>
      </c>
      <c r="G32" s="35">
        <f t="shared" si="45"/>
        <v>0</v>
      </c>
      <c r="H32" s="35">
        <f t="shared" si="45"/>
        <v>0</v>
      </c>
      <c r="I32" s="35">
        <f t="shared" si="45"/>
        <v>0</v>
      </c>
      <c r="J32" s="35">
        <f t="shared" si="45"/>
        <v>0</v>
      </c>
      <c r="K32" s="35">
        <f t="shared" si="45"/>
        <v>0</v>
      </c>
      <c r="L32" s="35">
        <f t="shared" si="45"/>
        <v>0</v>
      </c>
      <c r="M32" s="35">
        <f t="shared" si="45"/>
        <v>0</v>
      </c>
      <c r="N32" s="35">
        <f t="shared" si="45"/>
        <v>0</v>
      </c>
      <c r="O32" s="35"/>
      <c r="Q32" s="30" t="s">
        <v>169</v>
      </c>
      <c r="R32" s="35">
        <f>+R8</f>
        <v>0</v>
      </c>
      <c r="S32" s="35">
        <f t="shared" ref="S32:AC32" si="46">+S8+R32</f>
        <v>0</v>
      </c>
      <c r="T32" s="35">
        <f t="shared" si="46"/>
        <v>0</v>
      </c>
      <c r="U32" s="35">
        <f t="shared" si="46"/>
        <v>0</v>
      </c>
      <c r="V32" s="35">
        <f t="shared" si="46"/>
        <v>0</v>
      </c>
      <c r="W32" s="35">
        <f t="shared" si="46"/>
        <v>0</v>
      </c>
      <c r="X32" s="35">
        <f t="shared" si="46"/>
        <v>0</v>
      </c>
      <c r="Y32" s="35">
        <f t="shared" si="46"/>
        <v>0</v>
      </c>
      <c r="Z32" s="35">
        <f t="shared" si="46"/>
        <v>0</v>
      </c>
      <c r="AA32" s="35">
        <f t="shared" si="46"/>
        <v>0</v>
      </c>
      <c r="AB32" s="35">
        <f t="shared" si="46"/>
        <v>0</v>
      </c>
      <c r="AC32" s="35">
        <f t="shared" si="46"/>
        <v>0</v>
      </c>
    </row>
    <row r="33" spans="1:29">
      <c r="A33" s="236"/>
      <c r="B33" s="116" t="s">
        <v>170</v>
      </c>
      <c r="C33" s="168">
        <f t="shared" ref="C33:N33" si="47">SUM(C30:C32)</f>
        <v>-4469.851999999999</v>
      </c>
      <c r="D33" s="168">
        <f t="shared" si="47"/>
        <v>-21400.591</v>
      </c>
      <c r="E33" s="168">
        <f t="shared" si="47"/>
        <v>-33441.192000000003</v>
      </c>
      <c r="F33" s="168">
        <f t="shared" si="47"/>
        <v>-39969.472000000009</v>
      </c>
      <c r="G33" s="168">
        <f t="shared" si="47"/>
        <v>-48844.472000000023</v>
      </c>
      <c r="H33" s="168">
        <f t="shared" si="47"/>
        <v>-47595.395000000011</v>
      </c>
      <c r="I33" s="168">
        <f t="shared" si="47"/>
        <v>-49723.026000000013</v>
      </c>
      <c r="J33" s="168">
        <f t="shared" si="47"/>
        <v>-52992.345000000008</v>
      </c>
      <c r="K33" s="168">
        <f t="shared" si="47"/>
        <v>-58210.433000000005</v>
      </c>
      <c r="L33" s="168">
        <f t="shared" si="47"/>
        <v>-62227.873999999996</v>
      </c>
      <c r="M33" s="168">
        <f t="shared" si="47"/>
        <v>-65051.085000000006</v>
      </c>
      <c r="N33" s="168">
        <f t="shared" si="47"/>
        <v>-69738.188999999998</v>
      </c>
      <c r="O33" s="168"/>
      <c r="Q33" s="116" t="s">
        <v>170</v>
      </c>
      <c r="R33" s="168">
        <f t="shared" ref="R33:AC33" si="48">SUM(R30:R32)</f>
        <v>-596.04299999999785</v>
      </c>
      <c r="S33" s="168">
        <f t="shared" si="48"/>
        <v>-21260.513000000006</v>
      </c>
      <c r="T33" s="168">
        <f t="shared" si="48"/>
        <v>-33295.719000000005</v>
      </c>
      <c r="U33" s="168">
        <f t="shared" si="48"/>
        <v>-39888.248</v>
      </c>
      <c r="V33" s="168">
        <f t="shared" si="48"/>
        <v>-44693.87</v>
      </c>
      <c r="W33" s="168">
        <f t="shared" si="48"/>
        <v>-47463.927000000003</v>
      </c>
      <c r="X33" s="168">
        <f t="shared" si="48"/>
        <v>-51879.362000000016</v>
      </c>
      <c r="Y33" s="168">
        <f t="shared" si="48"/>
        <v>-56432.269000000029</v>
      </c>
      <c r="Z33" s="168">
        <f t="shared" si="48"/>
        <v>-59648.670000000027</v>
      </c>
      <c r="AA33" s="168">
        <f t="shared" si="48"/>
        <v>-63667.935000000034</v>
      </c>
      <c r="AB33" s="168">
        <f t="shared" si="48"/>
        <v>-67453.910000000033</v>
      </c>
      <c r="AC33" s="168">
        <f t="shared" si="48"/>
        <v>-72692.960000000036</v>
      </c>
    </row>
    <row r="34" spans="1:29">
      <c r="A34" s="236"/>
      <c r="B34" s="30" t="s">
        <v>171</v>
      </c>
      <c r="C34" s="35">
        <f t="shared" ref="C34:C40" si="49">+C10</f>
        <v>7024</v>
      </c>
      <c r="D34" s="35">
        <f t="shared" ref="D34:N34" si="50">+D10+C34</f>
        <v>15528</v>
      </c>
      <c r="E34" s="35">
        <f t="shared" si="50"/>
        <v>23528</v>
      </c>
      <c r="F34" s="35">
        <f t="shared" si="50"/>
        <v>28159</v>
      </c>
      <c r="G34" s="35">
        <f t="shared" si="50"/>
        <v>32064</v>
      </c>
      <c r="H34" s="35">
        <f t="shared" si="50"/>
        <v>36309</v>
      </c>
      <c r="I34" s="35">
        <f t="shared" si="50"/>
        <v>40391</v>
      </c>
      <c r="J34" s="35">
        <f t="shared" si="50"/>
        <v>44617</v>
      </c>
      <c r="K34" s="35">
        <f t="shared" si="50"/>
        <v>49031</v>
      </c>
      <c r="L34" s="35">
        <f t="shared" si="50"/>
        <v>53737</v>
      </c>
      <c r="M34" s="35">
        <f t="shared" si="50"/>
        <v>58522</v>
      </c>
      <c r="N34" s="35">
        <f t="shared" si="50"/>
        <v>62916</v>
      </c>
      <c r="O34" s="35"/>
      <c r="Q34" s="30" t="s">
        <v>171</v>
      </c>
      <c r="R34" s="35">
        <f t="shared" ref="R34:R40" si="51">+R10</f>
        <v>0</v>
      </c>
      <c r="S34" s="35">
        <f t="shared" ref="S34:AC34" si="52">+S10+R34</f>
        <v>15187</v>
      </c>
      <c r="T34" s="35">
        <f t="shared" si="52"/>
        <v>23119</v>
      </c>
      <c r="U34" s="35">
        <f t="shared" si="52"/>
        <v>27518</v>
      </c>
      <c r="V34" s="35">
        <f t="shared" si="52"/>
        <v>31535</v>
      </c>
      <c r="W34" s="35">
        <f t="shared" si="52"/>
        <v>36337</v>
      </c>
      <c r="X34" s="35">
        <f t="shared" si="52"/>
        <v>40293</v>
      </c>
      <c r="Y34" s="35">
        <f t="shared" si="52"/>
        <v>44536</v>
      </c>
      <c r="Z34" s="35">
        <f t="shared" si="52"/>
        <v>49068</v>
      </c>
      <c r="AA34" s="35">
        <f t="shared" si="52"/>
        <v>53980</v>
      </c>
      <c r="AB34" s="35">
        <f t="shared" si="52"/>
        <v>58639</v>
      </c>
      <c r="AC34" s="35">
        <f t="shared" si="52"/>
        <v>64251</v>
      </c>
    </row>
    <row r="35" spans="1:29">
      <c r="A35" s="236"/>
      <c r="B35" s="30" t="s">
        <v>172</v>
      </c>
      <c r="C35" s="35">
        <f t="shared" si="49"/>
        <v>0</v>
      </c>
      <c r="D35" s="35">
        <f t="shared" ref="D35:N35" si="53">+D11+C35</f>
        <v>0</v>
      </c>
      <c r="E35" s="35">
        <f t="shared" si="53"/>
        <v>0</v>
      </c>
      <c r="F35" s="35">
        <f t="shared" si="53"/>
        <v>0</v>
      </c>
      <c r="G35" s="35">
        <f t="shared" si="53"/>
        <v>0</v>
      </c>
      <c r="H35" s="35">
        <f t="shared" si="53"/>
        <v>0</v>
      </c>
      <c r="I35" s="35">
        <f t="shared" si="53"/>
        <v>0</v>
      </c>
      <c r="J35" s="35">
        <f t="shared" si="53"/>
        <v>0</v>
      </c>
      <c r="K35" s="35">
        <f t="shared" si="53"/>
        <v>0</v>
      </c>
      <c r="L35" s="35">
        <f t="shared" si="53"/>
        <v>0</v>
      </c>
      <c r="M35" s="35">
        <f t="shared" si="53"/>
        <v>0</v>
      </c>
      <c r="N35" s="35">
        <f t="shared" si="53"/>
        <v>0</v>
      </c>
      <c r="O35" s="35"/>
      <c r="Q35" s="30" t="s">
        <v>172</v>
      </c>
      <c r="R35" s="35">
        <f t="shared" si="51"/>
        <v>0</v>
      </c>
      <c r="S35" s="35">
        <f t="shared" ref="S35:AC35" si="54">+S11+R35</f>
        <v>0</v>
      </c>
      <c r="T35" s="35">
        <f t="shared" si="54"/>
        <v>0</v>
      </c>
      <c r="U35" s="35">
        <f t="shared" si="54"/>
        <v>0</v>
      </c>
      <c r="V35" s="35">
        <f t="shared" si="54"/>
        <v>0</v>
      </c>
      <c r="W35" s="35">
        <f t="shared" si="54"/>
        <v>0</v>
      </c>
      <c r="X35" s="35">
        <f t="shared" si="54"/>
        <v>0</v>
      </c>
      <c r="Y35" s="35">
        <f t="shared" si="54"/>
        <v>0</v>
      </c>
      <c r="Z35" s="35">
        <f t="shared" si="54"/>
        <v>0</v>
      </c>
      <c r="AA35" s="35">
        <f t="shared" si="54"/>
        <v>0</v>
      </c>
      <c r="AB35" s="35">
        <f t="shared" si="54"/>
        <v>0</v>
      </c>
      <c r="AC35" s="35">
        <f t="shared" si="54"/>
        <v>0</v>
      </c>
    </row>
    <row r="36" spans="1:29">
      <c r="A36" s="236"/>
      <c r="B36" s="30" t="s">
        <v>173</v>
      </c>
      <c r="C36" s="35">
        <f t="shared" si="49"/>
        <v>0</v>
      </c>
      <c r="D36" s="35">
        <f t="shared" ref="D36:N36" si="55">+D12+C36</f>
        <v>0</v>
      </c>
      <c r="E36" s="35">
        <f t="shared" si="55"/>
        <v>0</v>
      </c>
      <c r="F36" s="35">
        <f t="shared" si="55"/>
        <v>0</v>
      </c>
      <c r="G36" s="35">
        <f t="shared" si="55"/>
        <v>0</v>
      </c>
      <c r="H36" s="35">
        <f t="shared" si="55"/>
        <v>-3693</v>
      </c>
      <c r="I36" s="35">
        <f t="shared" si="55"/>
        <v>-3693</v>
      </c>
      <c r="J36" s="35">
        <f t="shared" si="55"/>
        <v>-3693</v>
      </c>
      <c r="K36" s="35">
        <f t="shared" si="55"/>
        <v>-3693</v>
      </c>
      <c r="L36" s="35">
        <f t="shared" si="55"/>
        <v>-3693</v>
      </c>
      <c r="M36" s="35">
        <f t="shared" si="55"/>
        <v>-3693</v>
      </c>
      <c r="N36" s="35">
        <f t="shared" si="55"/>
        <v>-7386</v>
      </c>
      <c r="O36" s="35"/>
      <c r="Q36" s="30" t="s">
        <v>173</v>
      </c>
      <c r="R36" s="35">
        <f t="shared" si="51"/>
        <v>0</v>
      </c>
      <c r="S36" s="35">
        <f t="shared" ref="S36:AC36" si="56">+S12+R36</f>
        <v>0</v>
      </c>
      <c r="T36" s="35">
        <f t="shared" si="56"/>
        <v>0</v>
      </c>
      <c r="U36" s="35">
        <f t="shared" si="56"/>
        <v>0</v>
      </c>
      <c r="V36" s="35">
        <f t="shared" si="56"/>
        <v>0</v>
      </c>
      <c r="W36" s="35">
        <f t="shared" si="56"/>
        <v>-3693</v>
      </c>
      <c r="X36" s="35">
        <f t="shared" si="56"/>
        <v>-3693</v>
      </c>
      <c r="Y36" s="35">
        <f t="shared" si="56"/>
        <v>-3693</v>
      </c>
      <c r="Z36" s="35">
        <f t="shared" si="56"/>
        <v>-3693</v>
      </c>
      <c r="AA36" s="35">
        <f t="shared" si="56"/>
        <v>-3693</v>
      </c>
      <c r="AB36" s="35">
        <f t="shared" si="56"/>
        <v>-3693</v>
      </c>
      <c r="AC36" s="35">
        <f t="shared" si="56"/>
        <v>-7386</v>
      </c>
    </row>
    <row r="37" spans="1:29">
      <c r="A37" s="236"/>
      <c r="B37" s="30" t="s">
        <v>174</v>
      </c>
      <c r="C37" s="35">
        <f t="shared" si="49"/>
        <v>-220</v>
      </c>
      <c r="D37" s="35">
        <f t="shared" ref="D37:N37" si="57">+D13+C37</f>
        <v>-665</v>
      </c>
      <c r="E37" s="35">
        <f t="shared" si="57"/>
        <v>-886</v>
      </c>
      <c r="F37" s="35">
        <f t="shared" si="57"/>
        <v>-1109</v>
      </c>
      <c r="G37" s="35">
        <f t="shared" si="57"/>
        <v>-1331</v>
      </c>
      <c r="H37" s="35">
        <f t="shared" si="57"/>
        <v>-2538</v>
      </c>
      <c r="I37" s="35">
        <f t="shared" si="57"/>
        <v>-2760</v>
      </c>
      <c r="J37" s="35">
        <f t="shared" si="57"/>
        <v>-3204</v>
      </c>
      <c r="K37" s="35">
        <f t="shared" si="57"/>
        <v>-3426</v>
      </c>
      <c r="L37" s="35">
        <f t="shared" si="57"/>
        <v>-3649</v>
      </c>
      <c r="M37" s="35">
        <f t="shared" si="57"/>
        <v>-4055</v>
      </c>
      <c r="N37" s="35">
        <f t="shared" si="57"/>
        <v>-5344</v>
      </c>
      <c r="O37" s="35"/>
      <c r="Q37" s="30" t="s">
        <v>174</v>
      </c>
      <c r="R37" s="35">
        <f t="shared" si="51"/>
        <v>-220</v>
      </c>
      <c r="S37" s="35">
        <f t="shared" ref="S37:AC37" si="58">+S13+R37</f>
        <v>-665</v>
      </c>
      <c r="T37" s="35">
        <f t="shared" si="58"/>
        <v>-886</v>
      </c>
      <c r="U37" s="35">
        <f t="shared" si="58"/>
        <v>-1109</v>
      </c>
      <c r="V37" s="35">
        <f t="shared" si="58"/>
        <v>-1331</v>
      </c>
      <c r="W37" s="35">
        <f t="shared" si="58"/>
        <v>-2501</v>
      </c>
      <c r="X37" s="35">
        <f t="shared" si="58"/>
        <v>-2723</v>
      </c>
      <c r="Y37" s="35">
        <f t="shared" si="58"/>
        <v>-3167</v>
      </c>
      <c r="Z37" s="35">
        <f t="shared" si="58"/>
        <v>-3389</v>
      </c>
      <c r="AA37" s="35">
        <f t="shared" si="58"/>
        <v>-3612</v>
      </c>
      <c r="AB37" s="35">
        <f t="shared" si="58"/>
        <v>-4018</v>
      </c>
      <c r="AC37" s="35">
        <f t="shared" si="58"/>
        <v>-5289</v>
      </c>
    </row>
    <row r="38" spans="1:29">
      <c r="A38" s="236"/>
      <c r="B38" s="30" t="s">
        <v>175</v>
      </c>
      <c r="C38" s="35">
        <f t="shared" si="49"/>
        <v>4</v>
      </c>
      <c r="D38" s="35">
        <f t="shared" ref="D38:N38" si="59">+D14+C38</f>
        <v>8</v>
      </c>
      <c r="E38" s="35">
        <f t="shared" si="59"/>
        <v>12</v>
      </c>
      <c r="F38" s="35">
        <f t="shared" si="59"/>
        <v>16</v>
      </c>
      <c r="G38" s="35">
        <f t="shared" si="59"/>
        <v>20</v>
      </c>
      <c r="H38" s="35">
        <f t="shared" si="59"/>
        <v>24</v>
      </c>
      <c r="I38" s="35">
        <f t="shared" si="59"/>
        <v>28</v>
      </c>
      <c r="J38" s="35">
        <f t="shared" si="59"/>
        <v>32</v>
      </c>
      <c r="K38" s="35">
        <f t="shared" si="59"/>
        <v>36</v>
      </c>
      <c r="L38" s="35">
        <f t="shared" si="59"/>
        <v>40</v>
      </c>
      <c r="M38" s="35">
        <f t="shared" si="59"/>
        <v>44</v>
      </c>
      <c r="N38" s="35">
        <f t="shared" si="59"/>
        <v>48</v>
      </c>
      <c r="O38" s="35"/>
      <c r="Q38" s="30" t="s">
        <v>175</v>
      </c>
      <c r="R38" s="35">
        <f t="shared" si="51"/>
        <v>4</v>
      </c>
      <c r="S38" s="35">
        <f t="shared" ref="S38:AC38" si="60">+S14+R38</f>
        <v>7</v>
      </c>
      <c r="T38" s="35">
        <f t="shared" si="60"/>
        <v>11</v>
      </c>
      <c r="U38" s="35">
        <f t="shared" si="60"/>
        <v>15</v>
      </c>
      <c r="V38" s="35">
        <f t="shared" si="60"/>
        <v>19</v>
      </c>
      <c r="W38" s="35">
        <f t="shared" si="60"/>
        <v>23</v>
      </c>
      <c r="X38" s="35">
        <f t="shared" si="60"/>
        <v>27</v>
      </c>
      <c r="Y38" s="35">
        <f t="shared" si="60"/>
        <v>31</v>
      </c>
      <c r="Z38" s="35">
        <f t="shared" si="60"/>
        <v>35</v>
      </c>
      <c r="AA38" s="35">
        <f t="shared" si="60"/>
        <v>39</v>
      </c>
      <c r="AB38" s="35">
        <f t="shared" si="60"/>
        <v>43</v>
      </c>
      <c r="AC38" s="35">
        <f t="shared" si="60"/>
        <v>47</v>
      </c>
    </row>
    <row r="39" spans="1:29">
      <c r="A39" s="236"/>
      <c r="B39" s="30" t="s">
        <v>176</v>
      </c>
      <c r="C39" s="35">
        <f t="shared" si="49"/>
        <v>1938</v>
      </c>
      <c r="D39" s="35">
        <f t="shared" ref="D39:N39" si="61">+D15+C39</f>
        <v>11114</v>
      </c>
      <c r="E39" s="35">
        <f t="shared" si="61"/>
        <v>15488</v>
      </c>
      <c r="F39" s="35">
        <f t="shared" si="61"/>
        <v>17651</v>
      </c>
      <c r="G39" s="35">
        <f t="shared" si="61"/>
        <v>24391</v>
      </c>
      <c r="H39" s="35">
        <f t="shared" si="61"/>
        <v>26174</v>
      </c>
      <c r="I39" s="35">
        <f t="shared" si="61"/>
        <v>26374</v>
      </c>
      <c r="J39" s="35">
        <f t="shared" si="61"/>
        <v>26374</v>
      </c>
      <c r="K39" s="35">
        <f t="shared" si="61"/>
        <v>26574</v>
      </c>
      <c r="L39" s="35">
        <f t="shared" si="61"/>
        <v>26574</v>
      </c>
      <c r="M39" s="35">
        <f t="shared" si="61"/>
        <v>26574</v>
      </c>
      <c r="N39" s="35">
        <f t="shared" si="61"/>
        <v>26574</v>
      </c>
      <c r="O39" s="35"/>
      <c r="Q39" s="30" t="s">
        <v>176</v>
      </c>
      <c r="R39" s="35">
        <f t="shared" si="51"/>
        <v>1938</v>
      </c>
      <c r="S39" s="35">
        <f t="shared" ref="S39:AC39" si="62">+S15+R39</f>
        <v>9965</v>
      </c>
      <c r="T39" s="35">
        <f t="shared" si="62"/>
        <v>14253</v>
      </c>
      <c r="U39" s="35">
        <f t="shared" si="62"/>
        <v>18288</v>
      </c>
      <c r="V39" s="35">
        <f t="shared" si="62"/>
        <v>21251</v>
      </c>
      <c r="W39" s="35">
        <f t="shared" si="62"/>
        <v>26491</v>
      </c>
      <c r="X39" s="35">
        <f t="shared" si="62"/>
        <v>26905</v>
      </c>
      <c r="Y39" s="35">
        <f t="shared" si="62"/>
        <v>26905</v>
      </c>
      <c r="Z39" s="35">
        <f t="shared" si="62"/>
        <v>26905</v>
      </c>
      <c r="AA39" s="35">
        <f t="shared" si="62"/>
        <v>26905</v>
      </c>
      <c r="AB39" s="35">
        <f t="shared" si="62"/>
        <v>26905</v>
      </c>
      <c r="AC39" s="35">
        <f t="shared" si="62"/>
        <v>26905</v>
      </c>
    </row>
    <row r="40" spans="1:29">
      <c r="A40" s="236"/>
      <c r="B40" s="30" t="s">
        <v>177</v>
      </c>
      <c r="C40" s="35">
        <f t="shared" si="49"/>
        <v>-128</v>
      </c>
      <c r="D40" s="35">
        <f t="shared" ref="D40:N40" si="63">+D16+C40</f>
        <v>-680</v>
      </c>
      <c r="E40" s="35">
        <f t="shared" si="63"/>
        <v>-808</v>
      </c>
      <c r="F40" s="35">
        <f t="shared" si="63"/>
        <v>-936</v>
      </c>
      <c r="G40" s="35">
        <f t="shared" si="63"/>
        <v>-1376</v>
      </c>
      <c r="H40" s="35">
        <f t="shared" si="63"/>
        <v>-4470</v>
      </c>
      <c r="I40" s="35">
        <f t="shared" si="63"/>
        <v>-4598</v>
      </c>
      <c r="J40" s="35">
        <f t="shared" si="63"/>
        <v>-4950</v>
      </c>
      <c r="K40" s="35">
        <f t="shared" si="63"/>
        <v>-5078</v>
      </c>
      <c r="L40" s="35">
        <f t="shared" si="63"/>
        <v>-5206</v>
      </c>
      <c r="M40" s="35">
        <f t="shared" si="63"/>
        <v>-5646</v>
      </c>
      <c r="N40" s="35">
        <f t="shared" si="63"/>
        <v>-7246</v>
      </c>
      <c r="O40" s="35"/>
      <c r="Q40" s="30" t="s">
        <v>177</v>
      </c>
      <c r="R40" s="35">
        <f t="shared" si="51"/>
        <v>-128</v>
      </c>
      <c r="S40" s="35">
        <f t="shared" ref="S40:AC40" si="64">+S16+R40</f>
        <v>-680</v>
      </c>
      <c r="T40" s="35">
        <f t="shared" si="64"/>
        <v>-808</v>
      </c>
      <c r="U40" s="35">
        <f t="shared" si="64"/>
        <v>-936</v>
      </c>
      <c r="V40" s="35">
        <f t="shared" si="64"/>
        <v>-1376</v>
      </c>
      <c r="W40" s="35">
        <f t="shared" si="64"/>
        <v>-3752</v>
      </c>
      <c r="X40" s="35">
        <f t="shared" si="64"/>
        <v>-3880</v>
      </c>
      <c r="Y40" s="35">
        <f t="shared" si="64"/>
        <v>-4432</v>
      </c>
      <c r="Z40" s="35">
        <f t="shared" si="64"/>
        <v>-4560</v>
      </c>
      <c r="AA40" s="35">
        <f t="shared" si="64"/>
        <v>-4688</v>
      </c>
      <c r="AB40" s="35">
        <f t="shared" si="64"/>
        <v>-5128</v>
      </c>
      <c r="AC40" s="35">
        <f t="shared" si="64"/>
        <v>-6010</v>
      </c>
    </row>
    <row r="41" spans="1:29">
      <c r="A41" s="236"/>
      <c r="B41" s="116" t="s">
        <v>178</v>
      </c>
      <c r="C41" s="168">
        <f t="shared" ref="C41:N41" si="65">SUM(C34:C40)</f>
        <v>8618</v>
      </c>
      <c r="D41" s="168">
        <f t="shared" si="65"/>
        <v>25305</v>
      </c>
      <c r="E41" s="168">
        <f t="shared" si="65"/>
        <v>37334</v>
      </c>
      <c r="F41" s="168">
        <f t="shared" si="65"/>
        <v>43781</v>
      </c>
      <c r="G41" s="168">
        <f t="shared" si="65"/>
        <v>53768</v>
      </c>
      <c r="H41" s="168">
        <f t="shared" si="65"/>
        <v>51806</v>
      </c>
      <c r="I41" s="168">
        <f t="shared" si="65"/>
        <v>55742</v>
      </c>
      <c r="J41" s="168">
        <f t="shared" si="65"/>
        <v>59176</v>
      </c>
      <c r="K41" s="168">
        <f t="shared" si="65"/>
        <v>63444</v>
      </c>
      <c r="L41" s="168">
        <f t="shared" si="65"/>
        <v>67803</v>
      </c>
      <c r="M41" s="168">
        <f t="shared" si="65"/>
        <v>71746</v>
      </c>
      <c r="N41" s="168">
        <f t="shared" si="65"/>
        <v>69562</v>
      </c>
      <c r="O41" s="168"/>
      <c r="Q41" s="116" t="s">
        <v>178</v>
      </c>
      <c r="R41" s="168">
        <f t="shared" ref="R41:AC41" si="66">SUM(R34:R40)</f>
        <v>1594</v>
      </c>
      <c r="S41" s="168">
        <f t="shared" si="66"/>
        <v>23814</v>
      </c>
      <c r="T41" s="168">
        <f t="shared" si="66"/>
        <v>35689</v>
      </c>
      <c r="U41" s="168">
        <f t="shared" si="66"/>
        <v>43776</v>
      </c>
      <c r="V41" s="168">
        <f t="shared" si="66"/>
        <v>50098</v>
      </c>
      <c r="W41" s="168">
        <f t="shared" si="66"/>
        <v>52905</v>
      </c>
      <c r="X41" s="168">
        <f t="shared" si="66"/>
        <v>56929</v>
      </c>
      <c r="Y41" s="168">
        <f t="shared" si="66"/>
        <v>60180</v>
      </c>
      <c r="Z41" s="168">
        <f t="shared" si="66"/>
        <v>64366</v>
      </c>
      <c r="AA41" s="168">
        <f t="shared" si="66"/>
        <v>68931</v>
      </c>
      <c r="AB41" s="168">
        <f t="shared" si="66"/>
        <v>72748</v>
      </c>
      <c r="AC41" s="168">
        <f t="shared" si="66"/>
        <v>72518</v>
      </c>
    </row>
    <row r="42" spans="1:29">
      <c r="A42" s="236"/>
      <c r="B42" s="72" t="s">
        <v>179</v>
      </c>
      <c r="C42" s="35">
        <f t="shared" ref="C42:N42" si="67">+C33+C41</f>
        <v>4148.148000000001</v>
      </c>
      <c r="D42" s="35">
        <f t="shared" si="67"/>
        <v>3904.4089999999997</v>
      </c>
      <c r="E42" s="35">
        <f t="shared" si="67"/>
        <v>3892.8079999999973</v>
      </c>
      <c r="F42" s="35">
        <f t="shared" si="67"/>
        <v>3811.5279999999912</v>
      </c>
      <c r="G42" s="35">
        <f t="shared" si="67"/>
        <v>4923.5279999999766</v>
      </c>
      <c r="H42" s="35">
        <f t="shared" si="67"/>
        <v>4210.6049999999886</v>
      </c>
      <c r="I42" s="35">
        <f t="shared" si="67"/>
        <v>6018.9739999999874</v>
      </c>
      <c r="J42" s="35">
        <f t="shared" si="67"/>
        <v>6183.6549999999916</v>
      </c>
      <c r="K42" s="35">
        <f t="shared" si="67"/>
        <v>5233.5669999999955</v>
      </c>
      <c r="L42" s="35">
        <f t="shared" si="67"/>
        <v>5575.1260000000038</v>
      </c>
      <c r="M42" s="35">
        <f t="shared" si="67"/>
        <v>6694.9149999999936</v>
      </c>
      <c r="N42" s="35">
        <f t="shared" si="67"/>
        <v>-176.18899999999849</v>
      </c>
      <c r="O42" s="74"/>
      <c r="Q42" s="72" t="s">
        <v>179</v>
      </c>
      <c r="R42" s="168">
        <f t="shared" ref="R42:AC42" si="68">+R33+R41</f>
        <v>997.95700000000215</v>
      </c>
      <c r="S42" s="168">
        <f t="shared" si="68"/>
        <v>2553.4869999999937</v>
      </c>
      <c r="T42" s="168">
        <f t="shared" si="68"/>
        <v>2393.2809999999954</v>
      </c>
      <c r="U42" s="168">
        <f t="shared" si="68"/>
        <v>3887.7520000000004</v>
      </c>
      <c r="V42" s="168">
        <f t="shared" si="68"/>
        <v>5404.1299999999974</v>
      </c>
      <c r="W42" s="168">
        <f t="shared" si="68"/>
        <v>5441.0729999999967</v>
      </c>
      <c r="X42" s="168">
        <f t="shared" si="68"/>
        <v>5049.6379999999845</v>
      </c>
      <c r="Y42" s="168">
        <f t="shared" si="68"/>
        <v>3747.7309999999707</v>
      </c>
      <c r="Z42" s="168">
        <f t="shared" si="68"/>
        <v>4717.3299999999726</v>
      </c>
      <c r="AA42" s="168">
        <f t="shared" si="68"/>
        <v>5263.0649999999659</v>
      </c>
      <c r="AB42" s="168">
        <f t="shared" si="68"/>
        <v>5294.0899999999674</v>
      </c>
      <c r="AC42" s="168">
        <f t="shared" si="68"/>
        <v>-174.96000000003551</v>
      </c>
    </row>
    <row r="43" spans="1:29">
      <c r="A43" s="236"/>
      <c r="B43" s="30" t="s">
        <v>163</v>
      </c>
      <c r="C43" s="279">
        <f>+C19</f>
        <v>3343</v>
      </c>
      <c r="D43" s="279">
        <f t="shared" ref="D43:N43" si="69">+C43</f>
        <v>3343</v>
      </c>
      <c r="E43" s="279">
        <f t="shared" si="69"/>
        <v>3343</v>
      </c>
      <c r="F43" s="279">
        <f t="shared" si="69"/>
        <v>3343</v>
      </c>
      <c r="G43" s="279">
        <f t="shared" si="69"/>
        <v>3343</v>
      </c>
      <c r="H43" s="279">
        <f t="shared" si="69"/>
        <v>3343</v>
      </c>
      <c r="I43" s="279">
        <f t="shared" si="69"/>
        <v>3343</v>
      </c>
      <c r="J43" s="279">
        <f t="shared" si="69"/>
        <v>3343</v>
      </c>
      <c r="K43" s="279">
        <f t="shared" si="69"/>
        <v>3343</v>
      </c>
      <c r="L43" s="279">
        <f t="shared" si="69"/>
        <v>3343</v>
      </c>
      <c r="M43" s="279">
        <f t="shared" si="69"/>
        <v>3343</v>
      </c>
      <c r="N43" s="279">
        <f t="shared" si="69"/>
        <v>3343</v>
      </c>
      <c r="O43" s="35"/>
      <c r="Q43" s="30" t="s">
        <v>163</v>
      </c>
      <c r="R43" s="35">
        <f>+R19</f>
        <v>3343</v>
      </c>
      <c r="S43" s="35">
        <f t="shared" ref="S43:AC43" si="70">+$R$43</f>
        <v>3343</v>
      </c>
      <c r="T43" s="35">
        <f t="shared" si="70"/>
        <v>3343</v>
      </c>
      <c r="U43" s="35">
        <f t="shared" si="70"/>
        <v>3343</v>
      </c>
      <c r="V43" s="35">
        <f t="shared" si="70"/>
        <v>3343</v>
      </c>
      <c r="W43" s="35">
        <f t="shared" si="70"/>
        <v>3343</v>
      </c>
      <c r="X43" s="35">
        <f t="shared" si="70"/>
        <v>3343</v>
      </c>
      <c r="Y43" s="35">
        <f t="shared" si="70"/>
        <v>3343</v>
      </c>
      <c r="Z43" s="35">
        <f t="shared" si="70"/>
        <v>3343</v>
      </c>
      <c r="AA43" s="35">
        <f t="shared" si="70"/>
        <v>3343</v>
      </c>
      <c r="AB43" s="35">
        <f t="shared" si="70"/>
        <v>3343</v>
      </c>
      <c r="AC43" s="35">
        <f t="shared" si="70"/>
        <v>3343</v>
      </c>
    </row>
    <row r="44" spans="1:29">
      <c r="A44" s="236"/>
      <c r="B44" s="72" t="s">
        <v>164</v>
      </c>
      <c r="C44" s="168">
        <f t="shared" ref="C44:N44" si="71">SUM(C42:C43)</f>
        <v>7491.148000000001</v>
      </c>
      <c r="D44" s="168">
        <f t="shared" si="71"/>
        <v>7247.4089999999997</v>
      </c>
      <c r="E44" s="168">
        <f t="shared" si="71"/>
        <v>7235.8079999999973</v>
      </c>
      <c r="F44" s="168">
        <f t="shared" si="71"/>
        <v>7154.5279999999912</v>
      </c>
      <c r="G44" s="168">
        <f t="shared" si="71"/>
        <v>8266.5279999999766</v>
      </c>
      <c r="H44" s="168">
        <f t="shared" si="71"/>
        <v>7553.6049999999886</v>
      </c>
      <c r="I44" s="168">
        <f t="shared" si="71"/>
        <v>9361.9739999999874</v>
      </c>
      <c r="J44" s="168">
        <f t="shared" si="71"/>
        <v>9526.6549999999916</v>
      </c>
      <c r="K44" s="168">
        <f t="shared" si="71"/>
        <v>8576.5669999999955</v>
      </c>
      <c r="L44" s="168">
        <f t="shared" si="71"/>
        <v>8918.1260000000038</v>
      </c>
      <c r="M44" s="168">
        <f t="shared" si="71"/>
        <v>10037.914999999994</v>
      </c>
      <c r="N44" s="168">
        <f t="shared" si="71"/>
        <v>3166.8110000000015</v>
      </c>
      <c r="O44" s="74"/>
      <c r="Q44" s="72" t="s">
        <v>164</v>
      </c>
      <c r="R44" s="168">
        <f t="shared" ref="R44:AC44" si="72">+R20</f>
        <v>4340.9570000000022</v>
      </c>
      <c r="S44" s="168">
        <f t="shared" si="72"/>
        <v>5896.4869999999937</v>
      </c>
      <c r="T44" s="168">
        <f t="shared" si="72"/>
        <v>5736.2809999999954</v>
      </c>
      <c r="U44" s="168">
        <f t="shared" si="72"/>
        <v>7230.7520000000004</v>
      </c>
      <c r="V44" s="168">
        <f t="shared" si="72"/>
        <v>8747.1299999999974</v>
      </c>
      <c r="W44" s="168">
        <f t="shared" si="72"/>
        <v>8784.0729999999967</v>
      </c>
      <c r="X44" s="168">
        <f t="shared" si="72"/>
        <v>8392.6379999999845</v>
      </c>
      <c r="Y44" s="168">
        <f t="shared" si="72"/>
        <v>7090.7309999999707</v>
      </c>
      <c r="Z44" s="168">
        <f t="shared" si="72"/>
        <v>8060.3299999999726</v>
      </c>
      <c r="AA44" s="168">
        <f t="shared" si="72"/>
        <v>8606.0649999999659</v>
      </c>
      <c r="AB44" s="168">
        <f t="shared" si="72"/>
        <v>8637.0899999999674</v>
      </c>
      <c r="AC44" s="168">
        <f t="shared" si="72"/>
        <v>3168.0399999999645</v>
      </c>
    </row>
    <row r="45" spans="1:29">
      <c r="A45" s="236"/>
      <c r="B45" s="282" t="s">
        <v>721</v>
      </c>
      <c r="C45" s="284">
        <f t="shared" ref="C45:N45" si="73">+C21</f>
        <v>7491</v>
      </c>
      <c r="D45" s="284">
        <f t="shared" si="73"/>
        <v>7247</v>
      </c>
      <c r="E45" s="284">
        <f t="shared" si="73"/>
        <v>7241</v>
      </c>
      <c r="F45" s="284">
        <f t="shared" si="73"/>
        <v>7163</v>
      </c>
      <c r="G45" s="284">
        <f t="shared" si="73"/>
        <v>8277</v>
      </c>
      <c r="H45" s="284">
        <f t="shared" si="73"/>
        <v>7563</v>
      </c>
      <c r="I45" s="284">
        <f t="shared" si="73"/>
        <v>9375</v>
      </c>
      <c r="J45" s="284">
        <f t="shared" si="73"/>
        <v>9540</v>
      </c>
      <c r="K45" s="284">
        <f t="shared" si="73"/>
        <v>8591</v>
      </c>
      <c r="L45" s="284">
        <f t="shared" si="73"/>
        <v>8931</v>
      </c>
      <c r="M45" s="284">
        <f t="shared" si="73"/>
        <v>10052</v>
      </c>
      <c r="N45" s="284">
        <f t="shared" si="73"/>
        <v>3167</v>
      </c>
      <c r="Q45" s="282" t="s">
        <v>834</v>
      </c>
      <c r="R45" s="35">
        <f t="shared" ref="R45:AC45" si="74">+R21</f>
        <v>4341</v>
      </c>
      <c r="S45" s="35">
        <f t="shared" si="74"/>
        <v>5896</v>
      </c>
      <c r="T45" s="35">
        <f t="shared" si="74"/>
        <v>5736</v>
      </c>
      <c r="U45" s="35">
        <f t="shared" si="74"/>
        <v>7231</v>
      </c>
      <c r="V45" s="35">
        <f t="shared" si="74"/>
        <v>8747</v>
      </c>
      <c r="W45" s="35">
        <f t="shared" si="74"/>
        <v>8784</v>
      </c>
      <c r="X45" s="35">
        <f t="shared" si="74"/>
        <v>8393</v>
      </c>
      <c r="Y45" s="35">
        <f t="shared" si="74"/>
        <v>7091</v>
      </c>
      <c r="Z45" s="35">
        <f t="shared" si="74"/>
        <v>8060</v>
      </c>
      <c r="AA45" s="35">
        <f t="shared" si="74"/>
        <v>8606</v>
      </c>
      <c r="AB45" s="35">
        <f t="shared" si="74"/>
        <v>8637</v>
      </c>
      <c r="AC45" s="35">
        <f t="shared" si="74"/>
        <v>3168</v>
      </c>
    </row>
    <row r="46" spans="1:29">
      <c r="A46" s="236"/>
      <c r="C46" s="237" t="str">
        <f t="shared" ref="C46:N46" si="75">IF(C45=C44,"","ERROR")</f>
        <v>ERROR</v>
      </c>
      <c r="D46" s="237" t="str">
        <f t="shared" si="75"/>
        <v>ERROR</v>
      </c>
      <c r="E46" s="237" t="str">
        <f t="shared" si="75"/>
        <v>ERROR</v>
      </c>
      <c r="F46" s="237" t="str">
        <f t="shared" si="75"/>
        <v>ERROR</v>
      </c>
      <c r="G46" s="237" t="str">
        <f t="shared" si="75"/>
        <v>ERROR</v>
      </c>
      <c r="H46" s="237" t="str">
        <f t="shared" si="75"/>
        <v>ERROR</v>
      </c>
      <c r="I46" s="237" t="str">
        <f t="shared" si="75"/>
        <v>ERROR</v>
      </c>
      <c r="J46" s="237" t="str">
        <f t="shared" si="75"/>
        <v>ERROR</v>
      </c>
      <c r="K46" s="237" t="str">
        <f t="shared" si="75"/>
        <v>ERROR</v>
      </c>
      <c r="L46" s="237" t="str">
        <f t="shared" si="75"/>
        <v>ERROR</v>
      </c>
      <c r="M46" s="237" t="str">
        <f t="shared" si="75"/>
        <v>ERROR</v>
      </c>
      <c r="N46" s="237" t="str">
        <f t="shared" si="75"/>
        <v>ERROR</v>
      </c>
      <c r="R46" s="283" t="str">
        <f t="shared" ref="R46:AC46" si="76">IF(R45=R44,"","ERROR")</f>
        <v>ERROR</v>
      </c>
      <c r="S46" s="283" t="str">
        <f t="shared" si="76"/>
        <v>ERROR</v>
      </c>
      <c r="T46" s="283" t="str">
        <f t="shared" si="76"/>
        <v>ERROR</v>
      </c>
      <c r="U46" s="283" t="str">
        <f t="shared" si="76"/>
        <v>ERROR</v>
      </c>
      <c r="V46" s="283" t="str">
        <f t="shared" si="76"/>
        <v>ERROR</v>
      </c>
      <c r="W46" s="283" t="str">
        <f t="shared" si="76"/>
        <v>ERROR</v>
      </c>
      <c r="X46" s="283" t="str">
        <f t="shared" si="76"/>
        <v>ERROR</v>
      </c>
      <c r="Y46" s="283" t="str">
        <f t="shared" si="76"/>
        <v>ERROR</v>
      </c>
      <c r="Z46" s="283" t="str">
        <f t="shared" si="76"/>
        <v>ERROR</v>
      </c>
      <c r="AA46" s="283" t="str">
        <f t="shared" si="76"/>
        <v>ERROR</v>
      </c>
      <c r="AB46" s="283" t="str">
        <f t="shared" si="76"/>
        <v>ERROR</v>
      </c>
      <c r="AC46" s="283" t="str">
        <f t="shared" si="76"/>
        <v>ERROR</v>
      </c>
    </row>
    <row r="47" spans="1:29">
      <c r="A47" s="236"/>
      <c r="D47" s="35">
        <f>D45-D44</f>
        <v>-0.40899999999965075</v>
      </c>
      <c r="E47" s="35">
        <f t="shared" ref="E47:N47" si="77">E45-E44</f>
        <v>5.1920000000027358</v>
      </c>
      <c r="F47" s="35">
        <f t="shared" si="77"/>
        <v>8.4720000000088476</v>
      </c>
      <c r="G47" s="35">
        <f t="shared" si="77"/>
        <v>10.472000000023399</v>
      </c>
      <c r="H47" s="35">
        <f t="shared" si="77"/>
        <v>9.3950000000113505</v>
      </c>
      <c r="I47" s="35">
        <f t="shared" si="77"/>
        <v>13.026000000012573</v>
      </c>
      <c r="J47" s="35">
        <f t="shared" si="77"/>
        <v>13.34500000000844</v>
      </c>
      <c r="K47" s="35">
        <f t="shared" si="77"/>
        <v>14.43300000000454</v>
      </c>
      <c r="L47" s="35">
        <f t="shared" si="77"/>
        <v>12.873999999996158</v>
      </c>
      <c r="M47" s="35">
        <f t="shared" si="77"/>
        <v>14.085000000006403</v>
      </c>
      <c r="N47" s="35">
        <f t="shared" si="77"/>
        <v>0.1889999999984866</v>
      </c>
    </row>
    <row r="48" spans="1:29">
      <c r="A48" s="236"/>
    </row>
    <row r="49" spans="1:2">
      <c r="A49" s="236"/>
    </row>
    <row r="50" spans="1:2">
      <c r="A50" s="238" t="s">
        <v>575</v>
      </c>
      <c r="B50" s="1"/>
    </row>
    <row r="51" spans="1:2">
      <c r="A51" s="236"/>
    </row>
    <row r="52" spans="1:2">
      <c r="A52" s="236"/>
    </row>
    <row r="53" spans="1:2">
      <c r="A53" s="236"/>
    </row>
    <row r="54" spans="1:2">
      <c r="A54" s="236"/>
    </row>
    <row r="55" spans="1:2">
      <c r="A55" s="236"/>
    </row>
    <row r="56" spans="1:2">
      <c r="A56" s="236"/>
    </row>
    <row r="57" spans="1:2">
      <c r="A57" s="236"/>
    </row>
    <row r="58" spans="1:2">
      <c r="A58" s="236"/>
    </row>
    <row r="59" spans="1:2">
      <c r="A59" s="236"/>
    </row>
    <row r="60" spans="1:2">
      <c r="A60" s="236"/>
    </row>
    <row r="61" spans="1:2">
      <c r="A61" s="236"/>
    </row>
    <row r="62" spans="1:2">
      <c r="A62" s="236"/>
    </row>
    <row r="63" spans="1:2">
      <c r="A63" s="236"/>
    </row>
    <row r="64" spans="1:2">
      <c r="A64" s="236"/>
    </row>
    <row r="65" spans="1:6">
      <c r="A65" s="236"/>
      <c r="F65" t="str">
        <f>IF(D65=E65,"","ERROR")</f>
        <v/>
      </c>
    </row>
  </sheetData>
  <phoneticPr fontId="8" type="noConversion"/>
  <pageMargins left="0.24" right="0.2" top="0.43" bottom="0.31" header="0.2" footer="0.19"/>
  <pageSetup paperSize="9" scale="6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28"/>
    <pageSetUpPr fitToPage="1"/>
  </sheetPr>
  <dimension ref="A1:T47"/>
  <sheetViews>
    <sheetView topLeftCell="B1" workbookViewId="0">
      <pane xSplit="1" ySplit="5" topLeftCell="E6" activePane="bottomRight" state="frozen"/>
      <selection activeCell="W12" sqref="W12"/>
      <selection pane="topRight" activeCell="W12" sqref="W12"/>
      <selection pane="bottomLeft" activeCell="W12" sqref="W12"/>
      <selection pane="bottomRight" activeCell="Q23" sqref="Q23"/>
    </sheetView>
  </sheetViews>
  <sheetFormatPr defaultRowHeight="13.2"/>
  <cols>
    <col min="1" max="1" width="43.5546875" bestFit="1" customWidth="1"/>
    <col min="2" max="2" width="37.6640625" customWidth="1"/>
    <col min="10" max="10" width="34.6640625" customWidth="1"/>
    <col min="12" max="12" width="11.33203125" customWidth="1"/>
    <col min="15" max="15" width="5.88671875" customWidth="1"/>
    <col min="16" max="16" width="11.6640625" customWidth="1"/>
    <col min="19" max="19" width="10.5546875" customWidth="1"/>
    <col min="20" max="20" width="13.33203125" customWidth="1"/>
  </cols>
  <sheetData>
    <row r="1" spans="1:20">
      <c r="A1" s="236"/>
    </row>
    <row r="2" spans="1:20">
      <c r="A2" s="236"/>
    </row>
    <row r="3" spans="1:20">
      <c r="A3" s="238" t="s">
        <v>609</v>
      </c>
      <c r="B3" s="286" t="s">
        <v>350</v>
      </c>
      <c r="C3" s="2382" t="s">
        <v>4</v>
      </c>
      <c r="D3" s="2384"/>
      <c r="E3" s="2382"/>
      <c r="F3" s="2382" t="s">
        <v>7</v>
      </c>
      <c r="G3" s="2382"/>
      <c r="H3" s="2382"/>
      <c r="I3" s="169" t="s">
        <v>6</v>
      </c>
      <c r="J3" s="286" t="s">
        <v>622</v>
      </c>
      <c r="K3" s="169" t="s">
        <v>7</v>
      </c>
      <c r="L3" s="2382" t="s">
        <v>4</v>
      </c>
      <c r="M3" s="2384"/>
      <c r="N3" s="2382"/>
      <c r="O3" s="169"/>
      <c r="P3" s="169"/>
      <c r="Q3" s="2382" t="s">
        <v>7</v>
      </c>
      <c r="R3" s="2382"/>
      <c r="S3" s="2382"/>
      <c r="T3" s="2383"/>
    </row>
    <row r="4" spans="1:20">
      <c r="A4" s="238" t="s">
        <v>612</v>
      </c>
      <c r="B4" s="30"/>
      <c r="C4" s="169" t="s">
        <v>215</v>
      </c>
      <c r="D4" s="169" t="s">
        <v>722</v>
      </c>
      <c r="E4" s="169" t="s">
        <v>723</v>
      </c>
      <c r="F4" s="169" t="s">
        <v>215</v>
      </c>
      <c r="G4" s="169" t="s">
        <v>834</v>
      </c>
      <c r="H4" s="169" t="s">
        <v>723</v>
      </c>
      <c r="I4" s="289" t="s">
        <v>861</v>
      </c>
      <c r="J4" s="177"/>
      <c r="K4" s="169" t="s">
        <v>721</v>
      </c>
      <c r="L4" s="169" t="s">
        <v>624</v>
      </c>
      <c r="M4" s="169" t="s">
        <v>722</v>
      </c>
      <c r="N4" s="169" t="s">
        <v>723</v>
      </c>
      <c r="O4" s="169"/>
      <c r="P4" s="169" t="s">
        <v>624</v>
      </c>
      <c r="Q4" s="169" t="s">
        <v>834</v>
      </c>
      <c r="R4" s="169" t="s">
        <v>723</v>
      </c>
      <c r="S4" s="30"/>
      <c r="T4" s="30"/>
    </row>
    <row r="5" spans="1:20" ht="12" customHeight="1">
      <c r="A5" s="238" t="s">
        <v>615</v>
      </c>
      <c r="B5" s="286" t="s">
        <v>217</v>
      </c>
      <c r="C5" s="56" t="s">
        <v>948</v>
      </c>
      <c r="D5" s="56" t="s">
        <v>948</v>
      </c>
      <c r="E5" s="56" t="s">
        <v>948</v>
      </c>
      <c r="F5" s="56" t="s">
        <v>948</v>
      </c>
      <c r="G5" s="56" t="s">
        <v>948</v>
      </c>
      <c r="H5" s="56" t="s">
        <v>948</v>
      </c>
      <c r="I5" s="73"/>
      <c r="J5" s="286" t="s">
        <v>217</v>
      </c>
      <c r="K5" s="56" t="s">
        <v>948</v>
      </c>
      <c r="L5" s="56" t="s">
        <v>948</v>
      </c>
      <c r="M5" s="56" t="s">
        <v>948</v>
      </c>
      <c r="N5" s="56" t="s">
        <v>948</v>
      </c>
      <c r="O5" s="56"/>
      <c r="P5" s="56" t="s">
        <v>948</v>
      </c>
      <c r="Q5" s="56" t="s">
        <v>948</v>
      </c>
      <c r="R5" s="56" t="s">
        <v>948</v>
      </c>
      <c r="S5" s="170"/>
      <c r="T5" s="73"/>
    </row>
    <row r="6" spans="1:20">
      <c r="A6" s="238" t="s">
        <v>561</v>
      </c>
      <c r="B6" s="30"/>
      <c r="C6" s="30"/>
      <c r="D6" s="30"/>
      <c r="E6" s="30"/>
      <c r="F6" s="30"/>
      <c r="G6" s="30"/>
      <c r="H6" s="30"/>
      <c r="I6" s="73"/>
      <c r="J6" s="287" t="s">
        <v>933</v>
      </c>
      <c r="K6" s="171">
        <v>23109</v>
      </c>
      <c r="L6" s="171">
        <v>5777</v>
      </c>
      <c r="M6" s="171">
        <v>5777</v>
      </c>
      <c r="N6" s="171">
        <f>+L6-M6</f>
        <v>0</v>
      </c>
      <c r="O6" s="171"/>
      <c r="P6" s="171">
        <v>23109</v>
      </c>
      <c r="Q6" s="171">
        <v>23109</v>
      </c>
      <c r="R6" s="171">
        <f>+Q6-K6</f>
        <v>0</v>
      </c>
      <c r="S6" s="176"/>
      <c r="T6" s="73"/>
    </row>
    <row r="7" spans="1:20">
      <c r="A7" s="236"/>
      <c r="B7" s="30"/>
      <c r="C7" s="30"/>
      <c r="D7" s="30"/>
      <c r="E7" s="30"/>
      <c r="F7" s="30"/>
      <c r="G7" s="30"/>
      <c r="H7" s="30"/>
      <c r="I7" s="73"/>
      <c r="J7" s="287" t="s">
        <v>362</v>
      </c>
      <c r="K7" s="171">
        <v>376</v>
      </c>
      <c r="L7" s="171">
        <v>150</v>
      </c>
      <c r="M7" s="171">
        <v>150</v>
      </c>
      <c r="N7" s="171">
        <f>+L7-M7</f>
        <v>0</v>
      </c>
      <c r="O7" s="171"/>
      <c r="P7" s="171">
        <v>150</v>
      </c>
      <c r="Q7" s="171">
        <v>150</v>
      </c>
      <c r="R7" s="171">
        <f>+O7-Q7</f>
        <v>-150</v>
      </c>
      <c r="S7" s="176"/>
      <c r="T7" s="73"/>
    </row>
    <row r="8" spans="1:20" ht="12.75" customHeight="1">
      <c r="A8" s="236"/>
      <c r="B8" s="287" t="s">
        <v>540</v>
      </c>
      <c r="C8" s="171">
        <f>+C19+C18</f>
        <v>2792</v>
      </c>
      <c r="D8" s="171">
        <v>0</v>
      </c>
      <c r="E8" s="171">
        <f t="shared" ref="E8:E14" si="0">+C8-D8</f>
        <v>2792</v>
      </c>
      <c r="F8" s="171">
        <v>24808</v>
      </c>
      <c r="G8" s="171">
        <v>0</v>
      </c>
      <c r="H8" s="171">
        <f t="shared" ref="H8:H13" si="1">+F8-G8</f>
        <v>24808</v>
      </c>
      <c r="I8" s="299" t="s">
        <v>30</v>
      </c>
      <c r="J8" s="287" t="s">
        <v>1160</v>
      </c>
      <c r="K8" s="171">
        <v>4814</v>
      </c>
      <c r="L8" s="171">
        <v>0</v>
      </c>
      <c r="M8" s="171">
        <v>4651</v>
      </c>
      <c r="N8" s="171">
        <f>+L8-M8</f>
        <v>-4651</v>
      </c>
      <c r="O8" s="171"/>
      <c r="P8" s="171">
        <v>4651</v>
      </c>
      <c r="Q8" s="171">
        <v>4651</v>
      </c>
      <c r="R8" s="171">
        <f>+P8-Q8</f>
        <v>0</v>
      </c>
      <c r="S8" s="176"/>
      <c r="T8" s="73"/>
    </row>
    <row r="9" spans="1:20">
      <c r="A9" s="236"/>
      <c r="B9" s="287" t="s">
        <v>451</v>
      </c>
      <c r="C9" s="171">
        <v>0</v>
      </c>
      <c r="D9" s="171">
        <v>0</v>
      </c>
      <c r="E9" s="171">
        <f t="shared" si="0"/>
        <v>0</v>
      </c>
      <c r="F9" s="204">
        <f>16460+6238</f>
        <v>22698</v>
      </c>
      <c r="G9" s="171">
        <f>17585+13697+6238</f>
        <v>37520</v>
      </c>
      <c r="H9" s="171">
        <f t="shared" si="1"/>
        <v>-14822</v>
      </c>
      <c r="I9" s="324" t="s">
        <v>31</v>
      </c>
      <c r="J9" s="287" t="s">
        <v>1161</v>
      </c>
      <c r="K9" s="171">
        <f>-1141-874</f>
        <v>-2015</v>
      </c>
      <c r="L9" s="171">
        <v>0</v>
      </c>
      <c r="M9" s="171">
        <v>-1141</v>
      </c>
      <c r="N9" s="171">
        <f>+L9-M9</f>
        <v>1141</v>
      </c>
      <c r="O9" s="171"/>
      <c r="P9" s="171">
        <f>-2015-550</f>
        <v>-2565</v>
      </c>
      <c r="Q9" s="171">
        <f>-1141-874-550</f>
        <v>-2565</v>
      </c>
      <c r="R9" s="171">
        <f>+P9-Q9</f>
        <v>0</v>
      </c>
      <c r="S9" s="176"/>
      <c r="T9" s="73"/>
    </row>
    <row r="10" spans="1:20" ht="14.25" customHeight="1">
      <c r="A10" s="236"/>
      <c r="B10" s="287" t="s">
        <v>207</v>
      </c>
      <c r="C10" s="204">
        <f>+C22+C23+C20</f>
        <v>2339</v>
      </c>
      <c r="D10" s="204">
        <f>+D22+D23+D20</f>
        <v>626</v>
      </c>
      <c r="E10" s="171">
        <f t="shared" si="0"/>
        <v>1713</v>
      </c>
      <c r="F10" s="204">
        <v>3773</v>
      </c>
      <c r="G10" s="204">
        <f>1538+1217+163</f>
        <v>2918</v>
      </c>
      <c r="H10" s="171">
        <f t="shared" si="1"/>
        <v>855</v>
      </c>
      <c r="I10" s="324" t="s">
        <v>31</v>
      </c>
      <c r="J10" s="287" t="s">
        <v>608</v>
      </c>
      <c r="K10" s="171">
        <v>2578</v>
      </c>
      <c r="L10" s="171">
        <v>1326</v>
      </c>
      <c r="M10" s="171">
        <v>698</v>
      </c>
      <c r="N10" s="171">
        <f>+L10-M10</f>
        <v>628</v>
      </c>
      <c r="O10" s="171"/>
      <c r="P10" s="171">
        <v>2578</v>
      </c>
      <c r="Q10" s="171">
        <v>2766</v>
      </c>
      <c r="R10" s="171">
        <f>+P10-Q10</f>
        <v>-188</v>
      </c>
      <c r="S10" s="176"/>
      <c r="T10" s="179"/>
    </row>
    <row r="11" spans="1:20">
      <c r="A11" s="236"/>
      <c r="B11" s="287" t="s">
        <v>34</v>
      </c>
      <c r="C11" s="171">
        <v>0</v>
      </c>
      <c r="D11" s="171">
        <v>279</v>
      </c>
      <c r="E11" s="171">
        <f t="shared" si="0"/>
        <v>-279</v>
      </c>
      <c r="F11" s="171">
        <v>0</v>
      </c>
      <c r="G11" s="171">
        <v>0</v>
      </c>
      <c r="H11" s="171">
        <f t="shared" si="1"/>
        <v>0</v>
      </c>
      <c r="I11" s="324" t="s">
        <v>31</v>
      </c>
      <c r="J11" s="249" t="s">
        <v>218</v>
      </c>
      <c r="K11" s="205">
        <f>SUM(K6:K10)</f>
        <v>28862</v>
      </c>
      <c r="L11" s="205">
        <f t="shared" ref="L11:R11" si="2">SUM(L6:L10)</f>
        <v>7253</v>
      </c>
      <c r="M11" s="205">
        <f t="shared" si="2"/>
        <v>10135</v>
      </c>
      <c r="N11" s="205">
        <f t="shared" si="2"/>
        <v>-2882</v>
      </c>
      <c r="O11" s="205"/>
      <c r="P11" s="205">
        <f t="shared" si="2"/>
        <v>27923</v>
      </c>
      <c r="Q11" s="205">
        <f t="shared" si="2"/>
        <v>28111</v>
      </c>
      <c r="R11" s="205">
        <f t="shared" si="2"/>
        <v>-338</v>
      </c>
      <c r="S11" s="74"/>
      <c r="T11" s="179"/>
    </row>
    <row r="12" spans="1:20" ht="26.25" customHeight="1">
      <c r="A12" s="236"/>
      <c r="C12" s="171">
        <v>0</v>
      </c>
      <c r="D12" s="171"/>
      <c r="E12" s="171">
        <f t="shared" si="0"/>
        <v>0</v>
      </c>
      <c r="F12" s="171">
        <v>0</v>
      </c>
      <c r="G12" s="171">
        <v>0</v>
      </c>
      <c r="H12" s="171">
        <f t="shared" si="1"/>
        <v>0</v>
      </c>
      <c r="I12" s="30"/>
      <c r="J12" s="319" t="s">
        <v>345</v>
      </c>
      <c r="K12" s="204"/>
      <c r="L12" s="204"/>
      <c r="M12" s="204"/>
      <c r="N12" s="204"/>
      <c r="O12" s="204"/>
      <c r="P12" s="204"/>
      <c r="Q12" s="204"/>
      <c r="R12" s="204"/>
      <c r="S12" s="169" t="s">
        <v>555</v>
      </c>
      <c r="T12" s="169" t="s">
        <v>216</v>
      </c>
    </row>
    <row r="13" spans="1:20">
      <c r="A13" s="236"/>
      <c r="B13" s="287"/>
      <c r="C13" s="204">
        <v>0</v>
      </c>
      <c r="D13" s="204">
        <v>0</v>
      </c>
      <c r="E13" s="171">
        <f t="shared" si="0"/>
        <v>0</v>
      </c>
      <c r="F13" s="204">
        <v>0</v>
      </c>
      <c r="G13" s="204">
        <v>0</v>
      </c>
      <c r="H13" s="171">
        <f t="shared" si="1"/>
        <v>0</v>
      </c>
      <c r="I13" s="179"/>
      <c r="J13" s="181" t="s">
        <v>547</v>
      </c>
      <c r="K13" s="171">
        <v>2148</v>
      </c>
      <c r="L13" s="171"/>
      <c r="M13" s="171">
        <v>710</v>
      </c>
      <c r="N13" s="171">
        <f t="shared" ref="N13:N20" si="3">+L13-M13</f>
        <v>-710</v>
      </c>
      <c r="O13" s="171"/>
      <c r="P13" s="171">
        <v>2182</v>
      </c>
      <c r="Q13" s="171">
        <v>2148</v>
      </c>
      <c r="R13" s="171">
        <f t="shared" ref="R13:R22" si="4">+Q13-K13</f>
        <v>0</v>
      </c>
      <c r="S13" s="171"/>
      <c r="T13" s="324" t="s">
        <v>31</v>
      </c>
    </row>
    <row r="14" spans="1:20">
      <c r="A14" s="236"/>
      <c r="B14" s="287"/>
      <c r="C14" s="171">
        <v>0</v>
      </c>
      <c r="D14" s="171">
        <v>0</v>
      </c>
      <c r="E14" s="171">
        <f t="shared" si="0"/>
        <v>0</v>
      </c>
      <c r="F14" s="171">
        <v>0</v>
      </c>
      <c r="G14" s="171">
        <v>0</v>
      </c>
      <c r="H14" s="171">
        <f>+F14-G14</f>
        <v>0</v>
      </c>
      <c r="I14" s="179"/>
      <c r="J14" s="181" t="s">
        <v>546</v>
      </c>
      <c r="K14" s="171">
        <v>1150</v>
      </c>
      <c r="L14" s="171">
        <v>288</v>
      </c>
      <c r="M14" s="171">
        <v>136</v>
      </c>
      <c r="N14" s="171">
        <f t="shared" si="3"/>
        <v>152</v>
      </c>
      <c r="O14" s="171"/>
      <c r="P14" s="171">
        <v>1150</v>
      </c>
      <c r="Q14" s="171">
        <v>1150</v>
      </c>
      <c r="R14" s="171">
        <f t="shared" si="4"/>
        <v>0</v>
      </c>
      <c r="S14" s="171"/>
      <c r="T14" s="324" t="s">
        <v>31</v>
      </c>
    </row>
    <row r="15" spans="1:20">
      <c r="A15" s="236"/>
      <c r="B15" s="288" t="s">
        <v>827</v>
      </c>
      <c r="C15" s="205">
        <f t="shared" ref="C15:H15" si="5">SUM(C6:C14)</f>
        <v>5131</v>
      </c>
      <c r="D15" s="205">
        <f t="shared" si="5"/>
        <v>905</v>
      </c>
      <c r="E15" s="205">
        <f t="shared" si="5"/>
        <v>4226</v>
      </c>
      <c r="F15" s="205">
        <f t="shared" si="5"/>
        <v>51279</v>
      </c>
      <c r="G15" s="205">
        <f t="shared" si="5"/>
        <v>40438</v>
      </c>
      <c r="H15" s="205">
        <f t="shared" si="5"/>
        <v>10841</v>
      </c>
      <c r="I15" s="171"/>
      <c r="J15" s="181" t="s">
        <v>613</v>
      </c>
      <c r="K15" s="171">
        <f>1354+2615+3000</f>
        <v>6969</v>
      </c>
      <c r="L15" s="171">
        <v>60</v>
      </c>
      <c r="M15" s="171">
        <v>81</v>
      </c>
      <c r="N15" s="171">
        <f t="shared" si="3"/>
        <v>-21</v>
      </c>
      <c r="O15" s="171"/>
      <c r="P15" s="171">
        <v>4191</v>
      </c>
      <c r="Q15" s="171">
        <v>8221</v>
      </c>
      <c r="R15" s="171">
        <f t="shared" si="4"/>
        <v>1252</v>
      </c>
      <c r="S15" s="171"/>
      <c r="T15" s="324" t="s">
        <v>31</v>
      </c>
    </row>
    <row r="16" spans="1:20" ht="12.75" customHeight="1">
      <c r="A16" s="236"/>
      <c r="B16" s="286" t="s">
        <v>345</v>
      </c>
      <c r="C16" s="204"/>
      <c r="D16" s="204"/>
      <c r="E16" s="204"/>
      <c r="F16" s="204"/>
      <c r="G16" s="204"/>
      <c r="H16" s="204"/>
      <c r="J16" s="181" t="s">
        <v>352</v>
      </c>
      <c r="K16" s="171">
        <v>2506</v>
      </c>
      <c r="L16" s="171">
        <v>761</v>
      </c>
      <c r="M16" s="171">
        <v>251</v>
      </c>
      <c r="N16" s="171">
        <f t="shared" si="3"/>
        <v>510</v>
      </c>
      <c r="O16" s="171"/>
      <c r="P16" s="171">
        <v>1381</v>
      </c>
      <c r="Q16" s="171">
        <v>1665</v>
      </c>
      <c r="R16" s="171">
        <f t="shared" si="4"/>
        <v>-841</v>
      </c>
      <c r="S16" s="171"/>
      <c r="T16" s="324" t="s">
        <v>31</v>
      </c>
    </row>
    <row r="17" spans="1:20">
      <c r="A17" s="236"/>
      <c r="B17" s="181" t="s">
        <v>346</v>
      </c>
      <c r="C17" s="171"/>
      <c r="D17" s="171"/>
      <c r="E17" s="171"/>
      <c r="F17" s="171"/>
      <c r="G17" s="171"/>
      <c r="H17" s="171"/>
      <c r="J17" s="181" t="s">
        <v>616</v>
      </c>
      <c r="K17" s="171">
        <f>637+1754+1571</f>
        <v>3962</v>
      </c>
      <c r="L17" s="171">
        <v>245</v>
      </c>
      <c r="M17" s="171">
        <v>907</v>
      </c>
      <c r="N17" s="171">
        <f t="shared" si="3"/>
        <v>-662</v>
      </c>
      <c r="O17" s="171"/>
      <c r="P17" s="171">
        <v>2592</v>
      </c>
      <c r="Q17" s="171">
        <v>8725</v>
      </c>
      <c r="R17" s="171">
        <f t="shared" si="4"/>
        <v>4763</v>
      </c>
      <c r="S17" s="171"/>
      <c r="T17" s="324" t="s">
        <v>31</v>
      </c>
    </row>
    <row r="18" spans="1:20">
      <c r="A18" s="236"/>
      <c r="B18" s="181" t="s">
        <v>610</v>
      </c>
      <c r="C18" s="171">
        <v>273</v>
      </c>
      <c r="D18" s="171">
        <v>195</v>
      </c>
      <c r="E18" s="171">
        <f>+C18-D18</f>
        <v>78</v>
      </c>
      <c r="F18" s="171">
        <v>1115</v>
      </c>
      <c r="G18" s="171">
        <v>1115</v>
      </c>
      <c r="H18" s="171">
        <f>+F18-G18</f>
        <v>0</v>
      </c>
      <c r="I18" s="324" t="s">
        <v>31</v>
      </c>
      <c r="J18" s="181" t="s">
        <v>617</v>
      </c>
      <c r="K18" s="171">
        <f>3688+3953+2100+85+138-2148</f>
        <v>7816</v>
      </c>
      <c r="L18" s="171">
        <v>770</v>
      </c>
      <c r="M18" s="171">
        <v>704</v>
      </c>
      <c r="N18" s="171">
        <f t="shared" si="3"/>
        <v>66</v>
      </c>
      <c r="O18" s="171"/>
      <c r="P18" s="171">
        <v>2295</v>
      </c>
      <c r="Q18" s="171">
        <v>10384</v>
      </c>
      <c r="R18" s="171">
        <f t="shared" si="4"/>
        <v>2568</v>
      </c>
      <c r="S18" s="171"/>
      <c r="T18" s="324" t="s">
        <v>31</v>
      </c>
    </row>
    <row r="19" spans="1:20" ht="12.75" customHeight="1">
      <c r="A19" s="236"/>
      <c r="B19" s="181" t="s">
        <v>611</v>
      </c>
      <c r="C19" s="171">
        <v>2519</v>
      </c>
      <c r="D19" s="171">
        <v>84</v>
      </c>
      <c r="E19" s="171">
        <f>+C19-D19</f>
        <v>2435</v>
      </c>
      <c r="F19" s="171">
        <v>17784</v>
      </c>
      <c r="G19" s="171">
        <v>10074</v>
      </c>
      <c r="H19" s="171">
        <f>+F19-G19</f>
        <v>7710</v>
      </c>
      <c r="I19" s="324" t="s">
        <v>31</v>
      </c>
      <c r="J19" s="181" t="s">
        <v>614</v>
      </c>
      <c r="K19" s="171"/>
      <c r="L19" s="171"/>
      <c r="M19" s="171">
        <f>+D11</f>
        <v>279</v>
      </c>
      <c r="N19" s="171">
        <f t="shared" si="3"/>
        <v>-279</v>
      </c>
      <c r="O19" s="171"/>
      <c r="P19" s="171"/>
      <c r="Q19" s="171"/>
      <c r="R19" s="171">
        <f t="shared" si="4"/>
        <v>0</v>
      </c>
      <c r="S19" s="171"/>
      <c r="T19" s="324" t="s">
        <v>31</v>
      </c>
    </row>
    <row r="20" spans="1:20">
      <c r="A20" s="236"/>
      <c r="B20" s="181" t="s">
        <v>347</v>
      </c>
      <c r="C20" s="171">
        <v>2140</v>
      </c>
      <c r="D20" s="171">
        <v>427</v>
      </c>
      <c r="E20" s="171">
        <f>+C20-D20</f>
        <v>1713</v>
      </c>
      <c r="F20" s="171">
        <v>23387</v>
      </c>
      <c r="G20" s="171">
        <v>20256</v>
      </c>
      <c r="H20" s="171">
        <f>+F20-G20</f>
        <v>3131</v>
      </c>
      <c r="I20" s="324" t="s">
        <v>31</v>
      </c>
      <c r="J20" s="181" t="s">
        <v>618</v>
      </c>
      <c r="K20" s="171"/>
      <c r="L20" s="171"/>
      <c r="M20" s="171"/>
      <c r="N20" s="171">
        <f t="shared" si="3"/>
        <v>0</v>
      </c>
      <c r="O20" s="171"/>
      <c r="P20" s="171"/>
      <c r="Q20" s="171"/>
      <c r="R20" s="171">
        <f t="shared" si="4"/>
        <v>0</v>
      </c>
      <c r="S20" s="171"/>
      <c r="T20" s="324" t="s">
        <v>31</v>
      </c>
    </row>
    <row r="21" spans="1:20">
      <c r="A21" s="236"/>
      <c r="B21" s="290" t="s">
        <v>351</v>
      </c>
      <c r="C21" s="757">
        <f t="shared" ref="C21:H21" si="6">SUM(C18:C20)</f>
        <v>4932</v>
      </c>
      <c r="D21" s="757">
        <f t="shared" si="6"/>
        <v>706</v>
      </c>
      <c r="E21" s="757">
        <f t="shared" si="6"/>
        <v>4226</v>
      </c>
      <c r="F21" s="757">
        <f t="shared" si="6"/>
        <v>42286</v>
      </c>
      <c r="G21" s="757">
        <f t="shared" si="6"/>
        <v>31445</v>
      </c>
      <c r="H21" s="216">
        <f t="shared" si="6"/>
        <v>10841</v>
      </c>
      <c r="I21" s="324" t="s">
        <v>31</v>
      </c>
      <c r="J21" s="181"/>
      <c r="K21" s="171"/>
      <c r="L21" s="171"/>
      <c r="M21" s="171"/>
      <c r="N21" s="171"/>
      <c r="O21" s="171"/>
      <c r="P21" s="171"/>
      <c r="Q21" s="171">
        <f>+G11</f>
        <v>0</v>
      </c>
      <c r="R21" s="171">
        <f t="shared" si="4"/>
        <v>0</v>
      </c>
      <c r="S21" s="171">
        <f t="shared" ref="S21:S22" si="7">+Q21-P21</f>
        <v>0</v>
      </c>
      <c r="T21" s="324" t="s">
        <v>31</v>
      </c>
    </row>
    <row r="22" spans="1:20">
      <c r="A22" s="236"/>
      <c r="B22" s="181" t="s">
        <v>348</v>
      </c>
      <c r="C22" s="171">
        <v>135</v>
      </c>
      <c r="D22" s="171">
        <v>135</v>
      </c>
      <c r="E22" s="171">
        <f>+C22-D22</f>
        <v>0</v>
      </c>
      <c r="F22" s="171">
        <v>1538</v>
      </c>
      <c r="G22" s="171">
        <v>1538</v>
      </c>
      <c r="H22" s="171">
        <f>+F22-G22</f>
        <v>0</v>
      </c>
      <c r="I22" s="324" t="s">
        <v>31</v>
      </c>
      <c r="J22" s="181"/>
      <c r="K22" s="171"/>
      <c r="L22" s="171"/>
      <c r="M22" s="171"/>
      <c r="N22" s="171"/>
      <c r="O22" s="171"/>
      <c r="P22" s="171">
        <v>0</v>
      </c>
      <c r="Q22" s="171">
        <v>0</v>
      </c>
      <c r="R22" s="171">
        <f t="shared" si="4"/>
        <v>0</v>
      </c>
      <c r="S22" s="171">
        <f t="shared" si="7"/>
        <v>0</v>
      </c>
      <c r="T22" s="324" t="s">
        <v>31</v>
      </c>
    </row>
    <row r="23" spans="1:20">
      <c r="A23" s="236"/>
      <c r="B23" s="181" t="s">
        <v>349</v>
      </c>
      <c r="C23" s="171">
        <v>64</v>
      </c>
      <c r="D23" s="171">
        <v>64</v>
      </c>
      <c r="E23" s="171">
        <f>+C23-D23</f>
        <v>0</v>
      </c>
      <c r="F23" s="171">
        <v>1217</v>
      </c>
      <c r="G23" s="171">
        <v>1217</v>
      </c>
      <c r="H23" s="171">
        <f>+F23-G23</f>
        <v>0</v>
      </c>
      <c r="I23" s="324" t="s">
        <v>31</v>
      </c>
      <c r="J23" s="291" t="s">
        <v>623</v>
      </c>
      <c r="K23" s="204">
        <f>SUM(K13:K22)</f>
        <v>24551</v>
      </c>
      <c r="L23" s="204">
        <f>SUM(L13:L22)</f>
        <v>2124</v>
      </c>
      <c r="M23" s="204">
        <f t="shared" ref="M23:S23" si="8">SUM(M13:M22)</f>
        <v>3068</v>
      </c>
      <c r="N23" s="204">
        <f t="shared" si="8"/>
        <v>-944</v>
      </c>
      <c r="O23" s="204"/>
      <c r="P23" s="204">
        <f t="shared" si="8"/>
        <v>13791</v>
      </c>
      <c r="Q23" s="204">
        <f t="shared" si="8"/>
        <v>32293</v>
      </c>
      <c r="R23" s="204">
        <f t="shared" si="8"/>
        <v>7742</v>
      </c>
      <c r="S23" s="204">
        <f t="shared" si="8"/>
        <v>0</v>
      </c>
      <c r="T23" s="299"/>
    </row>
    <row r="24" spans="1:20">
      <c r="A24" s="236"/>
      <c r="B24" s="1795" t="s">
        <v>1202</v>
      </c>
      <c r="C24" s="171">
        <v>0</v>
      </c>
      <c r="D24" s="171">
        <v>0</v>
      </c>
      <c r="E24" s="171">
        <f>+C24-D24</f>
        <v>0</v>
      </c>
      <c r="F24" s="171">
        <v>6238</v>
      </c>
      <c r="G24" s="171">
        <v>6238</v>
      </c>
      <c r="H24" s="171">
        <f>+F24-G24</f>
        <v>0</v>
      </c>
      <c r="I24" s="324"/>
      <c r="J24" s="181" t="s">
        <v>619</v>
      </c>
      <c r="K24" s="171">
        <f>+K11-K23</f>
        <v>4311</v>
      </c>
      <c r="L24" s="171">
        <f>+L11-L23</f>
        <v>5129</v>
      </c>
      <c r="M24" s="204">
        <v>0</v>
      </c>
      <c r="N24" s="171">
        <f>+L24-M24</f>
        <v>5129</v>
      </c>
      <c r="O24" s="204"/>
      <c r="P24" s="171">
        <f>+P11-P23</f>
        <v>14132</v>
      </c>
      <c r="Q24" s="171">
        <f>+Q11-Q23</f>
        <v>-4182</v>
      </c>
      <c r="R24" s="171">
        <f>+Q24-K24</f>
        <v>-8493</v>
      </c>
      <c r="S24" s="171">
        <f>+Q24-L24</f>
        <v>-9311</v>
      </c>
      <c r="T24" s="299"/>
    </row>
    <row r="25" spans="1:20">
      <c r="A25" s="236"/>
      <c r="B25" s="181" t="s">
        <v>545</v>
      </c>
      <c r="C25" s="171"/>
      <c r="D25" s="171">
        <v>0</v>
      </c>
      <c r="E25" s="171">
        <f>+C25-D25</f>
        <v>0</v>
      </c>
      <c r="F25" s="171"/>
      <c r="G25" s="171"/>
      <c r="H25" s="171">
        <f>+F25-G25</f>
        <v>0</v>
      </c>
      <c r="I25" s="299"/>
      <c r="J25" s="181"/>
      <c r="K25" s="171"/>
      <c r="L25" s="204"/>
      <c r="M25" s="204"/>
      <c r="N25" s="171"/>
      <c r="O25" s="204"/>
      <c r="P25" s="204"/>
      <c r="Q25" s="204"/>
      <c r="R25" s="171"/>
      <c r="S25" s="171"/>
      <c r="T25" s="299"/>
    </row>
    <row r="26" spans="1:20">
      <c r="A26" s="236"/>
      <c r="B26" s="288" t="s">
        <v>827</v>
      </c>
      <c r="C26" s="174">
        <f t="shared" ref="C26:H26" si="9">SUM(C21:C25)</f>
        <v>5131</v>
      </c>
      <c r="D26" s="174">
        <f t="shared" si="9"/>
        <v>905</v>
      </c>
      <c r="E26" s="174">
        <f t="shared" si="9"/>
        <v>4226</v>
      </c>
      <c r="F26" s="174">
        <f t="shared" si="9"/>
        <v>51279</v>
      </c>
      <c r="G26" s="174">
        <f t="shared" si="9"/>
        <v>40438</v>
      </c>
      <c r="H26" s="174">
        <f t="shared" si="9"/>
        <v>10841</v>
      </c>
      <c r="I26" s="74"/>
      <c r="J26" s="292" t="s">
        <v>620</v>
      </c>
      <c r="K26" s="174">
        <f>SUM(K23:K24)</f>
        <v>28862</v>
      </c>
      <c r="L26" s="174">
        <f t="shared" ref="L26:S26" si="10">SUM(L23:L24)</f>
        <v>7253</v>
      </c>
      <c r="M26" s="174">
        <f t="shared" si="10"/>
        <v>3068</v>
      </c>
      <c r="N26" s="174">
        <f t="shared" si="10"/>
        <v>4185</v>
      </c>
      <c r="O26" s="174"/>
      <c r="P26" s="174">
        <f t="shared" si="10"/>
        <v>27923</v>
      </c>
      <c r="Q26" s="174">
        <f t="shared" si="10"/>
        <v>28111</v>
      </c>
      <c r="R26" s="174">
        <f t="shared" si="10"/>
        <v>-751</v>
      </c>
      <c r="S26" s="174">
        <f t="shared" si="10"/>
        <v>-9311</v>
      </c>
      <c r="T26" s="299"/>
    </row>
    <row r="27" spans="1:20">
      <c r="A27" s="236"/>
      <c r="B27" s="288"/>
      <c r="C27" s="174"/>
      <c r="D27" s="174"/>
      <c r="E27" s="174"/>
      <c r="F27" s="174"/>
      <c r="G27" s="174"/>
      <c r="H27" s="174"/>
      <c r="I27" s="74"/>
      <c r="J27" s="292"/>
      <c r="K27" s="174"/>
      <c r="L27" s="174"/>
      <c r="M27" s="174"/>
      <c r="N27" s="174"/>
      <c r="O27" s="174"/>
      <c r="P27" s="174"/>
      <c r="Q27" s="174"/>
      <c r="R27" s="174"/>
      <c r="S27" s="174"/>
      <c r="T27" s="299"/>
    </row>
    <row r="28" spans="1:20">
      <c r="A28" s="236"/>
      <c r="B28" s="30"/>
      <c r="C28" s="30"/>
      <c r="D28" s="30"/>
      <c r="E28" s="30"/>
      <c r="F28" s="30"/>
      <c r="G28" s="30"/>
      <c r="H28" s="30"/>
      <c r="I28" s="30"/>
      <c r="J28" s="181" t="s">
        <v>621</v>
      </c>
      <c r="K28" s="293">
        <v>500</v>
      </c>
      <c r="L28" s="293">
        <v>26</v>
      </c>
      <c r="M28" s="293">
        <v>26</v>
      </c>
      <c r="N28" s="171">
        <f>+L28-M28</f>
        <v>0</v>
      </c>
      <c r="O28" s="293"/>
      <c r="P28" s="293">
        <v>10</v>
      </c>
      <c r="Q28" s="293">
        <v>500</v>
      </c>
      <c r="R28" s="171">
        <f>+P28-Q28</f>
        <v>-490</v>
      </c>
      <c r="S28" s="171">
        <f>+Q28-P28</f>
        <v>490</v>
      </c>
      <c r="T28" s="324" t="s">
        <v>31</v>
      </c>
    </row>
    <row r="29" spans="1:20">
      <c r="A29" s="236"/>
      <c r="G29" s="186">
        <f>+G15-G26</f>
        <v>0</v>
      </c>
    </row>
    <row r="30" spans="1:20">
      <c r="A30" s="236"/>
      <c r="J30" t="s">
        <v>827</v>
      </c>
      <c r="M30" s="186">
        <f>(SUM(M13:M20))+M28</f>
        <v>3094</v>
      </c>
      <c r="Q30" s="186">
        <f>(SUM(Q13:Q20))+Q28</f>
        <v>32793</v>
      </c>
    </row>
    <row r="31" spans="1:20">
      <c r="A31" s="236"/>
    </row>
    <row r="32" spans="1:20">
      <c r="A32" s="236"/>
      <c r="B32" t="s">
        <v>827</v>
      </c>
      <c r="J32" t="s">
        <v>343</v>
      </c>
      <c r="Q32" s="186">
        <f>+Q11</f>
        <v>28111</v>
      </c>
      <c r="R32" s="186"/>
      <c r="S32" s="186"/>
    </row>
    <row r="33" spans="1:19">
      <c r="A33" s="236"/>
      <c r="B33" t="s">
        <v>904</v>
      </c>
      <c r="C33" s="186">
        <f>+C26</f>
        <v>5131</v>
      </c>
      <c r="D33" s="186">
        <f>+D26</f>
        <v>905</v>
      </c>
      <c r="E33" s="186"/>
      <c r="F33" s="186">
        <f>+F26</f>
        <v>51279</v>
      </c>
      <c r="G33" s="186">
        <f>+G26</f>
        <v>40438</v>
      </c>
      <c r="Q33" s="186">
        <f>+G15</f>
        <v>40438</v>
      </c>
      <c r="R33" s="186"/>
    </row>
    <row r="34" spans="1:19">
      <c r="A34" s="236"/>
      <c r="B34" t="s">
        <v>905</v>
      </c>
      <c r="C34" s="186">
        <f>+L26</f>
        <v>7253</v>
      </c>
      <c r="D34" s="186">
        <f>+M26</f>
        <v>3068</v>
      </c>
      <c r="E34" s="186"/>
      <c r="F34" s="186">
        <f>+K26</f>
        <v>28862</v>
      </c>
      <c r="G34" s="186">
        <f>+Q26</f>
        <v>28111</v>
      </c>
      <c r="J34" t="s">
        <v>344</v>
      </c>
      <c r="Q34" s="186">
        <v>-1103</v>
      </c>
      <c r="R34" s="186"/>
    </row>
    <row r="35" spans="1:19">
      <c r="A35" s="236"/>
      <c r="B35" t="s">
        <v>906</v>
      </c>
      <c r="C35" s="186">
        <f>-L19</f>
        <v>0</v>
      </c>
      <c r="D35" s="186">
        <f>-M19</f>
        <v>-279</v>
      </c>
      <c r="E35" s="186"/>
      <c r="F35" s="186">
        <f>-K21</f>
        <v>0</v>
      </c>
      <c r="G35" s="186">
        <f>-G25</f>
        <v>0</v>
      </c>
      <c r="J35" t="s">
        <v>343</v>
      </c>
      <c r="Q35" s="186"/>
      <c r="R35" s="186"/>
    </row>
    <row r="36" spans="1:19">
      <c r="A36" s="236"/>
      <c r="B36" t="s">
        <v>907</v>
      </c>
      <c r="C36" s="186"/>
      <c r="D36" s="186"/>
      <c r="E36" s="186"/>
      <c r="F36" s="186"/>
      <c r="G36" s="186">
        <f>-Q21</f>
        <v>0</v>
      </c>
      <c r="Q36" s="186">
        <f>SUM(Q32:Q35)</f>
        <v>67446</v>
      </c>
      <c r="R36" s="186"/>
    </row>
    <row r="37" spans="1:19">
      <c r="A37" s="236"/>
      <c r="B37" t="s">
        <v>916</v>
      </c>
      <c r="C37" s="186">
        <f>+L28</f>
        <v>26</v>
      </c>
      <c r="D37" s="186">
        <f>+M28</f>
        <v>26</v>
      </c>
      <c r="E37" s="186"/>
      <c r="F37" s="186"/>
      <c r="G37" s="186">
        <f>+Q28</f>
        <v>500</v>
      </c>
      <c r="Q37" s="186">
        <f>+Q23</f>
        <v>32293</v>
      </c>
      <c r="R37" s="186"/>
    </row>
    <row r="38" spans="1:19">
      <c r="A38" s="236"/>
      <c r="B38" t="s">
        <v>203</v>
      </c>
      <c r="C38" s="186"/>
      <c r="D38" s="186"/>
      <c r="E38" s="186"/>
      <c r="F38" s="186"/>
      <c r="G38" s="186">
        <f>-Q24</f>
        <v>4182</v>
      </c>
      <c r="Q38" s="186">
        <f>-Q21</f>
        <v>0</v>
      </c>
      <c r="R38" s="186"/>
    </row>
    <row r="39" spans="1:19">
      <c r="A39" s="236"/>
      <c r="B39" t="s">
        <v>827</v>
      </c>
      <c r="C39" s="186">
        <f>SUM(C33:C38)</f>
        <v>12410</v>
      </c>
      <c r="D39" s="186">
        <f>SUM(D33:D38)</f>
        <v>3720</v>
      </c>
      <c r="E39" s="186"/>
      <c r="F39" s="186">
        <f>SUM(F33:F38)</f>
        <v>80141</v>
      </c>
      <c r="G39" s="186">
        <f>SUM(G33:G38)</f>
        <v>73231</v>
      </c>
      <c r="Q39" s="186">
        <f>+Q28</f>
        <v>500</v>
      </c>
      <c r="R39" s="186"/>
    </row>
    <row r="40" spans="1:19">
      <c r="A40" s="236"/>
      <c r="Q40" s="186">
        <f>-Q28</f>
        <v>-500</v>
      </c>
      <c r="R40" s="186"/>
      <c r="S40" s="186"/>
    </row>
    <row r="41" spans="1:19">
      <c r="A41" s="236"/>
      <c r="B41" t="s">
        <v>539</v>
      </c>
      <c r="Q41" s="186">
        <f>+G26</f>
        <v>40438</v>
      </c>
    </row>
    <row r="42" spans="1:19">
      <c r="A42" s="236"/>
      <c r="B42" t="s">
        <v>348</v>
      </c>
      <c r="G42" s="186"/>
      <c r="Q42" s="186">
        <f>-Q10</f>
        <v>-2766</v>
      </c>
    </row>
    <row r="43" spans="1:19">
      <c r="A43" s="236"/>
      <c r="B43" t="s">
        <v>1090</v>
      </c>
      <c r="G43" s="186"/>
      <c r="Q43" s="186">
        <f>SUM(Q37:Q42)</f>
        <v>69965</v>
      </c>
    </row>
    <row r="44" spans="1:19">
      <c r="A44" s="236"/>
      <c r="B44" t="s">
        <v>410</v>
      </c>
      <c r="G44" s="186">
        <v>50</v>
      </c>
    </row>
    <row r="45" spans="1:19">
      <c r="A45" s="236"/>
      <c r="B45" t="s">
        <v>348</v>
      </c>
      <c r="G45" s="186">
        <v>544</v>
      </c>
      <c r="Q45" s="186">
        <f>+Q36-Q43</f>
        <v>-2519</v>
      </c>
    </row>
    <row r="46" spans="1:19">
      <c r="A46" s="236"/>
      <c r="B46" t="s">
        <v>1096</v>
      </c>
      <c r="G46" s="186">
        <f>+G18+G19</f>
        <v>11189</v>
      </c>
      <c r="Q46">
        <v>-2405</v>
      </c>
    </row>
    <row r="47" spans="1:19">
      <c r="G47" s="186">
        <f>SUM(G42:G46)</f>
        <v>11783</v>
      </c>
      <c r="Q47" s="186">
        <f>SUM(Q45:Q46)</f>
        <v>-4924</v>
      </c>
    </row>
  </sheetData>
  <mergeCells count="5">
    <mergeCell ref="S3:T3"/>
    <mergeCell ref="C3:E3"/>
    <mergeCell ref="F3:H3"/>
    <mergeCell ref="L3:N3"/>
    <mergeCell ref="Q3:R3"/>
  </mergeCells>
  <phoneticPr fontId="8" type="noConversion"/>
  <pageMargins left="0.28999999999999998" right="0.32" top="0.85" bottom="0.72" header="0.5" footer="0.32"/>
  <pageSetup paperSize="9" scale="51"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11"/>
    <pageSetUpPr fitToPage="1"/>
  </sheetPr>
  <dimension ref="A1:BF134"/>
  <sheetViews>
    <sheetView showGridLines="0" workbookViewId="0">
      <pane xSplit="3" ySplit="2" topLeftCell="D105" activePane="bottomRight" state="frozen"/>
      <selection activeCell="N81" sqref="N81"/>
      <selection pane="topRight" activeCell="N81" sqref="N81"/>
      <selection pane="bottomLeft" activeCell="N81" sqref="N81"/>
      <selection pane="bottomRight" activeCell="J115" sqref="J115"/>
    </sheetView>
  </sheetViews>
  <sheetFormatPr defaultColWidth="9.109375" defaultRowHeight="13.2"/>
  <cols>
    <col min="1" max="1" width="3" style="453" customWidth="1"/>
    <col min="2" max="2" width="23.33203125" style="453" customWidth="1"/>
    <col min="3" max="3" width="5.5546875" style="453" customWidth="1"/>
    <col min="4" max="4" width="14.44140625" style="453" customWidth="1"/>
    <col min="5" max="5" width="9.88671875" style="453" customWidth="1"/>
    <col min="6" max="6" width="8.109375" style="453" customWidth="1"/>
    <col min="7" max="7" width="15.6640625" style="453" customWidth="1"/>
    <col min="8" max="8" width="8.33203125" style="453" customWidth="1"/>
    <col min="9" max="9" width="5.33203125" style="453" customWidth="1"/>
    <col min="10" max="10" width="5" style="453" bestFit="1" customWidth="1"/>
    <col min="11" max="15" width="4.5546875" style="453" customWidth="1"/>
    <col min="16" max="18" width="4.88671875" style="453" customWidth="1"/>
    <col min="19" max="19" width="16.109375" style="453" customWidth="1"/>
    <col min="20" max="20" width="3.109375" style="453" customWidth="1"/>
    <col min="21" max="21" width="4.88671875" style="453" customWidth="1"/>
    <col min="22" max="22" width="14.44140625" style="453" customWidth="1"/>
    <col min="23" max="23" width="9.109375" style="453"/>
    <col min="24" max="25" width="9.109375" style="665"/>
    <col min="26" max="26" width="9.109375" style="453"/>
    <col min="27" max="27" width="5.5546875" style="453" customWidth="1"/>
    <col min="28" max="28" width="14.44140625" style="453" customWidth="1"/>
    <col min="29" max="29" width="3.109375" style="453" customWidth="1"/>
    <col min="30" max="30" width="4.88671875" style="453" customWidth="1"/>
    <col min="31" max="31" width="15.6640625" style="453" customWidth="1"/>
    <col min="32" max="32" width="8.33203125" style="453" customWidth="1"/>
    <col min="33" max="33" width="5.33203125" style="453" customWidth="1"/>
    <col min="34" max="34" width="5" style="453" bestFit="1" customWidth="1"/>
    <col min="35" max="39" width="4.5546875" style="453" customWidth="1"/>
    <col min="40" max="42" width="4.88671875" style="453" customWidth="1"/>
    <col min="43" max="43" width="16.109375" style="453" customWidth="1"/>
    <col min="44" max="44" width="3.109375" style="453" customWidth="1"/>
    <col min="45" max="45" width="4.88671875" style="453" customWidth="1"/>
    <col min="46" max="46" width="14.44140625" style="453" customWidth="1"/>
    <col min="47" max="48" width="9.109375" style="453"/>
    <col min="49" max="49" width="29.33203125" style="453" customWidth="1"/>
    <col min="50" max="51" width="11.33203125" style="453" bestFit="1" customWidth="1"/>
    <col min="52" max="52" width="9.109375" style="453"/>
    <col min="53" max="53" width="10.33203125" style="453" bestFit="1" customWidth="1"/>
    <col min="54" max="55" width="11.33203125" style="453" bestFit="1" customWidth="1"/>
    <col min="56" max="56" width="9.109375" style="453"/>
    <col min="57" max="57" width="10.33203125" style="453" bestFit="1" customWidth="1"/>
    <col min="58" max="16384" width="9.109375" style="453"/>
  </cols>
  <sheetData>
    <row r="1" spans="1:58" ht="46.8">
      <c r="A1" s="567" t="s">
        <v>389</v>
      </c>
      <c r="B1" s="568"/>
      <c r="C1" s="568"/>
      <c r="D1" s="569" t="s">
        <v>849</v>
      </c>
      <c r="E1" s="569"/>
      <c r="F1" s="569"/>
      <c r="G1" s="569" t="s">
        <v>950</v>
      </c>
      <c r="H1" s="568"/>
      <c r="I1" s="568"/>
      <c r="J1" s="568"/>
      <c r="K1" s="568"/>
      <c r="S1" s="569" t="s">
        <v>949</v>
      </c>
      <c r="T1" s="569"/>
      <c r="U1" s="569"/>
      <c r="V1" s="569" t="s">
        <v>950</v>
      </c>
      <c r="AA1" s="568"/>
      <c r="AB1" s="658" t="s">
        <v>850</v>
      </c>
      <c r="AC1" s="658"/>
      <c r="AD1" s="658"/>
      <c r="AE1" s="658" t="s">
        <v>851</v>
      </c>
      <c r="AF1" s="659"/>
      <c r="AG1" s="659"/>
      <c r="AH1" s="659"/>
      <c r="AI1" s="659"/>
      <c r="AJ1" s="660"/>
      <c r="AK1" s="660"/>
      <c r="AL1" s="660"/>
      <c r="AM1" s="660"/>
      <c r="AN1" s="660"/>
      <c r="AO1" s="660"/>
      <c r="AP1" s="660"/>
      <c r="AQ1" s="658" t="s">
        <v>850</v>
      </c>
      <c r="AR1" s="658"/>
      <c r="AS1" s="658"/>
      <c r="AT1" s="658" t="s">
        <v>851</v>
      </c>
    </row>
    <row r="2" spans="1:58" ht="15" customHeight="1" thickBot="1">
      <c r="A2" s="570" t="s">
        <v>852</v>
      </c>
      <c r="D2" s="2399" t="s">
        <v>951</v>
      </c>
      <c r="E2" s="2399"/>
      <c r="F2" s="2399"/>
      <c r="G2" s="2399"/>
      <c r="S2" s="2399" t="s">
        <v>952</v>
      </c>
      <c r="T2" s="2399"/>
      <c r="U2" s="2399"/>
      <c r="V2" s="2399"/>
      <c r="AB2" s="2399" t="s">
        <v>951</v>
      </c>
      <c r="AC2" s="2399"/>
      <c r="AD2" s="2399"/>
      <c r="AE2" s="2399"/>
      <c r="AQ2" s="2386" t="s">
        <v>952</v>
      </c>
      <c r="AR2" s="2386"/>
      <c r="AS2" s="2386"/>
      <c r="AT2" s="2386"/>
    </row>
    <row r="3" spans="1:58" ht="15" customHeight="1" thickBot="1">
      <c r="D3" s="2399" t="s">
        <v>951</v>
      </c>
      <c r="E3" s="2399"/>
      <c r="F3" s="2399"/>
      <c r="G3" s="2399"/>
      <c r="S3" s="2399" t="s">
        <v>952</v>
      </c>
      <c r="T3" s="2399"/>
      <c r="U3" s="2399"/>
      <c r="V3" s="2399"/>
      <c r="AB3" s="2399" t="s">
        <v>951</v>
      </c>
      <c r="AC3" s="2399"/>
      <c r="AD3" s="2399"/>
      <c r="AE3" s="2399"/>
      <c r="AQ3" s="2386" t="s">
        <v>952</v>
      </c>
      <c r="AR3" s="2386"/>
      <c r="AS3" s="2386"/>
      <c r="AT3" s="2386"/>
      <c r="AX3" s="702" t="s">
        <v>833</v>
      </c>
      <c r="AY3" s="703"/>
      <c r="AZ3" s="703"/>
      <c r="BA3" s="704">
        <v>4</v>
      </c>
      <c r="BB3" s="702" t="s">
        <v>877</v>
      </c>
      <c r="BC3" s="703"/>
      <c r="BD3" s="703"/>
      <c r="BE3" s="705"/>
    </row>
    <row r="4" spans="1:58" ht="15" customHeight="1" thickBot="1">
      <c r="B4" s="454" t="s">
        <v>953</v>
      </c>
      <c r="C4" s="454"/>
      <c r="D4" s="456" t="s">
        <v>444</v>
      </c>
      <c r="E4" s="569" t="s">
        <v>861</v>
      </c>
      <c r="F4" s="569"/>
      <c r="T4" s="569"/>
      <c r="U4" s="569"/>
      <c r="AA4" s="454"/>
      <c r="AC4" s="569"/>
      <c r="AD4" s="569"/>
      <c r="AQ4" s="2387" t="s">
        <v>878</v>
      </c>
      <c r="AR4" s="2388"/>
      <c r="AS4" s="2388"/>
      <c r="AT4" s="2389"/>
      <c r="AX4" s="706" t="s">
        <v>721</v>
      </c>
      <c r="AY4" s="706" t="s">
        <v>722</v>
      </c>
      <c r="AZ4" s="706" t="s">
        <v>879</v>
      </c>
      <c r="BA4" s="706" t="s">
        <v>880</v>
      </c>
      <c r="BB4" s="706" t="s">
        <v>721</v>
      </c>
      <c r="BC4" s="706" t="s">
        <v>722</v>
      </c>
      <c r="BD4" s="706" t="s">
        <v>879</v>
      </c>
      <c r="BE4" s="706" t="s">
        <v>880</v>
      </c>
    </row>
    <row r="5" spans="1:58" ht="15" customHeight="1">
      <c r="B5" s="453" t="s">
        <v>954</v>
      </c>
      <c r="D5" s="571">
        <f>D45</f>
        <v>-6.446591861226687</v>
      </c>
      <c r="E5" s="662"/>
      <c r="F5" s="455"/>
      <c r="G5" s="571">
        <f>G45</f>
        <v>-2.2643712180927218E-2</v>
      </c>
      <c r="S5" s="571">
        <f>S45</f>
        <v>-10.839842503850717</v>
      </c>
      <c r="T5" s="455"/>
      <c r="U5" s="455"/>
      <c r="V5" s="571">
        <f>V45</f>
        <v>4.0743498821503072</v>
      </c>
      <c r="AB5" s="571">
        <f>AB45</f>
        <v>-0.23134307396889536</v>
      </c>
      <c r="AC5" s="455"/>
      <c r="AD5" s="455"/>
      <c r="AE5" s="571">
        <f>AE45</f>
        <v>0.48392201586937561</v>
      </c>
      <c r="AQ5" s="707">
        <f>AQ45</f>
        <v>-0.3900055368027569</v>
      </c>
      <c r="AR5" s="455"/>
      <c r="AS5" s="455"/>
      <c r="AT5" s="707">
        <f>AT45</f>
        <v>4.1508681460793531</v>
      </c>
      <c r="AW5" s="629" t="s">
        <v>865</v>
      </c>
      <c r="AX5" s="770">
        <f>-'IncomeandExpenditure Data'!B53</f>
        <v>-211.59100000000035</v>
      </c>
      <c r="AY5" s="770">
        <f>-'IncomeandExpenditure Data'!C53</f>
        <v>-5691.5130000000208</v>
      </c>
      <c r="AZ5" s="771">
        <f>AX5</f>
        <v>-211.59100000000035</v>
      </c>
      <c r="BA5" s="776">
        <f>AY5</f>
        <v>-5691.5130000000208</v>
      </c>
      <c r="BB5" s="771">
        <f>-'IncomeandExpenditure Data'!F53</f>
        <v>18159.810999999987</v>
      </c>
      <c r="BC5" s="771">
        <f>-'IncomeandExpenditure Data'!G53</f>
        <v>17948.039999999804</v>
      </c>
      <c r="BD5" s="771">
        <f t="shared" ref="BD5:BD14" si="0">BB5</f>
        <v>18159.810999999987</v>
      </c>
      <c r="BE5" s="774">
        <f t="shared" ref="BE5:BE14" si="1">BC5</f>
        <v>17948.039999999804</v>
      </c>
    </row>
    <row r="6" spans="1:58" ht="15" customHeight="1">
      <c r="B6" s="456" t="s">
        <v>955</v>
      </c>
      <c r="C6" s="456"/>
      <c r="D6" s="572">
        <f>D53</f>
        <v>2689.8653534413143</v>
      </c>
      <c r="E6" s="662"/>
      <c r="F6" s="455"/>
      <c r="G6" s="572">
        <f>G53</f>
        <v>-4.6980781717270954</v>
      </c>
      <c r="S6" s="572">
        <f>S53</f>
        <v>2689.8653534413143</v>
      </c>
      <c r="T6" s="455"/>
      <c r="U6" s="455"/>
      <c r="V6" s="572">
        <f>V53</f>
        <v>674.78629120640119</v>
      </c>
      <c r="AA6" s="456"/>
      <c r="AB6" s="572">
        <f>AB53</f>
        <v>100</v>
      </c>
      <c r="AC6" s="455"/>
      <c r="AD6" s="455"/>
      <c r="AE6" s="572">
        <f>AE53</f>
        <v>100</v>
      </c>
      <c r="AQ6" s="572">
        <f>AQ53</f>
        <v>100</v>
      </c>
      <c r="AR6" s="455"/>
      <c r="AS6" s="455"/>
      <c r="AT6" s="572">
        <f>AT53</f>
        <v>100</v>
      </c>
      <c r="AW6" s="629" t="s">
        <v>50</v>
      </c>
      <c r="AX6" s="772">
        <f>-'IncomeandExpenditure Data'!B23</f>
        <v>91461.998999999996</v>
      </c>
      <c r="AY6" s="772">
        <f>-'IncomeandExpenditure Data'!C23</f>
        <v>88287.161999999997</v>
      </c>
      <c r="AZ6" s="773">
        <f>AX6-43042+(24000/12*4)-(6500/12*4)</f>
        <v>54253.332333333332</v>
      </c>
      <c r="BA6" s="777">
        <f>AY6-41615+(24000/12*4)-(6500/12*4)</f>
        <v>52505.495333333332</v>
      </c>
      <c r="BB6" s="773">
        <f>-'IncomeandExpenditure Data'!F23</f>
        <v>549636.28700000001</v>
      </c>
      <c r="BC6" s="773">
        <f>-'IncomeandExpenditure Data'!G23</f>
        <v>551852.97799999989</v>
      </c>
      <c r="BD6" s="773">
        <f>BB6-129642+24000-6500</f>
        <v>437494.28700000001</v>
      </c>
      <c r="BE6" s="775">
        <f>BC6-128840+24000-6500</f>
        <v>440512.97799999989</v>
      </c>
    </row>
    <row r="7" spans="1:58" ht="15" customHeight="1">
      <c r="B7" s="457" t="s">
        <v>956</v>
      </c>
      <c r="D7" s="572">
        <f>D77</f>
        <v>-2.2064119153428643</v>
      </c>
      <c r="E7" s="662"/>
      <c r="F7" s="455"/>
      <c r="G7" s="572">
        <f>G77</f>
        <v>-7.6999660168513797</v>
      </c>
      <c r="S7" s="572">
        <f>S77</f>
        <v>-2.2064119153428643</v>
      </c>
      <c r="T7" s="455"/>
      <c r="U7" s="455"/>
      <c r="V7" s="572">
        <f>V77</f>
        <v>-2.825541842426126</v>
      </c>
      <c r="AB7" s="572">
        <f>AB77</f>
        <v>-0.63246572457838524</v>
      </c>
      <c r="AC7" s="455"/>
      <c r="AD7" s="455"/>
      <c r="AE7" s="572">
        <f>AE77</f>
        <v>-6.9858093852999597</v>
      </c>
      <c r="AQ7" s="572">
        <f>AQ77</f>
        <v>-0.63246572457838524</v>
      </c>
      <c r="AR7" s="455"/>
      <c r="AS7" s="455"/>
      <c r="AT7" s="572">
        <f>AT77</f>
        <v>-2.7879635572816412</v>
      </c>
      <c r="AW7" s="629" t="s">
        <v>600</v>
      </c>
      <c r="AX7" s="772">
        <v>0</v>
      </c>
      <c r="AY7" s="773">
        <v>0</v>
      </c>
      <c r="AZ7" s="773">
        <v>0</v>
      </c>
      <c r="BA7" s="773">
        <v>0</v>
      </c>
      <c r="BB7" s="773">
        <f>-'IncomeandExpenditure Data'!AI63</f>
        <v>-15500</v>
      </c>
      <c r="BC7" s="773">
        <f>-'IncomeandExpenditure Data'!U63</f>
        <v>-15500</v>
      </c>
      <c r="BD7" s="773">
        <f t="shared" si="0"/>
        <v>-15500</v>
      </c>
      <c r="BE7" s="775">
        <f t="shared" si="1"/>
        <v>-15500</v>
      </c>
    </row>
    <row r="8" spans="1:58" ht="15" customHeight="1">
      <c r="B8" s="458" t="s">
        <v>957</v>
      </c>
      <c r="D8" s="572">
        <f>D87</f>
        <v>-8.6140961241907643</v>
      </c>
      <c r="E8" s="662"/>
      <c r="F8" s="455"/>
      <c r="G8" s="572">
        <f>G87</f>
        <v>0.95037667804336923</v>
      </c>
      <c r="S8" s="572">
        <f>S87</f>
        <v>-14.48446672432755</v>
      </c>
      <c r="T8" s="455"/>
      <c r="U8" s="455"/>
      <c r="V8" s="572">
        <f>V87</f>
        <v>4.7092101790471679</v>
      </c>
      <c r="AB8" s="572">
        <f>AB87</f>
        <v>-2.3907098291171183</v>
      </c>
      <c r="AC8" s="455"/>
      <c r="AD8" s="455"/>
      <c r="AE8" s="572">
        <f>AE87</f>
        <v>0.98734510954877808</v>
      </c>
      <c r="AQ8" s="572">
        <f>AQ87</f>
        <v>-4.0303349231445376</v>
      </c>
      <c r="AR8" s="455"/>
      <c r="AS8" s="455"/>
      <c r="AT8" s="572">
        <f>AT87</f>
        <v>4.7833326335527637</v>
      </c>
      <c r="AW8" s="629" t="s">
        <v>729</v>
      </c>
      <c r="AX8" s="772">
        <f>-'IncomeandExpenditure Data'!B69</f>
        <v>-5850.5910000000003</v>
      </c>
      <c r="AY8" s="772">
        <f>-'IncomeandExpenditure Data'!C69</f>
        <v>-11087.739000000021</v>
      </c>
      <c r="AZ8" s="773">
        <f>AX8</f>
        <v>-5850.5910000000003</v>
      </c>
      <c r="BA8" s="777">
        <f>AY8</f>
        <v>-11087.739000000021</v>
      </c>
      <c r="BB8" s="773">
        <f>-'IncomeandExpenditure Data'!F69</f>
        <v>-15570.193000000014</v>
      </c>
      <c r="BC8" s="773">
        <f>-'IncomeandExpenditure Data'!G69</f>
        <v>-15570.190000000199</v>
      </c>
      <c r="BD8" s="773">
        <f t="shared" si="0"/>
        <v>-15570.193000000014</v>
      </c>
      <c r="BE8" s="775">
        <f t="shared" si="1"/>
        <v>-15570.190000000199</v>
      </c>
    </row>
    <row r="9" spans="1:58" ht="15" customHeight="1">
      <c r="B9" s="458" t="s">
        <v>958</v>
      </c>
      <c r="D9" s="573">
        <f>D105</f>
        <v>-2.541424956246717</v>
      </c>
      <c r="E9" s="662"/>
      <c r="F9" s="455"/>
      <c r="G9" s="573">
        <f>G105</f>
        <v>12.413824923866759</v>
      </c>
      <c r="S9" s="573">
        <f>S105</f>
        <v>-0.62481993920428713</v>
      </c>
      <c r="T9" s="455"/>
      <c r="U9" s="455"/>
      <c r="V9" s="573">
        <f>V105</f>
        <v>12.053434388726334</v>
      </c>
      <c r="AB9" s="573">
        <f>AB105</f>
        <v>-1.312398696287558</v>
      </c>
      <c r="AC9" s="455"/>
      <c r="AD9" s="455"/>
      <c r="AE9" s="573">
        <f>AE105</f>
        <v>14.179278746808604</v>
      </c>
      <c r="AQ9" s="573">
        <f>AQ105</f>
        <v>-1.312398696287558</v>
      </c>
      <c r="AR9" s="455"/>
      <c r="AS9" s="455"/>
      <c r="AT9" s="573">
        <f>AT105</f>
        <v>13.765753726417048</v>
      </c>
      <c r="AW9" s="629" t="s">
        <v>881</v>
      </c>
      <c r="AX9" s="711">
        <f>'IncomeandExpenditure Data'!B54</f>
        <v>3664</v>
      </c>
      <c r="AY9" s="711">
        <f>'IncomeandExpenditure Data'!C54</f>
        <v>3482.598</v>
      </c>
      <c r="AZ9" s="712">
        <f>AX9</f>
        <v>3664</v>
      </c>
      <c r="BA9" s="715">
        <f>AY9</f>
        <v>3482.598</v>
      </c>
      <c r="BB9" s="712">
        <f>'IncomeandExpenditure Data'!F54</f>
        <v>36497</v>
      </c>
      <c r="BC9" s="712">
        <f>'IncomeandExpenditure Data'!G54</f>
        <v>36314.872000000003</v>
      </c>
      <c r="BD9" s="712">
        <f t="shared" si="0"/>
        <v>36497</v>
      </c>
      <c r="BE9" s="716">
        <f t="shared" si="1"/>
        <v>36314.872000000003</v>
      </c>
    </row>
    <row r="10" spans="1:58" ht="15" customHeight="1">
      <c r="B10" s="458"/>
      <c r="D10" s="455"/>
      <c r="E10" s="455"/>
      <c r="F10" s="455"/>
      <c r="G10" s="455"/>
      <c r="S10" s="455"/>
      <c r="T10" s="455"/>
      <c r="U10" s="455"/>
      <c r="V10" s="455"/>
      <c r="AB10" s="455"/>
      <c r="AC10" s="455"/>
      <c r="AD10" s="455"/>
      <c r="AE10" s="455"/>
      <c r="AQ10" s="455"/>
      <c r="AR10" s="455"/>
      <c r="AS10" s="455"/>
      <c r="AT10" s="455"/>
      <c r="AW10" s="713" t="s">
        <v>821</v>
      </c>
      <c r="AX10" s="714">
        <f>SOFP!C18+SOFP!C24</f>
        <v>-16954</v>
      </c>
      <c r="AY10" s="715">
        <f>SOFP!D18+SOFP!D24</f>
        <v>-17942</v>
      </c>
      <c r="AZ10" s="715">
        <f>AX10</f>
        <v>-16954</v>
      </c>
      <c r="BA10" s="715">
        <f>AZ10</f>
        <v>-16954</v>
      </c>
      <c r="BB10" s="715">
        <f>SOFP!M18+SOFP!M24</f>
        <v>-16767</v>
      </c>
      <c r="BC10" s="715">
        <f>SOFP!N18+SOFP!N24</f>
        <v>-18840</v>
      </c>
      <c r="BD10" s="715">
        <f t="shared" si="0"/>
        <v>-16767</v>
      </c>
      <c r="BE10" s="715">
        <f t="shared" si="1"/>
        <v>-18840</v>
      </c>
      <c r="BF10" s="778" t="s">
        <v>882</v>
      </c>
    </row>
    <row r="11" spans="1:58" ht="12.75" customHeight="1">
      <c r="B11" s="459" t="s">
        <v>959</v>
      </c>
      <c r="C11" s="454"/>
      <c r="D11" s="455"/>
      <c r="E11" s="455"/>
      <c r="F11" s="455"/>
      <c r="G11" s="455"/>
      <c r="S11" s="455"/>
      <c r="T11" s="455"/>
      <c r="U11" s="455"/>
      <c r="V11" s="455"/>
      <c r="AA11" s="454"/>
      <c r="AB11" s="455" t="s">
        <v>542</v>
      </c>
      <c r="AC11" s="455"/>
      <c r="AD11" s="455"/>
      <c r="AE11" s="455" t="s">
        <v>541</v>
      </c>
      <c r="AQ11" s="455"/>
      <c r="AR11" s="455"/>
      <c r="AS11" s="455"/>
      <c r="AT11" s="455"/>
      <c r="AW11" s="713" t="s">
        <v>822</v>
      </c>
      <c r="AX11" s="714">
        <f>SOFP!C14</f>
        <v>6967</v>
      </c>
      <c r="AY11" s="715">
        <f>SOFP!D14</f>
        <v>7480</v>
      </c>
      <c r="AZ11" s="715">
        <f>AX11</f>
        <v>6967</v>
      </c>
      <c r="BA11" s="715">
        <f>AZ11</f>
        <v>6967</v>
      </c>
      <c r="BB11" s="715">
        <f>SOFP!M14</f>
        <v>7200</v>
      </c>
      <c r="BC11" s="715">
        <f>SOFP!N14</f>
        <v>7713</v>
      </c>
      <c r="BD11" s="715">
        <f t="shared" si="0"/>
        <v>7200</v>
      </c>
      <c r="BE11" s="715">
        <f t="shared" si="1"/>
        <v>7713</v>
      </c>
      <c r="BF11" s="778" t="s">
        <v>882</v>
      </c>
    </row>
    <row r="12" spans="1:58" ht="12.75" customHeight="1">
      <c r="B12" s="458" t="s">
        <v>954</v>
      </c>
      <c r="D12" s="574">
        <f>D47</f>
        <v>1</v>
      </c>
      <c r="E12" s="455"/>
      <c r="F12" s="455"/>
      <c r="G12" s="574">
        <f>G47</f>
        <v>1</v>
      </c>
      <c r="H12" s="460">
        <f>ROUND(D12,0)</f>
        <v>1</v>
      </c>
      <c r="I12" s="460"/>
      <c r="J12" s="460">
        <f>ROUND(G12,0)</f>
        <v>1</v>
      </c>
      <c r="S12" s="574">
        <f>S47</f>
        <v>1</v>
      </c>
      <c r="T12" s="461"/>
      <c r="U12" s="461"/>
      <c r="V12" s="574">
        <f>V47</f>
        <v>2</v>
      </c>
      <c r="W12" s="460">
        <f>ROUND(S12,0)</f>
        <v>1</v>
      </c>
      <c r="X12" s="666">
        <f>ROUND(V12,0)</f>
        <v>2</v>
      </c>
      <c r="AB12" s="574">
        <f>AB47</f>
        <v>1</v>
      </c>
      <c r="AC12" s="455"/>
      <c r="AD12" s="455"/>
      <c r="AE12" s="574">
        <v>3</v>
      </c>
      <c r="AF12" s="460">
        <f>ROUND(AB12,0)</f>
        <v>1</v>
      </c>
      <c r="AG12" s="460"/>
      <c r="AH12" s="460">
        <f>ROUND(AE12,0)</f>
        <v>3</v>
      </c>
      <c r="AQ12" s="574">
        <f>AQ47</f>
        <v>1</v>
      </c>
      <c r="AR12" s="461"/>
      <c r="AS12" s="461"/>
      <c r="AT12" s="574">
        <f>AT47</f>
        <v>2</v>
      </c>
      <c r="AU12" s="460">
        <f>ROUND(AQ12,0)</f>
        <v>1</v>
      </c>
      <c r="AW12" s="713" t="s">
        <v>823</v>
      </c>
      <c r="AX12" s="714">
        <f>SOFP!C17</f>
        <v>0</v>
      </c>
      <c r="AY12" s="715">
        <f>SOFP!D17</f>
        <v>63</v>
      </c>
      <c r="AZ12" s="715">
        <f>AX12</f>
        <v>0</v>
      </c>
      <c r="BA12" s="715">
        <f>AY12</f>
        <v>63</v>
      </c>
      <c r="BB12" s="715">
        <f>SOFP!M17</f>
        <v>0</v>
      </c>
      <c r="BC12" s="715">
        <f>SOFP!N17</f>
        <v>63</v>
      </c>
      <c r="BD12" s="715">
        <f t="shared" si="0"/>
        <v>0</v>
      </c>
      <c r="BE12" s="716">
        <f t="shared" si="1"/>
        <v>63</v>
      </c>
      <c r="BF12" s="778" t="s">
        <v>882</v>
      </c>
    </row>
    <row r="13" spans="1:58" ht="12.75" customHeight="1">
      <c r="B13" s="458" t="s">
        <v>955</v>
      </c>
      <c r="D13" s="575">
        <f>D55</f>
        <v>5</v>
      </c>
      <c r="E13" s="455"/>
      <c r="F13" s="455"/>
      <c r="G13" s="575">
        <f>G55</f>
        <v>1</v>
      </c>
      <c r="H13" s="460">
        <f>ROUND(D13,0)</f>
        <v>5</v>
      </c>
      <c r="I13" s="460"/>
      <c r="J13" s="460">
        <f>ROUND(G13,0)</f>
        <v>1</v>
      </c>
      <c r="S13" s="575">
        <f>S55</f>
        <v>5</v>
      </c>
      <c r="T13" s="461"/>
      <c r="U13" s="461"/>
      <c r="V13" s="575">
        <f>V55</f>
        <v>5</v>
      </c>
      <c r="W13" s="460">
        <f>ROUND(S13,0)</f>
        <v>5</v>
      </c>
      <c r="X13" s="666">
        <f>ROUND(V13,0)</f>
        <v>5</v>
      </c>
      <c r="AB13" s="575">
        <f>AB55</f>
        <v>5</v>
      </c>
      <c r="AC13" s="455"/>
      <c r="AD13" s="455"/>
      <c r="AE13" s="575">
        <v>4</v>
      </c>
      <c r="AF13" s="460">
        <f>ROUND(AB13,0)</f>
        <v>5</v>
      </c>
      <c r="AG13" s="460"/>
      <c r="AH13" s="460">
        <f>ROUND(AE13,0)</f>
        <v>4</v>
      </c>
      <c r="AQ13" s="575">
        <f>AQ55</f>
        <v>5</v>
      </c>
      <c r="AR13" s="461"/>
      <c r="AS13" s="461"/>
      <c r="AT13" s="575">
        <f>AT55</f>
        <v>5</v>
      </c>
      <c r="AU13" s="460">
        <f>ROUND(AQ13,0)</f>
        <v>5</v>
      </c>
      <c r="AW13" s="717" t="s">
        <v>830</v>
      </c>
      <c r="AX13" s="711">
        <f>+-AX14/AX15*30</f>
        <v>22918.397499999999</v>
      </c>
      <c r="AY13" s="712">
        <f>+-AY14/AY15*30</f>
        <v>23494.668750000004</v>
      </c>
      <c r="AZ13" s="712">
        <f>+-AZ14/AZ15*30</f>
        <v>22918.397499999999</v>
      </c>
      <c r="BA13" s="715">
        <f>+AY13</f>
        <v>23494.668750000004</v>
      </c>
      <c r="BB13" s="712">
        <f>+-BB14/BB15*30</f>
        <v>44289.706333333335</v>
      </c>
      <c r="BC13" s="712">
        <f>+-BC14/BC15*30</f>
        <v>44492.078166666673</v>
      </c>
      <c r="BD13" s="712">
        <f t="shared" si="0"/>
        <v>44289.706333333335</v>
      </c>
      <c r="BE13" s="716">
        <f t="shared" si="1"/>
        <v>44492.078166666673</v>
      </c>
    </row>
    <row r="14" spans="1:58" ht="12.75" customHeight="1">
      <c r="B14" s="457" t="s">
        <v>956</v>
      </c>
      <c r="C14" s="576">
        <f>D79</f>
        <v>2</v>
      </c>
      <c r="D14" s="577">
        <f>AVERAGE(C14:C15)</f>
        <v>1.5</v>
      </c>
      <c r="E14" s="455"/>
      <c r="F14" s="576">
        <f>G79</f>
        <v>1</v>
      </c>
      <c r="G14" s="577">
        <f>AVERAGE(F14:F15)</f>
        <v>1.5</v>
      </c>
      <c r="H14" s="460">
        <f>ROUND(AVERAGE(D14:D15),0)</f>
        <v>2</v>
      </c>
      <c r="I14" s="460"/>
      <c r="J14" s="460">
        <f>ROUND(AVERAGE(G14:G15),0)</f>
        <v>2</v>
      </c>
      <c r="R14" s="576">
        <f>S79</f>
        <v>2</v>
      </c>
      <c r="S14" s="577">
        <f>AVERAGE(R14:R15)</f>
        <v>1.5</v>
      </c>
      <c r="T14" s="461"/>
      <c r="U14" s="576">
        <f>V79</f>
        <v>2</v>
      </c>
      <c r="V14" s="577">
        <f>AVERAGE(U14:U15)</f>
        <v>3.5</v>
      </c>
      <c r="W14" s="460">
        <f>ROUND(AVERAGE(S14:S15),0)</f>
        <v>2</v>
      </c>
      <c r="X14" s="666">
        <f>ROUND(AVERAGE(V14:V15),0)</f>
        <v>4</v>
      </c>
      <c r="AA14" s="576">
        <f>AB79</f>
        <v>2</v>
      </c>
      <c r="AB14" s="577">
        <f>AVERAGE(AA14:AA15)</f>
        <v>1.5</v>
      </c>
      <c r="AC14" s="455"/>
      <c r="AD14" s="576">
        <v>3</v>
      </c>
      <c r="AE14" s="577">
        <v>3</v>
      </c>
      <c r="AF14" s="460">
        <f>ROUND(AVERAGE(AB14:AB15),0)</f>
        <v>2</v>
      </c>
      <c r="AG14" s="460"/>
      <c r="AH14" s="460">
        <f>ROUND(AVERAGE(AE14:AE15),0)</f>
        <v>3</v>
      </c>
      <c r="AP14" s="576">
        <f>AQ79</f>
        <v>2</v>
      </c>
      <c r="AQ14" s="577">
        <f>AVERAGE(AP14:AP15)</f>
        <v>1.5</v>
      </c>
      <c r="AR14" s="461"/>
      <c r="AS14" s="576">
        <f>AT79</f>
        <v>2</v>
      </c>
      <c r="AT14" s="577">
        <f>AVERAGE(AS14:AS15)</f>
        <v>3.5</v>
      </c>
      <c r="AU14" s="460">
        <f>ROUND(AVERAGE(AQ14:AQ15),0)</f>
        <v>2</v>
      </c>
      <c r="AW14" s="713" t="s">
        <v>825</v>
      </c>
      <c r="AX14" s="711">
        <f>-'Operating Costs'!B47</f>
        <v>-91673.59</v>
      </c>
      <c r="AY14" s="712">
        <f>-'Operating Costs'!C47</f>
        <v>-93978.675000000017</v>
      </c>
      <c r="AZ14" s="712">
        <f>+AX14</f>
        <v>-91673.59</v>
      </c>
      <c r="BA14" s="715">
        <f>AY14</f>
        <v>-93978.675000000017</v>
      </c>
      <c r="BB14" s="712">
        <f>-'Operating Costs'!H47</f>
        <v>-531476.47600000002</v>
      </c>
      <c r="BC14" s="712">
        <f>-'Operating Costs'!I47</f>
        <v>-533904.93800000008</v>
      </c>
      <c r="BD14" s="712">
        <f t="shared" si="0"/>
        <v>-531476.47600000002</v>
      </c>
      <c r="BE14" s="716">
        <f t="shared" si="1"/>
        <v>-533904.93800000008</v>
      </c>
    </row>
    <row r="15" spans="1:58" ht="12.75" customHeight="1">
      <c r="B15" s="453" t="s">
        <v>957</v>
      </c>
      <c r="C15" s="578">
        <f>D89</f>
        <v>1</v>
      </c>
      <c r="D15" s="461"/>
      <c r="E15" s="455"/>
      <c r="F15" s="578">
        <f>G89</f>
        <v>2</v>
      </c>
      <c r="G15" s="461"/>
      <c r="H15" s="460"/>
      <c r="I15" s="460"/>
      <c r="J15" s="460"/>
      <c r="R15" s="578">
        <f>S89</f>
        <v>1</v>
      </c>
      <c r="S15" s="461"/>
      <c r="T15" s="461"/>
      <c r="U15" s="578">
        <f>V89</f>
        <v>5</v>
      </c>
      <c r="V15" s="461"/>
      <c r="W15" s="460"/>
      <c r="X15" s="666"/>
      <c r="AA15" s="578">
        <f>AB89</f>
        <v>1</v>
      </c>
      <c r="AB15" s="461"/>
      <c r="AC15" s="455"/>
      <c r="AD15" s="578">
        <v>3</v>
      </c>
      <c r="AE15" s="461"/>
      <c r="AF15" s="460"/>
      <c r="AG15" s="460"/>
      <c r="AH15" s="460"/>
      <c r="AP15" s="578">
        <f>AQ89</f>
        <v>1</v>
      </c>
      <c r="AQ15" s="461"/>
      <c r="AR15" s="461"/>
      <c r="AS15" s="578">
        <f>AT89</f>
        <v>5</v>
      </c>
      <c r="AT15" s="461"/>
      <c r="AU15" s="460"/>
      <c r="AW15" s="629" t="s">
        <v>826</v>
      </c>
      <c r="AX15" s="718">
        <f>30*$BA$3</f>
        <v>120</v>
      </c>
      <c r="AY15" s="719">
        <f>30*$BA$3</f>
        <v>120</v>
      </c>
      <c r="AZ15" s="719">
        <f>+AX15</f>
        <v>120</v>
      </c>
      <c r="BA15" s="719">
        <f>30*$BA$3</f>
        <v>120</v>
      </c>
      <c r="BB15" s="719">
        <v>360</v>
      </c>
      <c r="BC15" s="719">
        <v>360</v>
      </c>
      <c r="BD15" s="719">
        <f>+BB15</f>
        <v>360</v>
      </c>
      <c r="BE15" s="720">
        <v>360</v>
      </c>
    </row>
    <row r="16" spans="1:58" ht="12.75" customHeight="1">
      <c r="B16" s="453" t="s">
        <v>958</v>
      </c>
      <c r="D16" s="579">
        <f>D107</f>
        <v>1</v>
      </c>
      <c r="E16" s="455"/>
      <c r="F16" s="455"/>
      <c r="G16" s="579">
        <f>G107</f>
        <v>2</v>
      </c>
      <c r="H16" s="460">
        <f>ROUND(D16,0)</f>
        <v>1</v>
      </c>
      <c r="I16" s="460"/>
      <c r="J16" s="460">
        <f>ROUND(G16,0)</f>
        <v>2</v>
      </c>
      <c r="S16" s="579">
        <f>S107</f>
        <v>1</v>
      </c>
      <c r="T16" s="461"/>
      <c r="U16" s="461"/>
      <c r="V16" s="579">
        <f>V107</f>
        <v>2</v>
      </c>
      <c r="W16" s="460">
        <f>ROUND(S16,0)</f>
        <v>1</v>
      </c>
      <c r="X16" s="666">
        <f>ROUND(V16,0)</f>
        <v>2</v>
      </c>
      <c r="AB16" s="579">
        <f>AB107</f>
        <v>1</v>
      </c>
      <c r="AC16" s="455"/>
      <c r="AD16" s="455"/>
      <c r="AE16" s="579">
        <v>3</v>
      </c>
      <c r="AF16" s="460">
        <f>ROUND(AB16,0)</f>
        <v>1</v>
      </c>
      <c r="AG16" s="460"/>
      <c r="AH16" s="460">
        <f>ROUND(AE16,0)</f>
        <v>3</v>
      </c>
      <c r="AQ16" s="579">
        <f>AQ107</f>
        <v>1</v>
      </c>
      <c r="AR16" s="461"/>
      <c r="AS16" s="461"/>
      <c r="AT16" s="579">
        <f>AT107</f>
        <v>2</v>
      </c>
      <c r="AU16" s="460">
        <f>ROUND(AQ16,0)</f>
        <v>1</v>
      </c>
      <c r="AW16" s="721"/>
    </row>
    <row r="17" spans="2:57" ht="12.75" customHeight="1">
      <c r="D17" s="461"/>
      <c r="E17" s="455"/>
      <c r="F17" s="455"/>
      <c r="G17" s="461"/>
      <c r="S17" s="461"/>
      <c r="T17" s="461"/>
      <c r="U17" s="461"/>
      <c r="V17" s="461"/>
      <c r="AB17" s="461"/>
      <c r="AC17" s="455"/>
      <c r="AD17" s="455"/>
      <c r="AE17" s="461"/>
      <c r="AQ17" s="461"/>
      <c r="AR17" s="461"/>
      <c r="AS17" s="461"/>
      <c r="AT17" s="461"/>
      <c r="AW17" s="713" t="s">
        <v>883</v>
      </c>
      <c r="AX17" s="708">
        <v>0</v>
      </c>
      <c r="AY17" s="709">
        <v>0</v>
      </c>
      <c r="AZ17" s="709">
        <f t="shared" ref="AZ17:BA23" si="2">+AX17</f>
        <v>0</v>
      </c>
      <c r="BA17" s="709">
        <f t="shared" si="2"/>
        <v>0</v>
      </c>
      <c r="BB17" s="709">
        <v>0</v>
      </c>
      <c r="BC17" s="709">
        <v>-2573</v>
      </c>
      <c r="BD17" s="709">
        <f t="shared" ref="BD17:BE23" si="3">+BB17</f>
        <v>0</v>
      </c>
      <c r="BE17" s="710">
        <f t="shared" si="3"/>
        <v>-2573</v>
      </c>
    </row>
    <row r="18" spans="2:57" ht="12.75" customHeight="1">
      <c r="B18" s="456" t="s">
        <v>960</v>
      </c>
      <c r="C18" s="456"/>
      <c r="D18" s="722">
        <f>SUMPRODUCT(D12:D16,$J$113:$J$117)</f>
        <v>1.6</v>
      </c>
      <c r="E18" s="462"/>
      <c r="F18" s="462"/>
      <c r="G18" s="579">
        <f>SUMPRODUCT(G12:G16,$J$113:$J$117)</f>
        <v>1.4500000000000002</v>
      </c>
      <c r="S18" s="579">
        <f>SUMPRODUCT(S12:S16,$J$113:$J$117)</f>
        <v>1.6</v>
      </c>
      <c r="T18" s="461"/>
      <c r="U18" s="461"/>
      <c r="V18" s="579">
        <f>SUMPRODUCT(V12:V16,$J$113:$J$117)</f>
        <v>2.9000000000000004</v>
      </c>
      <c r="AA18" s="456"/>
      <c r="AB18" s="780">
        <f>SUMPRODUCT(AB12:AB16,$J$113:$J$117)</f>
        <v>1.6</v>
      </c>
      <c r="AC18" s="462"/>
      <c r="AD18" s="462"/>
      <c r="AE18" s="579">
        <f>SUMPRODUCT(AE12:AE16,$J$113:$J$117)</f>
        <v>3.1</v>
      </c>
      <c r="AQ18" s="579">
        <f>SUMPRODUCT(AQ12:AQ16,$J$113:$J$117)</f>
        <v>1.6</v>
      </c>
      <c r="AR18" s="461"/>
      <c r="AS18" s="461"/>
      <c r="AT18" s="579">
        <f>SUMPRODUCT(AT12:AT16,$J$113:$J$117)</f>
        <v>2.9000000000000004</v>
      </c>
      <c r="AW18" s="723" t="s">
        <v>970</v>
      </c>
      <c r="AX18" s="714">
        <f>-Surplus!B24-Surplus!B25</f>
        <v>-860</v>
      </c>
      <c r="AY18" s="715">
        <f>-Surplus!C24-Surplus!C25</f>
        <v>-875.35400000000004</v>
      </c>
      <c r="AZ18" s="715">
        <f t="shared" si="2"/>
        <v>-860</v>
      </c>
      <c r="BA18" s="715">
        <f t="shared" si="2"/>
        <v>-875.35400000000004</v>
      </c>
      <c r="BB18" s="715">
        <f>-Surplus!G24-Surplus!G25</f>
        <v>-5569.0039999999999</v>
      </c>
      <c r="BC18" s="715">
        <f>-Surplus!H24-Surplus!H25</f>
        <v>-5539.3580000000002</v>
      </c>
      <c r="BD18" s="715">
        <f t="shared" si="3"/>
        <v>-5569.0039999999999</v>
      </c>
      <c r="BE18" s="716">
        <f t="shared" si="3"/>
        <v>-5539.3580000000002</v>
      </c>
    </row>
    <row r="19" spans="2:57">
      <c r="B19" s="454" t="s">
        <v>961</v>
      </c>
      <c r="C19" s="454"/>
      <c r="D19" s="580">
        <f>MIN(D18,4,IF(D21&gt;1,"1",IF(D21=1,"2",IF(D22&gt;1,"2",IF(D22=1,"3",D18)))))</f>
        <v>1</v>
      </c>
      <c r="E19" s="463"/>
      <c r="F19" s="463"/>
      <c r="G19" s="580">
        <f>MIN(G18,4,IF(G21&gt;1,"1",IF(G21=1,"2",IF(G22&gt;1,"2",IF(G22=1,"3",G18)))))</f>
        <v>1</v>
      </c>
      <c r="S19" s="580">
        <f>MIN(S18,4,IF(S21&gt;1,"1",IF(S21=1,"2",IF(S22&gt;1,"2",IF(S22=1,"3",S18)))))</f>
        <v>1</v>
      </c>
      <c r="T19" s="464"/>
      <c r="U19" s="464"/>
      <c r="V19" s="580">
        <f>MIN(V18,4,IF(V21&gt;1,"1",IF(V21=1,"2",IF(V22&gt;1,"2",IF(V22=1,"3",V18)))))</f>
        <v>2</v>
      </c>
      <c r="AA19" s="454"/>
      <c r="AB19" s="580">
        <f>MIN(AB18,4,IF(AB21&gt;1,"1",IF(AB21=1,"2",IF(AB22&gt;1,"2",IF(AB22=1,"3",AB18)))))</f>
        <v>1</v>
      </c>
      <c r="AC19" s="463"/>
      <c r="AD19" s="463"/>
      <c r="AE19" s="580">
        <f>MIN(AE18,4,IF(AE21&gt;1,"1",IF(AE21=1,"2",IF(AE22&gt;1,"2",IF(AE22=1,"3",AE18)))))</f>
        <v>3.1</v>
      </c>
      <c r="AQ19" s="580">
        <f>MIN(AQ18,4,IF(AQ21&gt;1,"1",IF(AQ21=1,"2",IF(AQ22&gt;1,"2",IF(AQ22=1,"3",AQ18)))))</f>
        <v>1</v>
      </c>
      <c r="AR19" s="464"/>
      <c r="AS19" s="464"/>
      <c r="AT19" s="580">
        <f>MIN(AT18,4,IF(AT21&gt;1,"1",IF(AT21=1,"2",IF(AT22&gt;1,"2",IF(AT22=1,"3",AT18)))))</f>
        <v>2</v>
      </c>
      <c r="AW19" s="723" t="s">
        <v>971</v>
      </c>
      <c r="AX19" s="711">
        <f>-'IncomeandExpenditure Data'!B57</f>
        <v>0</v>
      </c>
      <c r="AY19" s="711">
        <f>-'IncomeandExpenditure Data'!C57</f>
        <v>0</v>
      </c>
      <c r="AZ19" s="712">
        <f t="shared" si="2"/>
        <v>0</v>
      </c>
      <c r="BA19" s="715">
        <f t="shared" si="2"/>
        <v>0</v>
      </c>
      <c r="BB19" s="712">
        <f>-'IncomeandExpenditure Data'!F57-'IncomeandExpenditure Data'!F63</f>
        <v>-15500</v>
      </c>
      <c r="BC19" s="712">
        <f>-'IncomeandExpenditure Data'!G57-'IncomeandExpenditure Data'!G63</f>
        <v>-15500</v>
      </c>
      <c r="BD19" s="712">
        <f t="shared" si="3"/>
        <v>-15500</v>
      </c>
      <c r="BE19" s="716">
        <f t="shared" si="3"/>
        <v>-15500</v>
      </c>
    </row>
    <row r="20" spans="2:57">
      <c r="AW20" s="723" t="s">
        <v>732</v>
      </c>
      <c r="AX20" s="711">
        <f>-'IncomeandExpenditure Data'!B58</f>
        <v>-1166</v>
      </c>
      <c r="AY20" s="711">
        <f>-'IncomeandExpenditure Data'!C58</f>
        <v>-1166</v>
      </c>
      <c r="AZ20" s="712">
        <f t="shared" si="2"/>
        <v>-1166</v>
      </c>
      <c r="BA20" s="715">
        <f t="shared" si="2"/>
        <v>-1166</v>
      </c>
      <c r="BB20" s="712">
        <f>-'IncomeandExpenditure Data'!F58</f>
        <v>-7385</v>
      </c>
      <c r="BC20" s="712">
        <f>-'IncomeandExpenditure Data'!G58</f>
        <v>-7385</v>
      </c>
      <c r="BD20" s="712">
        <f t="shared" si="3"/>
        <v>-7385</v>
      </c>
      <c r="BE20" s="716">
        <f t="shared" si="3"/>
        <v>-7385</v>
      </c>
    </row>
    <row r="21" spans="2:57">
      <c r="B21" s="465" t="s">
        <v>836</v>
      </c>
      <c r="C21" s="465"/>
      <c r="D21" s="581">
        <f>COUNTIF(D12:D16,1)</f>
        <v>2</v>
      </c>
      <c r="E21" s="465"/>
      <c r="F21" s="465"/>
      <c r="G21" s="581">
        <f>COUNTIF(G12:G16,1)</f>
        <v>2</v>
      </c>
      <c r="S21" s="581">
        <f>COUNTIF(S12:S16,1)</f>
        <v>2</v>
      </c>
      <c r="T21" s="465"/>
      <c r="U21" s="465"/>
      <c r="V21" s="581">
        <f>COUNTIF(V12:V16,1)</f>
        <v>0</v>
      </c>
      <c r="AA21" s="465"/>
      <c r="AB21" s="581">
        <f>COUNTIF(AB12:AB16,1)</f>
        <v>2</v>
      </c>
      <c r="AC21" s="465"/>
      <c r="AD21" s="465"/>
      <c r="AE21" s="581">
        <f>COUNTIF(AE12:AE16,1)</f>
        <v>0</v>
      </c>
      <c r="AQ21" s="581">
        <f>COUNTIF(AQ12:AQ16,1)</f>
        <v>2</v>
      </c>
      <c r="AR21" s="465"/>
      <c r="AS21" s="465"/>
      <c r="AT21" s="581">
        <f>COUNTIF(AT12:AT16,1)</f>
        <v>0</v>
      </c>
      <c r="AW21" s="713" t="s">
        <v>973</v>
      </c>
      <c r="AX21" s="724"/>
      <c r="AY21" s="715">
        <v>-24684</v>
      </c>
      <c r="AZ21" s="712">
        <f t="shared" si="2"/>
        <v>0</v>
      </c>
      <c r="BA21" s="715">
        <f t="shared" si="2"/>
        <v>-24684</v>
      </c>
      <c r="BB21" s="712">
        <v>-45203</v>
      </c>
      <c r="BC21" s="712">
        <f>BB21</f>
        <v>-45203</v>
      </c>
      <c r="BD21" s="712">
        <f t="shared" si="3"/>
        <v>-45203</v>
      </c>
      <c r="BE21" s="716">
        <f t="shared" si="3"/>
        <v>-45203</v>
      </c>
    </row>
    <row r="22" spans="2:57">
      <c r="B22" s="465" t="s">
        <v>837</v>
      </c>
      <c r="C22" s="465"/>
      <c r="D22" s="581">
        <f>COUNTIF(D12:D16,2)</f>
        <v>0</v>
      </c>
      <c r="E22" s="465"/>
      <c r="F22" s="465"/>
      <c r="G22" s="581">
        <f>COUNTIF(G12:G16,2)</f>
        <v>1</v>
      </c>
      <c r="S22" s="581">
        <f>COUNTIF(S12:S16,2)</f>
        <v>0</v>
      </c>
      <c r="T22" s="465"/>
      <c r="U22" s="465"/>
      <c r="V22" s="581">
        <f>COUNTIF(V12:V16,2)</f>
        <v>2</v>
      </c>
      <c r="AA22" s="465"/>
      <c r="AB22" s="581">
        <f>COUNTIF(AB12:AB16,2)</f>
        <v>0</v>
      </c>
      <c r="AC22" s="465"/>
      <c r="AD22" s="465"/>
      <c r="AE22" s="581">
        <f>COUNTIF(AE12:AE16,2)</f>
        <v>0</v>
      </c>
      <c r="AQ22" s="581">
        <f>COUNTIF(AQ12:AQ16,2)</f>
        <v>0</v>
      </c>
      <c r="AR22" s="465"/>
      <c r="AS22" s="465"/>
      <c r="AT22" s="581">
        <f>COUNTIF(AT12:AT16,2)</f>
        <v>2</v>
      </c>
      <c r="AW22" s="713" t="s">
        <v>974</v>
      </c>
      <c r="AX22" s="711">
        <f>SOFP!C20+SOFP!C25</f>
        <v>-140302</v>
      </c>
      <c r="AY22" s="711">
        <f>SOFP!D20+SOFP!D25-AY21</f>
        <v>-114469</v>
      </c>
      <c r="AZ22" s="712">
        <f t="shared" si="2"/>
        <v>-140302</v>
      </c>
      <c r="BA22" s="715">
        <f t="shared" si="2"/>
        <v>-114469</v>
      </c>
      <c r="BB22" s="712">
        <f>SOFP!M20+SOFP!M25-BB21</f>
        <v>-103993</v>
      </c>
      <c r="BC22" s="712">
        <f>SOFP!N20+SOFP!N25-BC21</f>
        <v>-105560</v>
      </c>
      <c r="BD22" s="712">
        <f t="shared" si="3"/>
        <v>-103993</v>
      </c>
      <c r="BE22" s="716">
        <f t="shared" si="3"/>
        <v>-105560</v>
      </c>
    </row>
    <row r="23" spans="2:57">
      <c r="AW23" s="713" t="s">
        <v>975</v>
      </c>
      <c r="AX23" s="711">
        <f>SOFP!C34</f>
        <v>-223431</v>
      </c>
      <c r="AY23" s="711">
        <f>SOFP!D34</f>
        <v>-217948</v>
      </c>
      <c r="AZ23" s="712">
        <f t="shared" si="2"/>
        <v>-223431</v>
      </c>
      <c r="BA23" s="715">
        <f t="shared" si="2"/>
        <v>-217948</v>
      </c>
      <c r="BB23" s="712">
        <f>SOFP!M34</f>
        <v>-245434</v>
      </c>
      <c r="BC23" s="712">
        <f>SOFP!N34</f>
        <v>-246937</v>
      </c>
      <c r="BD23" s="712">
        <f t="shared" si="3"/>
        <v>-245434</v>
      </c>
      <c r="BE23" s="716">
        <f t="shared" si="3"/>
        <v>-246937</v>
      </c>
    </row>
    <row r="24" spans="2:57" ht="15">
      <c r="H24" s="582"/>
      <c r="I24" s="582"/>
      <c r="J24" s="582"/>
      <c r="L24" s="582"/>
      <c r="M24" s="582"/>
      <c r="AF24" s="582"/>
      <c r="AG24" s="582"/>
      <c r="AH24" s="582"/>
      <c r="AJ24" s="582"/>
      <c r="AK24" s="582"/>
      <c r="AW24" s="725" t="s">
        <v>977</v>
      </c>
      <c r="AX24" s="714">
        <v>-24684</v>
      </c>
      <c r="AY24" s="715">
        <f>AX24</f>
        <v>-24684</v>
      </c>
      <c r="AZ24" s="715">
        <f t="shared" ref="AZ24:BE24" si="4">AY24</f>
        <v>-24684</v>
      </c>
      <c r="BA24" s="715">
        <f t="shared" si="4"/>
        <v>-24684</v>
      </c>
      <c r="BB24" s="715">
        <f t="shared" si="4"/>
        <v>-24684</v>
      </c>
      <c r="BC24" s="715">
        <f t="shared" si="4"/>
        <v>-24684</v>
      </c>
      <c r="BD24" s="715">
        <f t="shared" si="4"/>
        <v>-24684</v>
      </c>
      <c r="BE24" s="715">
        <f t="shared" si="4"/>
        <v>-24684</v>
      </c>
    </row>
    <row r="25" spans="2:57" ht="15.6">
      <c r="B25" s="583" t="s">
        <v>962</v>
      </c>
      <c r="C25" s="584"/>
      <c r="D25" s="584"/>
      <c r="E25" s="584"/>
      <c r="F25" s="584"/>
      <c r="G25" s="584"/>
      <c r="H25" s="584"/>
      <c r="I25" s="584"/>
      <c r="J25" s="584"/>
      <c r="K25" s="584"/>
      <c r="L25" s="584"/>
      <c r="M25" s="584"/>
      <c r="N25" s="584"/>
      <c r="O25" s="584"/>
      <c r="P25" s="584"/>
      <c r="Q25" s="584"/>
      <c r="R25" s="584"/>
      <c r="S25" s="584"/>
      <c r="T25" s="584"/>
      <c r="U25" s="584"/>
      <c r="V25" s="585"/>
      <c r="AA25" s="584"/>
      <c r="AB25" s="584"/>
      <c r="AC25" s="584"/>
      <c r="AD25" s="584"/>
      <c r="AE25" s="584"/>
      <c r="AF25" s="584"/>
      <c r="AG25" s="584"/>
      <c r="AH25" s="584"/>
      <c r="AI25" s="584"/>
      <c r="AJ25" s="584"/>
      <c r="AK25" s="584"/>
      <c r="AL25" s="584"/>
      <c r="AM25" s="584"/>
      <c r="AN25" s="584"/>
      <c r="AO25" s="584"/>
      <c r="AP25" s="584"/>
      <c r="AQ25" s="584"/>
      <c r="AR25" s="584"/>
      <c r="AS25" s="584"/>
      <c r="AT25" s="585"/>
      <c r="AW25" s="725" t="s">
        <v>884</v>
      </c>
      <c r="AX25" s="714">
        <f>SOFP!B25+SOFP!B20-AX24</f>
        <v>-105184</v>
      </c>
      <c r="AY25" s="715">
        <f>AX25</f>
        <v>-105184</v>
      </c>
      <c r="AZ25" s="715">
        <f t="shared" ref="AZ25:BE25" si="5">AY25</f>
        <v>-105184</v>
      </c>
      <c r="BA25" s="715">
        <f t="shared" si="5"/>
        <v>-105184</v>
      </c>
      <c r="BB25" s="715">
        <f t="shared" si="5"/>
        <v>-105184</v>
      </c>
      <c r="BC25" s="715">
        <f t="shared" si="5"/>
        <v>-105184</v>
      </c>
      <c r="BD25" s="715">
        <f t="shared" si="5"/>
        <v>-105184</v>
      </c>
      <c r="BE25" s="715">
        <f t="shared" si="5"/>
        <v>-105184</v>
      </c>
    </row>
    <row r="26" spans="2:57">
      <c r="B26" s="586" t="s">
        <v>963</v>
      </c>
      <c r="C26" s="587"/>
      <c r="D26" s="587"/>
      <c r="E26" s="587"/>
      <c r="F26" s="587"/>
      <c r="G26" s="587"/>
      <c r="H26" s="587"/>
      <c r="I26" s="587"/>
      <c r="J26" s="587"/>
      <c r="K26" s="587"/>
      <c r="L26" s="587"/>
      <c r="M26" s="587"/>
      <c r="N26" s="587"/>
      <c r="O26" s="587"/>
      <c r="P26" s="587"/>
      <c r="Q26" s="587"/>
      <c r="R26" s="587"/>
      <c r="S26" s="587"/>
      <c r="T26" s="587"/>
      <c r="U26" s="587"/>
      <c r="V26" s="588"/>
      <c r="AA26" s="587"/>
      <c r="AB26" s="587"/>
      <c r="AC26" s="587"/>
      <c r="AD26" s="587"/>
      <c r="AE26" s="587"/>
      <c r="AF26" s="587"/>
      <c r="AG26" s="587"/>
      <c r="AH26" s="587"/>
      <c r="AI26" s="587"/>
      <c r="AJ26" s="587"/>
      <c r="AK26" s="587"/>
      <c r="AL26" s="587"/>
      <c r="AM26" s="587"/>
      <c r="AN26" s="587"/>
      <c r="AO26" s="587"/>
      <c r="AP26" s="587"/>
      <c r="AQ26" s="587"/>
      <c r="AR26" s="587"/>
      <c r="AS26" s="587"/>
      <c r="AT26" s="588"/>
      <c r="AW26" s="725" t="s">
        <v>885</v>
      </c>
      <c r="AX26" s="726">
        <f>SOFP!B34</f>
        <v>-213976</v>
      </c>
      <c r="AY26" s="727">
        <f>AX26</f>
        <v>-213976</v>
      </c>
      <c r="AZ26" s="727">
        <f t="shared" ref="AZ26:BE26" si="6">AY26</f>
        <v>-213976</v>
      </c>
      <c r="BA26" s="727">
        <f t="shared" si="6"/>
        <v>-213976</v>
      </c>
      <c r="BB26" s="727">
        <f t="shared" si="6"/>
        <v>-213976</v>
      </c>
      <c r="BC26" s="727">
        <f t="shared" si="6"/>
        <v>-213976</v>
      </c>
      <c r="BD26" s="727">
        <f t="shared" si="6"/>
        <v>-213976</v>
      </c>
      <c r="BE26" s="727">
        <f t="shared" si="6"/>
        <v>-213976</v>
      </c>
    </row>
    <row r="27" spans="2:57">
      <c r="B27" s="2390"/>
      <c r="C27" s="2391"/>
      <c r="D27" s="2391"/>
      <c r="E27" s="2391"/>
      <c r="F27" s="2391"/>
      <c r="G27" s="2391"/>
      <c r="H27" s="2391"/>
      <c r="I27" s="2391"/>
      <c r="J27" s="2391"/>
      <c r="K27" s="2391"/>
      <c r="L27" s="2391"/>
      <c r="M27" s="2391"/>
      <c r="N27" s="2391"/>
      <c r="O27" s="2391"/>
      <c r="P27" s="2391"/>
      <c r="Q27" s="2391"/>
      <c r="R27" s="2391"/>
      <c r="S27" s="2391"/>
      <c r="T27" s="2391"/>
      <c r="U27" s="2391"/>
      <c r="V27" s="2392"/>
    </row>
    <row r="28" spans="2:57">
      <c r="B28" s="2393"/>
      <c r="C28" s="2394"/>
      <c r="D28" s="2394"/>
      <c r="E28" s="2394"/>
      <c r="F28" s="2394"/>
      <c r="G28" s="2394"/>
      <c r="H28" s="2394"/>
      <c r="I28" s="2394"/>
      <c r="J28" s="2394"/>
      <c r="K28" s="2394"/>
      <c r="L28" s="2394"/>
      <c r="M28" s="2394"/>
      <c r="N28" s="2394"/>
      <c r="O28" s="2394"/>
      <c r="P28" s="2394"/>
      <c r="Q28" s="2394"/>
      <c r="R28" s="2394"/>
      <c r="S28" s="2394"/>
      <c r="T28" s="2394"/>
      <c r="U28" s="2394"/>
      <c r="V28" s="2395"/>
      <c r="AW28" s="453" t="s">
        <v>886</v>
      </c>
      <c r="AX28" s="708"/>
      <c r="AY28" s="728" t="s">
        <v>887</v>
      </c>
      <c r="AZ28" s="709"/>
      <c r="BA28" s="728" t="s">
        <v>887</v>
      </c>
      <c r="BB28" s="709"/>
      <c r="BC28" s="728" t="s">
        <v>887</v>
      </c>
      <c r="BD28" s="709"/>
      <c r="BE28" s="729" t="s">
        <v>887</v>
      </c>
    </row>
    <row r="29" spans="2:57">
      <c r="B29" s="2393"/>
      <c r="C29" s="2394"/>
      <c r="D29" s="2394"/>
      <c r="E29" s="2394"/>
      <c r="F29" s="2394"/>
      <c r="G29" s="2394"/>
      <c r="H29" s="2394"/>
      <c r="I29" s="2394"/>
      <c r="J29" s="2394"/>
      <c r="K29" s="2394"/>
      <c r="L29" s="2394"/>
      <c r="M29" s="2394"/>
      <c r="N29" s="2394"/>
      <c r="O29" s="2394"/>
      <c r="P29" s="2394"/>
      <c r="Q29" s="2394"/>
      <c r="R29" s="2394"/>
      <c r="S29" s="2394"/>
      <c r="T29" s="2394"/>
      <c r="U29" s="2394"/>
      <c r="V29" s="2395"/>
      <c r="AW29" s="453" t="s">
        <v>888</v>
      </c>
      <c r="AX29" s="730" t="s">
        <v>887</v>
      </c>
      <c r="AY29" s="731" t="s">
        <v>887</v>
      </c>
      <c r="AZ29" s="712"/>
      <c r="BA29" s="731" t="s">
        <v>887</v>
      </c>
      <c r="BB29" s="731" t="s">
        <v>887</v>
      </c>
      <c r="BC29" s="731" t="s">
        <v>887</v>
      </c>
      <c r="BD29" s="712"/>
      <c r="BE29" s="732" t="s">
        <v>887</v>
      </c>
    </row>
    <row r="30" spans="2:57">
      <c r="B30" s="2393"/>
      <c r="C30" s="2394"/>
      <c r="D30" s="2394"/>
      <c r="E30" s="2394"/>
      <c r="F30" s="2394"/>
      <c r="G30" s="2394"/>
      <c r="H30" s="2394"/>
      <c r="I30" s="2394"/>
      <c r="J30" s="2394"/>
      <c r="K30" s="2394"/>
      <c r="L30" s="2394"/>
      <c r="M30" s="2394"/>
      <c r="N30" s="2394"/>
      <c r="O30" s="2394"/>
      <c r="P30" s="2394"/>
      <c r="Q30" s="2394"/>
      <c r="R30" s="2394"/>
      <c r="S30" s="2394"/>
      <c r="T30" s="2394"/>
      <c r="U30" s="2394"/>
      <c r="V30" s="2395"/>
      <c r="AW30" s="453" t="s">
        <v>889</v>
      </c>
      <c r="AX30" s="718"/>
      <c r="AY30" s="733" t="s">
        <v>887</v>
      </c>
      <c r="AZ30" s="719"/>
      <c r="BA30" s="733" t="s">
        <v>887</v>
      </c>
      <c r="BB30" s="719"/>
      <c r="BC30" s="733" t="s">
        <v>887</v>
      </c>
      <c r="BD30" s="719"/>
      <c r="BE30" s="734" t="s">
        <v>887</v>
      </c>
    </row>
    <row r="31" spans="2:57">
      <c r="B31" s="2393"/>
      <c r="C31" s="2394"/>
      <c r="D31" s="2394"/>
      <c r="E31" s="2394"/>
      <c r="F31" s="2394"/>
      <c r="G31" s="2394"/>
      <c r="H31" s="2394"/>
      <c r="I31" s="2394"/>
      <c r="J31" s="2394"/>
      <c r="K31" s="2394"/>
      <c r="L31" s="2394"/>
      <c r="M31" s="2394"/>
      <c r="N31" s="2394"/>
      <c r="O31" s="2394"/>
      <c r="P31" s="2394"/>
      <c r="Q31" s="2394"/>
      <c r="R31" s="2394"/>
      <c r="S31" s="2394"/>
      <c r="T31" s="2394"/>
      <c r="U31" s="2394"/>
      <c r="V31" s="2395"/>
    </row>
    <row r="32" spans="2:57">
      <c r="B32" s="2393"/>
      <c r="C32" s="2394"/>
      <c r="D32" s="2394"/>
      <c r="E32" s="2394"/>
      <c r="F32" s="2394"/>
      <c r="G32" s="2394"/>
      <c r="H32" s="2394"/>
      <c r="I32" s="2394"/>
      <c r="J32" s="2394"/>
      <c r="K32" s="2394"/>
      <c r="L32" s="2394"/>
      <c r="M32" s="2394"/>
      <c r="N32" s="2394"/>
      <c r="O32" s="2394"/>
      <c r="P32" s="2394"/>
      <c r="Q32" s="2394"/>
      <c r="R32" s="2394"/>
      <c r="S32" s="2394"/>
      <c r="T32" s="2394"/>
      <c r="U32" s="2394"/>
      <c r="V32" s="2395"/>
    </row>
    <row r="33" spans="1:57">
      <c r="B33" s="2396"/>
      <c r="C33" s="2397"/>
      <c r="D33" s="2397"/>
      <c r="E33" s="2397"/>
      <c r="F33" s="2397"/>
      <c r="G33" s="2397"/>
      <c r="H33" s="2397"/>
      <c r="I33" s="2397"/>
      <c r="J33" s="2397"/>
      <c r="K33" s="2397"/>
      <c r="L33" s="2397"/>
      <c r="M33" s="2397"/>
      <c r="N33" s="2397"/>
      <c r="O33" s="2397"/>
      <c r="P33" s="2397"/>
      <c r="Q33" s="2397"/>
      <c r="R33" s="2397"/>
      <c r="S33" s="2397"/>
      <c r="T33" s="2397"/>
      <c r="U33" s="2397"/>
      <c r="V33" s="2398"/>
    </row>
    <row r="34" spans="1:57" ht="15.6" thickBot="1">
      <c r="B34" s="582"/>
      <c r="C34" s="582"/>
      <c r="D34" s="582"/>
      <c r="E34" s="582"/>
      <c r="F34" s="582"/>
      <c r="G34" s="582"/>
      <c r="H34" s="582"/>
      <c r="I34" s="582"/>
      <c r="J34" s="582"/>
      <c r="M34" s="582"/>
      <c r="AA34" s="582"/>
      <c r="AB34" s="582"/>
      <c r="AC34" s="582"/>
      <c r="AD34" s="582"/>
      <c r="AE34" s="582"/>
      <c r="AF34" s="582"/>
      <c r="AG34" s="582"/>
      <c r="AH34" s="582"/>
      <c r="AK34" s="582"/>
    </row>
    <row r="35" spans="1:57" ht="13.8" thickBot="1">
      <c r="D35" s="604"/>
      <c r="E35" s="534"/>
      <c r="F35" s="534"/>
      <c r="G35" s="534"/>
      <c r="H35" s="534"/>
      <c r="I35" s="534"/>
      <c r="J35" s="534"/>
      <c r="K35" s="534"/>
      <c r="L35" s="534"/>
      <c r="M35" s="534"/>
      <c r="N35" s="534"/>
      <c r="O35" s="534"/>
      <c r="P35" s="534"/>
      <c r="Q35" s="534"/>
      <c r="R35" s="534"/>
      <c r="S35" s="534"/>
      <c r="T35" s="534"/>
      <c r="U35" s="534"/>
      <c r="V35" s="605"/>
      <c r="AQ35" s="2387" t="str">
        <f>AQ4</f>
        <v>SAME AS PLAN</v>
      </c>
      <c r="AR35" s="2388"/>
      <c r="AS35" s="2388"/>
      <c r="AT35" s="2389"/>
    </row>
    <row r="36" spans="1:57" ht="31.2">
      <c r="A36" s="567" t="s">
        <v>964</v>
      </c>
      <c r="D36" s="606" t="s">
        <v>949</v>
      </c>
      <c r="E36" s="607"/>
      <c r="F36" s="607"/>
      <c r="G36" s="607" t="s">
        <v>950</v>
      </c>
      <c r="H36" s="467"/>
      <c r="I36" s="467"/>
      <c r="J36" s="467"/>
      <c r="K36" s="467"/>
      <c r="L36" s="467"/>
      <c r="M36" s="467"/>
      <c r="N36" s="467"/>
      <c r="O36" s="467"/>
      <c r="P36" s="467"/>
      <c r="Q36" s="467"/>
      <c r="R36" s="467"/>
      <c r="S36" s="607" t="s">
        <v>949</v>
      </c>
      <c r="T36" s="607"/>
      <c r="U36" s="607"/>
      <c r="V36" s="608" t="s">
        <v>950</v>
      </c>
      <c r="AB36" s="658" t="s">
        <v>949</v>
      </c>
      <c r="AC36" s="658"/>
      <c r="AD36" s="658"/>
      <c r="AE36" s="658" t="s">
        <v>950</v>
      </c>
      <c r="AF36" s="660"/>
      <c r="AG36" s="660"/>
      <c r="AH36" s="660"/>
      <c r="AI36" s="660"/>
      <c r="AJ36" s="660"/>
      <c r="AK36" s="660"/>
      <c r="AL36" s="660"/>
      <c r="AM36" s="660"/>
      <c r="AN36" s="660"/>
      <c r="AO36" s="660"/>
      <c r="AP36" s="660"/>
      <c r="AQ36" s="735" t="s">
        <v>949</v>
      </c>
      <c r="AR36" s="735"/>
      <c r="AS36" s="735"/>
      <c r="AT36" s="735" t="s">
        <v>950</v>
      </c>
    </row>
    <row r="37" spans="1:57" ht="13.8">
      <c r="A37" s="570" t="s">
        <v>852</v>
      </c>
      <c r="D37" s="736" t="s">
        <v>890</v>
      </c>
      <c r="E37" s="467"/>
      <c r="F37" s="467"/>
      <c r="G37" s="736" t="s">
        <v>891</v>
      </c>
      <c r="H37" s="467"/>
      <c r="I37" s="467"/>
      <c r="J37" s="467"/>
      <c r="K37" s="467"/>
      <c r="L37" s="467"/>
      <c r="M37" s="467"/>
      <c r="N37" s="467"/>
      <c r="O37" s="467"/>
      <c r="P37" s="467"/>
      <c r="Q37" s="467"/>
      <c r="R37" s="467"/>
      <c r="S37" s="736" t="s">
        <v>892</v>
      </c>
      <c r="T37" s="467"/>
      <c r="U37" s="467"/>
      <c r="V37" s="736" t="s">
        <v>893</v>
      </c>
      <c r="AB37" s="736" t="s">
        <v>894</v>
      </c>
      <c r="AE37" s="736" t="s">
        <v>895</v>
      </c>
      <c r="AQ37" s="736" t="s">
        <v>896</v>
      </c>
      <c r="AT37" s="736" t="s">
        <v>897</v>
      </c>
    </row>
    <row r="38" spans="1:57">
      <c r="A38" s="466"/>
      <c r="B38" s="466"/>
      <c r="C38" s="466"/>
      <c r="D38" s="526"/>
      <c r="E38" s="467"/>
      <c r="F38" s="467"/>
      <c r="G38" s="467"/>
      <c r="H38" s="467"/>
      <c r="I38" s="467"/>
      <c r="J38" s="467"/>
      <c r="K38" s="467"/>
      <c r="L38" s="467"/>
      <c r="M38" s="467"/>
      <c r="N38" s="467"/>
      <c r="O38" s="467"/>
      <c r="P38" s="467"/>
      <c r="Q38" s="467"/>
      <c r="R38" s="467"/>
      <c r="S38" s="467"/>
      <c r="T38" s="467"/>
      <c r="U38" s="467"/>
      <c r="V38" s="527"/>
      <c r="AA38" s="466"/>
    </row>
    <row r="39" spans="1:57">
      <c r="D39" s="526"/>
      <c r="E39" s="609"/>
      <c r="F39" s="609"/>
      <c r="G39" s="467"/>
      <c r="H39" s="467"/>
      <c r="I39" s="467"/>
      <c r="J39" s="467"/>
      <c r="K39" s="467"/>
      <c r="L39" s="467"/>
      <c r="M39" s="467"/>
      <c r="N39" s="467"/>
      <c r="O39" s="467"/>
      <c r="P39" s="467"/>
      <c r="Q39" s="467"/>
      <c r="R39" s="467"/>
      <c r="S39" s="467"/>
      <c r="T39" s="609"/>
      <c r="U39" s="609"/>
      <c r="V39" s="527"/>
      <c r="AC39" s="2"/>
      <c r="AD39" s="2"/>
      <c r="AE39" s="467"/>
      <c r="AR39" s="2"/>
      <c r="AS39" s="2"/>
      <c r="AT39" s="467"/>
    </row>
    <row r="40" spans="1:57" ht="13.8">
      <c r="A40" s="468">
        <v>1</v>
      </c>
      <c r="B40" s="469" t="s">
        <v>724</v>
      </c>
      <c r="C40" s="469"/>
      <c r="D40" s="526"/>
      <c r="E40" s="609"/>
      <c r="F40" s="609"/>
      <c r="G40" s="467"/>
      <c r="H40" s="467"/>
      <c r="I40" s="467"/>
      <c r="J40" s="467"/>
      <c r="K40" s="468">
        <v>1</v>
      </c>
      <c r="L40" s="470" t="s">
        <v>724</v>
      </c>
      <c r="M40" s="467"/>
      <c r="N40" s="467"/>
      <c r="O40" s="467"/>
      <c r="P40" s="467"/>
      <c r="Q40" s="467"/>
      <c r="R40" s="467"/>
      <c r="S40" s="467"/>
      <c r="T40" s="609"/>
      <c r="U40" s="609"/>
      <c r="V40" s="527"/>
      <c r="Y40" s="667"/>
      <c r="AA40" s="469"/>
      <c r="AC40" s="2"/>
      <c r="AD40" s="2"/>
      <c r="AI40" s="468">
        <v>1</v>
      </c>
      <c r="AJ40" s="470" t="s">
        <v>724</v>
      </c>
      <c r="AR40" s="2"/>
      <c r="AS40" s="2"/>
    </row>
    <row r="41" spans="1:57">
      <c r="B41" s="456" t="s">
        <v>725</v>
      </c>
      <c r="C41" s="456"/>
      <c r="D41" s="737">
        <f>+AY5</f>
        <v>-5691.5130000000208</v>
      </c>
      <c r="E41" s="609"/>
      <c r="F41" s="609"/>
      <c r="G41" s="738">
        <f>+BC5</f>
        <v>17948.039999999804</v>
      </c>
      <c r="H41" s="467"/>
      <c r="I41" s="467"/>
      <c r="J41" s="467"/>
      <c r="K41" s="517"/>
      <c r="L41" s="612" t="s">
        <v>965</v>
      </c>
      <c r="M41" s="467"/>
      <c r="N41" s="467"/>
      <c r="O41" s="467"/>
      <c r="P41" s="467"/>
      <c r="Q41" s="467"/>
      <c r="R41" s="467"/>
      <c r="S41" s="737">
        <f>+BA5</f>
        <v>-5691.5130000000208</v>
      </c>
      <c r="T41" s="609"/>
      <c r="U41" s="609"/>
      <c r="V41" s="737">
        <f>+BE5</f>
        <v>17948.039999999804</v>
      </c>
      <c r="AA41" s="456"/>
      <c r="AB41" s="737">
        <f>+AX5</f>
        <v>-211.59100000000035</v>
      </c>
      <c r="AC41" s="609"/>
      <c r="AD41" s="609"/>
      <c r="AE41" s="737">
        <f>+BB5</f>
        <v>18159.810999999987</v>
      </c>
      <c r="AI41" s="472"/>
      <c r="AJ41" s="473" t="s">
        <v>965</v>
      </c>
      <c r="AQ41" s="737">
        <f>+AZ5</f>
        <v>-211.59100000000035</v>
      </c>
      <c r="AR41" s="2"/>
      <c r="AS41" s="2"/>
      <c r="AT41" s="737">
        <f>+BD5</f>
        <v>18159.810999999987</v>
      </c>
    </row>
    <row r="42" spans="1:57">
      <c r="B42" s="474" t="s">
        <v>730</v>
      </c>
      <c r="C42" s="474"/>
      <c r="D42" s="737">
        <f>+AY7</f>
        <v>0</v>
      </c>
      <c r="E42" s="609"/>
      <c r="F42" s="609"/>
      <c r="G42" s="739">
        <f>+BC7</f>
        <v>-15500</v>
      </c>
      <c r="H42" s="467"/>
      <c r="I42" s="467"/>
      <c r="J42" s="467"/>
      <c r="K42" s="517"/>
      <c r="L42" s="614"/>
      <c r="M42" s="467"/>
      <c r="N42" s="467"/>
      <c r="O42" s="467"/>
      <c r="P42" s="467"/>
      <c r="Q42" s="467"/>
      <c r="R42" s="467"/>
      <c r="S42" s="609"/>
      <c r="T42" s="609"/>
      <c r="U42" s="609"/>
      <c r="AA42" s="474"/>
      <c r="AB42" s="737">
        <f>+AX7</f>
        <v>0</v>
      </c>
      <c r="AC42" s="609"/>
      <c r="AD42" s="609"/>
      <c r="AE42" s="737">
        <f>+BB7</f>
        <v>-15500</v>
      </c>
      <c r="AI42" s="472"/>
      <c r="AJ42" s="476"/>
      <c r="AR42" s="2"/>
      <c r="AS42" s="2"/>
    </row>
    <row r="43" spans="1:57">
      <c r="B43" s="477" t="s">
        <v>390</v>
      </c>
      <c r="C43" s="474"/>
      <c r="D43" s="737">
        <f>+AY17</f>
        <v>0</v>
      </c>
      <c r="E43" s="609"/>
      <c r="F43" s="609"/>
      <c r="G43" s="739">
        <f>+BC17</f>
        <v>-2573</v>
      </c>
      <c r="H43" s="467"/>
      <c r="I43" s="467"/>
      <c r="J43" s="467"/>
      <c r="K43" s="517"/>
      <c r="L43" s="614"/>
      <c r="M43" s="467"/>
      <c r="N43" s="467"/>
      <c r="O43" s="467"/>
      <c r="P43" s="467"/>
      <c r="Q43" s="467"/>
      <c r="R43" s="467"/>
      <c r="S43" s="609"/>
      <c r="T43" s="609"/>
      <c r="U43" s="609"/>
      <c r="AA43" s="474"/>
      <c r="AB43" s="737">
        <f>+AX17</f>
        <v>0</v>
      </c>
      <c r="AC43" s="609"/>
      <c r="AD43" s="609"/>
      <c r="AE43" s="737">
        <f>+BB17</f>
        <v>0</v>
      </c>
      <c r="AI43" s="472"/>
      <c r="AJ43" s="476"/>
      <c r="AR43" s="2"/>
      <c r="AS43" s="2"/>
      <c r="AW43" s="454"/>
      <c r="AX43" s="454"/>
      <c r="AY43" s="454"/>
      <c r="AZ43" s="454"/>
      <c r="BA43" s="454"/>
      <c r="BB43" s="454"/>
      <c r="BC43" s="454"/>
      <c r="BD43" s="454"/>
      <c r="BE43" s="454"/>
    </row>
    <row r="44" spans="1:57" s="454" customFormat="1">
      <c r="A44" s="453"/>
      <c r="B44" s="453" t="s">
        <v>726</v>
      </c>
      <c r="C44" s="453"/>
      <c r="D44" s="737">
        <f>+AY6</f>
        <v>88287.161999999997</v>
      </c>
      <c r="E44" s="609"/>
      <c r="F44" s="609"/>
      <c r="G44" s="738">
        <f>+BC6</f>
        <v>551852.97799999989</v>
      </c>
      <c r="H44" s="615"/>
      <c r="I44" s="615"/>
      <c r="J44" s="615"/>
      <c r="K44" s="517"/>
      <c r="L44" s="612" t="s">
        <v>966</v>
      </c>
      <c r="M44" s="615"/>
      <c r="N44" s="615"/>
      <c r="O44" s="615"/>
      <c r="P44" s="615"/>
      <c r="Q44" s="615"/>
      <c r="R44" s="615"/>
      <c r="S44" s="737">
        <f>+BA6</f>
        <v>52505.495333333332</v>
      </c>
      <c r="T44" s="609"/>
      <c r="U44" s="609"/>
      <c r="V44" s="737">
        <f>+BE6</f>
        <v>440512.97799999989</v>
      </c>
      <c r="X44" s="668"/>
      <c r="Y44" s="668"/>
      <c r="AA44" s="453"/>
      <c r="AB44" s="737">
        <f>+AX6</f>
        <v>91461.998999999996</v>
      </c>
      <c r="AC44" s="609"/>
      <c r="AD44" s="609"/>
      <c r="AE44" s="737">
        <f>+BB6</f>
        <v>549636.28700000001</v>
      </c>
      <c r="AI44" s="472"/>
      <c r="AJ44" s="473" t="s">
        <v>966</v>
      </c>
      <c r="AQ44" s="737">
        <f>+AZ6</f>
        <v>54253.332333333332</v>
      </c>
      <c r="AR44" s="2"/>
      <c r="AS44" s="2"/>
      <c r="AT44" s="737">
        <f>+BD6</f>
        <v>437494.28700000001</v>
      </c>
      <c r="AW44" s="453"/>
      <c r="AX44" s="453"/>
      <c r="AY44" s="453"/>
      <c r="AZ44" s="453"/>
      <c r="BA44" s="453"/>
      <c r="BB44" s="453"/>
      <c r="BC44" s="453"/>
      <c r="BD44" s="453"/>
      <c r="BE44" s="453"/>
    </row>
    <row r="45" spans="1:57">
      <c r="A45" s="454"/>
      <c r="B45" s="478" t="s">
        <v>967</v>
      </c>
      <c r="C45" s="478"/>
      <c r="D45" s="616">
        <f>IF(D44&lt;&gt;0,SUM(D41:D43)/D44,0)*100</f>
        <v>-6.446591861226687</v>
      </c>
      <c r="E45" s="617"/>
      <c r="F45" s="617"/>
      <c r="G45" s="479">
        <f>IF(G44&lt;&gt;0,SUM(G41:G43)/G44,0)*100</f>
        <v>-2.2643712180927218E-2</v>
      </c>
      <c r="H45" s="467"/>
      <c r="I45" s="467"/>
      <c r="J45" s="467"/>
      <c r="K45" s="618"/>
      <c r="L45" s="478" t="s">
        <v>967</v>
      </c>
      <c r="M45" s="467"/>
      <c r="N45" s="467"/>
      <c r="O45" s="467"/>
      <c r="P45" s="467"/>
      <c r="Q45" s="467"/>
      <c r="R45" s="467"/>
      <c r="S45" s="616">
        <f>IF(S44&lt;&gt;0,SUM(S41:S43)/S44,0)*100</f>
        <v>-10.839842503850717</v>
      </c>
      <c r="T45" s="617"/>
      <c r="U45" s="617"/>
      <c r="V45" s="616">
        <f>IF(V44&lt;&gt;0,SUM(V41:V43)/V44,0)*100</f>
        <v>4.0743498821503072</v>
      </c>
      <c r="AA45" s="478"/>
      <c r="AB45" s="616">
        <f>IF(AB44&lt;&gt;0,SUM(AB41:AB43)/AB44,0)*100</f>
        <v>-0.23134307396889536</v>
      </c>
      <c r="AC45" s="617"/>
      <c r="AD45" s="617"/>
      <c r="AE45" s="616">
        <f>IF(AE44&lt;&gt;0,SUM(AE41:AE43)/AE44,0)*100</f>
        <v>0.48392201586937561</v>
      </c>
      <c r="AI45" s="481"/>
      <c r="AJ45" s="478" t="s">
        <v>967</v>
      </c>
      <c r="AQ45" s="616">
        <f>IF(AQ44&lt;&gt;0,SUM(AQ41:AQ43)/AQ44,0)*100</f>
        <v>-0.3900055368027569</v>
      </c>
      <c r="AR45" s="480"/>
      <c r="AS45" s="480"/>
      <c r="AT45" s="616">
        <f>IF(AT44&lt;&gt;0,SUM(AT41:AT43)/AT44,0)*100</f>
        <v>4.1508681460793531</v>
      </c>
      <c r="AW45" s="484"/>
      <c r="AX45" s="484"/>
      <c r="AY45" s="484"/>
      <c r="AZ45" s="484"/>
      <c r="BA45" s="484"/>
      <c r="BB45" s="484"/>
      <c r="BC45" s="484"/>
      <c r="BD45" s="484"/>
      <c r="BE45" s="484"/>
    </row>
    <row r="46" spans="1:57" s="484" customFormat="1">
      <c r="A46" s="453"/>
      <c r="B46" s="482"/>
      <c r="C46" s="482"/>
      <c r="D46" s="620"/>
      <c r="E46" s="609"/>
      <c r="F46" s="609"/>
      <c r="G46" s="483"/>
      <c r="H46" s="621"/>
      <c r="I46" s="621"/>
      <c r="J46" s="621"/>
      <c r="K46" s="517"/>
      <c r="L46" s="622"/>
      <c r="M46" s="621"/>
      <c r="N46" s="621"/>
      <c r="O46" s="621"/>
      <c r="P46" s="621"/>
      <c r="Q46" s="621"/>
      <c r="R46" s="621"/>
      <c r="S46" s="620"/>
      <c r="T46" s="609"/>
      <c r="U46" s="609"/>
      <c r="V46" s="620"/>
      <c r="X46" s="669"/>
      <c r="Y46" s="669"/>
      <c r="AA46" s="482"/>
      <c r="AB46" s="620"/>
      <c r="AC46" s="609"/>
      <c r="AD46" s="609"/>
      <c r="AE46" s="620"/>
      <c r="AI46" s="472"/>
      <c r="AJ46" s="482"/>
      <c r="AQ46" s="620"/>
      <c r="AR46" s="2"/>
      <c r="AS46" s="2"/>
      <c r="AT46" s="620"/>
      <c r="AW46" s="453"/>
      <c r="AX46" s="453"/>
      <c r="AY46" s="453"/>
      <c r="AZ46" s="453"/>
      <c r="BA46" s="453"/>
      <c r="BB46" s="453"/>
      <c r="BC46" s="453"/>
      <c r="BD46" s="453"/>
      <c r="BE46" s="453"/>
    </row>
    <row r="47" spans="1:57">
      <c r="A47" s="484"/>
      <c r="B47" s="478" t="s">
        <v>861</v>
      </c>
      <c r="C47" s="478"/>
      <c r="D47" s="623">
        <f>IF(D45&gt;=$K$113,$K$111,INDEX($K$111:$O$111,,MATCH(D45,$K$113:$O$113,-1)+1))</f>
        <v>1</v>
      </c>
      <c r="E47" s="624"/>
      <c r="F47" s="624"/>
      <c r="G47" s="485">
        <f>IF(G45&gt;=$K$113,$K$111,INDEX($K$111:$O$111,,MATCH(G45,$K$113:$O$113,-1)+1))</f>
        <v>1</v>
      </c>
      <c r="H47" s="467"/>
      <c r="I47" s="467"/>
      <c r="J47" s="467"/>
      <c r="K47" s="621"/>
      <c r="L47" s="478" t="s">
        <v>861</v>
      </c>
      <c r="M47" s="467"/>
      <c r="N47" s="467"/>
      <c r="O47" s="467"/>
      <c r="P47" s="467"/>
      <c r="Q47" s="467"/>
      <c r="R47" s="467"/>
      <c r="S47" s="623">
        <f>IF(S45&gt;=$K$113,$K$111,INDEX($K$111:$O$111,,MATCH(S45,$K$113:$O$113,-1)+1))</f>
        <v>1</v>
      </c>
      <c r="T47" s="624"/>
      <c r="U47" s="624"/>
      <c r="V47" s="623">
        <f>IF(V45&gt;=$K$113,$K$111,INDEX($K$111:$O$111,,MATCH(V45,$K$113:$O$113,-1)+1))</f>
        <v>2</v>
      </c>
      <c r="AA47" s="478"/>
      <c r="AB47" s="623">
        <f>IF(AB45&gt;=$K$113,$K$111,INDEX($K$111:$O$111,,MATCH(AB45,$K$113:$O$113,-1)+1))</f>
        <v>1</v>
      </c>
      <c r="AC47" s="624"/>
      <c r="AD47" s="624"/>
      <c r="AE47" s="623">
        <f>IF(AE45&gt;=$K$113,$K$111,INDEX($K$111:$O$111,,MATCH(AE45,$K$113:$O$113,-1)+1))</f>
        <v>1</v>
      </c>
      <c r="AI47" s="484"/>
      <c r="AJ47" s="478" t="s">
        <v>861</v>
      </c>
      <c r="AQ47" s="623">
        <f>IF(AQ45&gt;=$K$113,$K$111,INDEX($K$111:$O$111,,MATCH(AQ45,$K$113:$O$113,-1)+1))</f>
        <v>1</v>
      </c>
      <c r="AR47" s="486"/>
      <c r="AS47" s="486"/>
      <c r="AT47" s="623">
        <f>IF(AT45&gt;=$K$113,$K$111,INDEX($K$111:$O$111,,MATCH(AT45,$K$113:$O$113,-1)+1))</f>
        <v>2</v>
      </c>
    </row>
    <row r="48" spans="1:57">
      <c r="D48" s="526"/>
      <c r="E48" s="609"/>
      <c r="F48" s="609"/>
      <c r="G48" s="467"/>
      <c r="H48" s="467"/>
      <c r="I48" s="467"/>
      <c r="J48" s="467"/>
      <c r="K48" s="517"/>
      <c r="L48" s="517"/>
      <c r="M48" s="467"/>
      <c r="N48" s="467"/>
      <c r="O48" s="467"/>
      <c r="P48" s="467"/>
      <c r="Q48" s="467"/>
      <c r="R48" s="467"/>
      <c r="S48" s="526"/>
      <c r="T48" s="609"/>
      <c r="U48" s="609"/>
      <c r="V48" s="526"/>
      <c r="AB48" s="526"/>
      <c r="AC48" s="609"/>
      <c r="AD48" s="609"/>
      <c r="AE48" s="526"/>
      <c r="AI48" s="472"/>
      <c r="AJ48" s="472"/>
      <c r="AQ48" s="526"/>
      <c r="AR48" s="2"/>
      <c r="AS48" s="2"/>
      <c r="AT48" s="526"/>
    </row>
    <row r="49" spans="1:57">
      <c r="D49" s="526"/>
      <c r="E49" s="609"/>
      <c r="F49" s="609"/>
      <c r="G49" s="467"/>
      <c r="H49" s="467"/>
      <c r="I49" s="467"/>
      <c r="J49" s="467"/>
      <c r="K49" s="517"/>
      <c r="L49" s="517"/>
      <c r="M49" s="467"/>
      <c r="N49" s="467"/>
      <c r="O49" s="467"/>
      <c r="P49" s="467"/>
      <c r="Q49" s="467"/>
      <c r="R49" s="467"/>
      <c r="S49" s="526"/>
      <c r="T49" s="609"/>
      <c r="U49" s="609"/>
      <c r="V49" s="526"/>
      <c r="AB49" s="526"/>
      <c r="AC49" s="609"/>
      <c r="AD49" s="609"/>
      <c r="AE49" s="526"/>
      <c r="AI49" s="472"/>
      <c r="AJ49" s="472"/>
      <c r="AQ49" s="526"/>
      <c r="AR49" s="2"/>
      <c r="AS49" s="2"/>
      <c r="AT49" s="526"/>
    </row>
    <row r="50" spans="1:57">
      <c r="A50" s="468">
        <v>2</v>
      </c>
      <c r="B50" s="469" t="s">
        <v>727</v>
      </c>
      <c r="C50" s="469"/>
      <c r="D50" s="526"/>
      <c r="E50" s="609"/>
      <c r="F50" s="609"/>
      <c r="G50" s="467"/>
      <c r="H50" s="467"/>
      <c r="I50" s="467"/>
      <c r="J50" s="467"/>
      <c r="K50" s="468">
        <v>2</v>
      </c>
      <c r="L50" s="470" t="s">
        <v>727</v>
      </c>
      <c r="M50" s="467"/>
      <c r="N50" s="467"/>
      <c r="O50" s="467"/>
      <c r="P50" s="467"/>
      <c r="Q50" s="467"/>
      <c r="R50" s="467"/>
      <c r="S50" s="526"/>
      <c r="T50" s="609"/>
      <c r="U50" s="609"/>
      <c r="V50" s="526"/>
      <c r="AA50" s="469"/>
      <c r="AB50" s="526"/>
      <c r="AC50" s="609"/>
      <c r="AD50" s="609"/>
      <c r="AE50" s="526"/>
      <c r="AI50" s="468">
        <v>2</v>
      </c>
      <c r="AJ50" s="470" t="s">
        <v>727</v>
      </c>
      <c r="AQ50" s="526"/>
      <c r="AR50" s="2"/>
      <c r="AS50" s="2"/>
      <c r="AT50" s="526"/>
      <c r="AW50" s="454"/>
      <c r="AX50" s="454"/>
      <c r="AY50" s="454"/>
      <c r="AZ50" s="454"/>
      <c r="BA50" s="454"/>
      <c r="BB50" s="454"/>
      <c r="BC50" s="454"/>
      <c r="BD50" s="454"/>
      <c r="BE50" s="454"/>
    </row>
    <row r="51" spans="1:57" s="454" customFormat="1">
      <c r="A51" s="482"/>
      <c r="B51" s="456" t="s">
        <v>968</v>
      </c>
      <c r="C51" s="456"/>
      <c r="D51" s="471">
        <f>SUM(D41:D43)</f>
        <v>-5691.5130000000208</v>
      </c>
      <c r="E51" s="609"/>
      <c r="F51" s="609"/>
      <c r="G51" s="611">
        <f>SUM(G41:G43)</f>
        <v>-124.96000000019558</v>
      </c>
      <c r="H51" s="615"/>
      <c r="I51" s="615"/>
      <c r="J51" s="615"/>
      <c r="K51" s="622"/>
      <c r="L51" s="612" t="s">
        <v>965</v>
      </c>
      <c r="M51" s="615"/>
      <c r="N51" s="615"/>
      <c r="O51" s="615"/>
      <c r="P51" s="615"/>
      <c r="Q51" s="615"/>
      <c r="R51" s="615"/>
      <c r="S51" s="471">
        <f>SUM(S41:S43)</f>
        <v>-5691.5130000000208</v>
      </c>
      <c r="T51" s="609"/>
      <c r="U51" s="609"/>
      <c r="V51" s="471">
        <f>SUM(V41:V43)</f>
        <v>17948.039999999804</v>
      </c>
      <c r="X51" s="668"/>
      <c r="Y51" s="668"/>
      <c r="AA51" s="456"/>
      <c r="AB51" s="471">
        <f>SUM(AB41:AB43)</f>
        <v>-211.59100000000035</v>
      </c>
      <c r="AC51" s="609"/>
      <c r="AD51" s="609"/>
      <c r="AE51" s="471">
        <f>SUM(AE41:AE43)</f>
        <v>2659.810999999987</v>
      </c>
      <c r="AI51" s="482"/>
      <c r="AJ51" s="473" t="s">
        <v>965</v>
      </c>
      <c r="AQ51" s="471">
        <f>SUM(AQ41:AQ43)</f>
        <v>-211.59100000000035</v>
      </c>
      <c r="AR51" s="2"/>
      <c r="AS51" s="2"/>
      <c r="AT51" s="471">
        <f>SUM(AT41:AT43)</f>
        <v>18159.810999999987</v>
      </c>
      <c r="AW51" s="453"/>
      <c r="AX51" s="453"/>
      <c r="AY51" s="453"/>
      <c r="AZ51" s="453"/>
      <c r="BA51" s="453"/>
      <c r="BB51" s="453"/>
      <c r="BC51" s="453"/>
      <c r="BD51" s="453"/>
      <c r="BE51" s="453"/>
    </row>
    <row r="52" spans="1:57">
      <c r="A52" s="482"/>
      <c r="B52" s="456" t="s">
        <v>969</v>
      </c>
      <c r="C52" s="456"/>
      <c r="D52" s="740">
        <f>+AX5+AX7</f>
        <v>-211.59100000000035</v>
      </c>
      <c r="E52" s="609"/>
      <c r="F52" s="609"/>
      <c r="G52" s="740">
        <f>+BB5+BB7</f>
        <v>2659.810999999987</v>
      </c>
      <c r="H52" s="615"/>
      <c r="I52" s="467"/>
      <c r="J52" s="467"/>
      <c r="K52" s="622"/>
      <c r="L52" s="612" t="s">
        <v>728</v>
      </c>
      <c r="M52" s="467"/>
      <c r="N52" s="467"/>
      <c r="O52" s="467"/>
      <c r="P52" s="467"/>
      <c r="Q52" s="467"/>
      <c r="R52" s="467"/>
      <c r="S52" s="740">
        <f>+AZ5+AZ7</f>
        <v>-211.59100000000035</v>
      </c>
      <c r="T52" s="609"/>
      <c r="U52" s="609"/>
      <c r="V52" s="740">
        <f>+BD5+BD7</f>
        <v>2659.810999999987</v>
      </c>
      <c r="AA52" s="456"/>
      <c r="AB52" s="741">
        <f>+AB51</f>
        <v>-211.59100000000035</v>
      </c>
      <c r="AC52" s="609"/>
      <c r="AD52" s="609"/>
      <c r="AE52" s="741">
        <f>+AE51</f>
        <v>2659.810999999987</v>
      </c>
      <c r="AI52" s="482"/>
      <c r="AJ52" s="473" t="s">
        <v>728</v>
      </c>
      <c r="AQ52" s="741">
        <f>+AQ51</f>
        <v>-211.59100000000035</v>
      </c>
      <c r="AR52" s="2"/>
      <c r="AS52" s="2"/>
      <c r="AT52" s="741">
        <f>+AT51</f>
        <v>18159.810999999987</v>
      </c>
      <c r="AW52" s="484"/>
      <c r="AX52" s="484"/>
      <c r="AY52" s="484"/>
      <c r="AZ52" s="484"/>
      <c r="BA52" s="484"/>
      <c r="BB52" s="484"/>
      <c r="BC52" s="484"/>
      <c r="BD52" s="484"/>
      <c r="BE52" s="484"/>
    </row>
    <row r="53" spans="1:57" s="484" customFormat="1">
      <c r="A53" s="487"/>
      <c r="B53" s="454" t="s">
        <v>967</v>
      </c>
      <c r="C53" s="454"/>
      <c r="D53" s="616">
        <f>IF(D52&lt;&gt;0,D51/D52,0)*100</f>
        <v>2689.8653534413143</v>
      </c>
      <c r="E53" s="617"/>
      <c r="F53" s="617"/>
      <c r="G53" s="479">
        <f>IF(G52&lt;&gt;0,G51/G52,0)*100</f>
        <v>-4.6980781717270954</v>
      </c>
      <c r="H53" s="621"/>
      <c r="I53" s="621"/>
      <c r="J53" s="621"/>
      <c r="K53" s="625"/>
      <c r="L53" s="618" t="s">
        <v>967</v>
      </c>
      <c r="M53" s="621"/>
      <c r="N53" s="621"/>
      <c r="O53" s="621"/>
      <c r="P53" s="621"/>
      <c r="Q53" s="621"/>
      <c r="R53" s="621"/>
      <c r="S53" s="616">
        <f>IF(S52&lt;&gt;0,S51/S52,0)*100</f>
        <v>2689.8653534413143</v>
      </c>
      <c r="T53" s="617"/>
      <c r="U53" s="617"/>
      <c r="V53" s="616">
        <f>IF(V52&lt;&gt;0,V51/V52,0)*100</f>
        <v>674.78629120640119</v>
      </c>
      <c r="X53" s="669"/>
      <c r="Y53" s="669"/>
      <c r="AA53" s="454"/>
      <c r="AB53" s="616">
        <f>IF(AB52&lt;&gt;0,AB51/AB52,0)*100</f>
        <v>100</v>
      </c>
      <c r="AC53" s="617"/>
      <c r="AD53" s="617"/>
      <c r="AE53" s="616">
        <f>IF(AE52&lt;&gt;0,AE51/AE52,0)*100</f>
        <v>100</v>
      </c>
      <c r="AI53" s="487"/>
      <c r="AJ53" s="481" t="s">
        <v>967</v>
      </c>
      <c r="AQ53" s="616">
        <f>IF(AQ52&lt;&gt;0,AQ51/AQ52,0)*100</f>
        <v>100</v>
      </c>
      <c r="AR53" s="480"/>
      <c r="AS53" s="480"/>
      <c r="AT53" s="616">
        <f>IF(AT52&lt;&gt;0,AT51/AT52,0)*100</f>
        <v>100</v>
      </c>
      <c r="AW53" s="453"/>
      <c r="AX53" s="453"/>
      <c r="AY53" s="453"/>
      <c r="AZ53" s="453"/>
      <c r="BA53" s="453"/>
      <c r="BB53" s="453"/>
      <c r="BC53" s="453"/>
      <c r="BD53" s="453"/>
      <c r="BE53" s="453"/>
    </row>
    <row r="54" spans="1:57">
      <c r="A54" s="482"/>
      <c r="D54" s="526"/>
      <c r="E54" s="609"/>
      <c r="F54" s="609"/>
      <c r="G54" s="467"/>
      <c r="H54" s="467"/>
      <c r="I54" s="467"/>
      <c r="J54" s="467"/>
      <c r="K54" s="622"/>
      <c r="L54" s="517"/>
      <c r="M54" s="467"/>
      <c r="N54" s="467"/>
      <c r="O54" s="467"/>
      <c r="P54" s="467"/>
      <c r="Q54" s="467"/>
      <c r="R54" s="467"/>
      <c r="S54" s="526"/>
      <c r="T54" s="609"/>
      <c r="U54" s="609"/>
      <c r="V54" s="526"/>
      <c r="AB54" s="526"/>
      <c r="AC54" s="609"/>
      <c r="AD54" s="609"/>
      <c r="AE54" s="526"/>
      <c r="AI54" s="482"/>
      <c r="AJ54" s="472"/>
      <c r="AQ54" s="526"/>
      <c r="AR54" s="2"/>
      <c r="AS54" s="2"/>
      <c r="AT54" s="526"/>
    </row>
    <row r="55" spans="1:57">
      <c r="A55" s="488"/>
      <c r="B55" s="478" t="s">
        <v>861</v>
      </c>
      <c r="C55" s="478"/>
      <c r="D55" s="623">
        <f>IF(D53&gt;=$K$114,$K$111,INDEX($K$111:$O$111,,MATCH(D53,$K$114:$O$114,-1)+1))</f>
        <v>5</v>
      </c>
      <c r="E55" s="624"/>
      <c r="F55" s="624"/>
      <c r="G55" s="485">
        <f>IF(G53&gt;=$K$114,$K$111,INDEX($K$111:$O$111,,MATCH(G53,$K$114:$O$114,-1)+1))</f>
        <v>1</v>
      </c>
      <c r="H55" s="467"/>
      <c r="I55" s="467"/>
      <c r="J55" s="467"/>
      <c r="K55" s="626"/>
      <c r="L55" s="478" t="s">
        <v>861</v>
      </c>
      <c r="M55" s="467"/>
      <c r="N55" s="467"/>
      <c r="O55" s="467"/>
      <c r="P55" s="467"/>
      <c r="Q55" s="467"/>
      <c r="R55" s="467"/>
      <c r="S55" s="623">
        <f>IF(S53&gt;=$K$114,$K$111,INDEX($K$111:$O$111,,MATCH(S53,$K$114:$O$114,-1)+1))</f>
        <v>5</v>
      </c>
      <c r="T55" s="624"/>
      <c r="U55" s="624"/>
      <c r="V55" s="623">
        <f>IF(V53&gt;=$K$114,$K$111,INDEX($K$111:$O$111,,MATCH(V53,$K$114:$O$114,-1)+1))</f>
        <v>5</v>
      </c>
      <c r="AA55" s="478"/>
      <c r="AB55" s="623">
        <f>IF(AB53&gt;=$K$114,$K$111,INDEX($K$111:$O$111,,MATCH(AB53,$K$114:$O$114,-1)+1))</f>
        <v>5</v>
      </c>
      <c r="AC55" s="624"/>
      <c r="AD55" s="624"/>
      <c r="AE55" s="623">
        <f>IF(AE53&gt;=$K$114,$K$111,INDEX($K$111:$O$111,,MATCH(AE53,$K$114:$O$114,-1)+1))</f>
        <v>5</v>
      </c>
      <c r="AI55" s="488"/>
      <c r="AJ55" s="478" t="s">
        <v>861</v>
      </c>
      <c r="AQ55" s="623">
        <f>IF(AQ53&gt;=$K$114,$K$111,INDEX($K$111:$O$111,,MATCH(AQ53,$K$114:$O$114,-1)+1))</f>
        <v>5</v>
      </c>
      <c r="AR55" s="486"/>
      <c r="AS55" s="486"/>
      <c r="AT55" s="623">
        <f>IF(AT53&gt;=$K$114,$K$111,INDEX($K$111:$O$111,,MATCH(AT53,$K$114:$O$114,-1)+1))</f>
        <v>5</v>
      </c>
    </row>
    <row r="56" spans="1:57">
      <c r="D56" s="526"/>
      <c r="E56" s="467"/>
      <c r="F56" s="467"/>
      <c r="G56" s="467"/>
      <c r="H56" s="467"/>
      <c r="I56" s="467"/>
      <c r="J56" s="467"/>
      <c r="K56" s="517"/>
      <c r="L56" s="517"/>
      <c r="M56" s="467"/>
      <c r="N56" s="467"/>
      <c r="O56" s="467"/>
      <c r="P56" s="467"/>
      <c r="Q56" s="467"/>
      <c r="R56" s="467"/>
      <c r="S56" s="526"/>
      <c r="T56" s="467"/>
      <c r="U56" s="467"/>
      <c r="V56" s="526"/>
      <c r="AB56" s="526"/>
      <c r="AC56" s="467"/>
      <c r="AD56" s="467"/>
      <c r="AE56" s="526"/>
      <c r="AI56" s="472"/>
      <c r="AJ56" s="472"/>
      <c r="AQ56" s="526"/>
      <c r="AT56" s="526"/>
    </row>
    <row r="57" spans="1:57">
      <c r="D57" s="526"/>
      <c r="E57" s="467"/>
      <c r="F57" s="467"/>
      <c r="G57" s="467"/>
      <c r="H57" s="467"/>
      <c r="I57" s="467"/>
      <c r="J57" s="467"/>
      <c r="K57" s="517"/>
      <c r="L57" s="517"/>
      <c r="M57" s="467"/>
      <c r="N57" s="467"/>
      <c r="O57" s="467"/>
      <c r="P57" s="467"/>
      <c r="Q57" s="467"/>
      <c r="R57" s="467"/>
      <c r="S57" s="526"/>
      <c r="T57" s="467"/>
      <c r="U57" s="467"/>
      <c r="V57" s="526"/>
      <c r="AB57" s="526"/>
      <c r="AC57" s="467"/>
      <c r="AD57" s="467"/>
      <c r="AE57" s="526"/>
      <c r="AI57" s="472"/>
      <c r="AJ57" s="472"/>
      <c r="AQ57" s="526"/>
      <c r="AT57" s="526"/>
    </row>
    <row r="58" spans="1:57">
      <c r="A58" s="489">
        <v>3</v>
      </c>
      <c r="B58" s="469" t="s">
        <v>829</v>
      </c>
      <c r="C58" s="469"/>
      <c r="D58" s="627"/>
      <c r="E58" s="609"/>
      <c r="F58" s="609"/>
      <c r="G58" s="628"/>
      <c r="H58" s="628"/>
      <c r="I58" s="628"/>
      <c r="J58" s="628"/>
      <c r="K58" s="489">
        <v>3</v>
      </c>
      <c r="L58" s="469" t="s">
        <v>829</v>
      </c>
      <c r="M58" s="628"/>
      <c r="N58" s="628"/>
      <c r="O58" s="628"/>
      <c r="P58" s="628"/>
      <c r="Q58" s="628"/>
      <c r="R58" s="628"/>
      <c r="S58" s="627"/>
      <c r="T58" s="609"/>
      <c r="U58" s="609"/>
      <c r="V58" s="627"/>
      <c r="W58" s="458"/>
      <c r="AA58" s="469"/>
      <c r="AB58" s="627"/>
      <c r="AC58" s="609"/>
      <c r="AD58" s="609"/>
      <c r="AE58" s="627"/>
      <c r="AF58" s="458"/>
      <c r="AG58" s="458"/>
      <c r="AH58" s="458"/>
      <c r="AI58" s="489">
        <v>3</v>
      </c>
      <c r="AJ58" s="469" t="s">
        <v>829</v>
      </c>
      <c r="AK58" s="458"/>
      <c r="AL58" s="458"/>
      <c r="AM58" s="458"/>
      <c r="AN58" s="458"/>
      <c r="AO58" s="458"/>
      <c r="AP58" s="458"/>
      <c r="AQ58" s="627"/>
      <c r="AR58" s="2"/>
      <c r="AS58" s="2"/>
      <c r="AT58" s="627"/>
      <c r="AU58" s="458"/>
    </row>
    <row r="59" spans="1:57" ht="12.75" customHeight="1">
      <c r="A59" s="490"/>
      <c r="B59" s="457" t="s">
        <v>725</v>
      </c>
      <c r="C59" s="457"/>
      <c r="D59" s="630">
        <f>+D41</f>
        <v>-5691.5130000000208</v>
      </c>
      <c r="E59" s="609"/>
      <c r="F59" s="609"/>
      <c r="G59" s="631">
        <f>+G41</f>
        <v>17948.039999999804</v>
      </c>
      <c r="H59" s="628"/>
      <c r="I59" s="628"/>
      <c r="J59" s="628"/>
      <c r="K59" s="632"/>
      <c r="L59" s="633" t="s">
        <v>965</v>
      </c>
      <c r="M59" s="628"/>
      <c r="N59" s="628"/>
      <c r="O59" s="628"/>
      <c r="P59" s="628"/>
      <c r="Q59" s="628"/>
      <c r="R59" s="628"/>
      <c r="S59" s="630">
        <f>+S41</f>
        <v>-5691.5130000000208</v>
      </c>
      <c r="T59" s="609"/>
      <c r="U59" s="609"/>
      <c r="V59" s="630">
        <f>+V41</f>
        <v>17948.039999999804</v>
      </c>
      <c r="W59" s="492"/>
      <c r="AA59" s="457"/>
      <c r="AB59" s="630">
        <f>+AB41</f>
        <v>-211.59100000000035</v>
      </c>
      <c r="AC59" s="609"/>
      <c r="AD59" s="609"/>
      <c r="AE59" s="630">
        <f>+AE41</f>
        <v>18159.810999999987</v>
      </c>
      <c r="AF59" s="458"/>
      <c r="AG59" s="458"/>
      <c r="AH59" s="458"/>
      <c r="AI59" s="490"/>
      <c r="AJ59" s="491" t="s">
        <v>965</v>
      </c>
      <c r="AK59" s="458"/>
      <c r="AL59" s="458"/>
      <c r="AM59" s="458"/>
      <c r="AN59" s="458"/>
      <c r="AO59" s="458"/>
      <c r="AP59" s="458"/>
      <c r="AQ59" s="630">
        <f>+AQ41</f>
        <v>-211.59100000000035</v>
      </c>
      <c r="AR59" s="2"/>
      <c r="AS59" s="2"/>
      <c r="AT59" s="630">
        <f>+AT41</f>
        <v>18159.810999999987</v>
      </c>
      <c r="AU59" s="492"/>
    </row>
    <row r="60" spans="1:57" ht="12.75" customHeight="1">
      <c r="A60" s="490"/>
      <c r="B60" s="474" t="s">
        <v>730</v>
      </c>
      <c r="C60" s="457"/>
      <c r="D60" s="630">
        <f>+D42</f>
        <v>0</v>
      </c>
      <c r="E60" s="609"/>
      <c r="F60" s="609"/>
      <c r="G60" s="631">
        <f>+G42</f>
        <v>-15500</v>
      </c>
      <c r="H60" s="628"/>
      <c r="I60" s="628"/>
      <c r="J60" s="628"/>
      <c r="K60" s="632"/>
      <c r="L60" s="633"/>
      <c r="M60" s="628"/>
      <c r="N60" s="628"/>
      <c r="O60" s="628"/>
      <c r="P60" s="628"/>
      <c r="Q60" s="628"/>
      <c r="R60" s="628"/>
      <c r="S60" s="630">
        <f>+S42</f>
        <v>0</v>
      </c>
      <c r="T60" s="609"/>
      <c r="U60" s="609"/>
      <c r="V60" s="630">
        <f>+V42</f>
        <v>0</v>
      </c>
      <c r="W60" s="492"/>
      <c r="AA60" s="457"/>
      <c r="AB60" s="630">
        <f>+AB42</f>
        <v>0</v>
      </c>
      <c r="AC60" s="609"/>
      <c r="AD60" s="609"/>
      <c r="AE60" s="630">
        <f>+AE42</f>
        <v>-15500</v>
      </c>
      <c r="AF60" s="458"/>
      <c r="AG60" s="458"/>
      <c r="AH60" s="458"/>
      <c r="AI60" s="490"/>
      <c r="AJ60" s="491"/>
      <c r="AK60" s="458"/>
      <c r="AL60" s="458"/>
      <c r="AM60" s="458"/>
      <c r="AN60" s="458"/>
      <c r="AO60" s="458"/>
      <c r="AP60" s="458"/>
      <c r="AQ60" s="630">
        <f>+AQ42</f>
        <v>0</v>
      </c>
      <c r="AR60" s="2"/>
      <c r="AS60" s="2"/>
      <c r="AT60" s="630">
        <f>+AT42</f>
        <v>0</v>
      </c>
      <c r="AU60" s="492"/>
    </row>
    <row r="61" spans="1:57" ht="12.75" customHeight="1">
      <c r="A61" s="490"/>
      <c r="B61" s="477" t="s">
        <v>390</v>
      </c>
      <c r="C61" s="474"/>
      <c r="D61" s="630">
        <f>+D43</f>
        <v>0</v>
      </c>
      <c r="E61" s="609"/>
      <c r="F61" s="609"/>
      <c r="G61" s="631">
        <f>+G43</f>
        <v>-2573</v>
      </c>
      <c r="H61" s="628"/>
      <c r="I61" s="628"/>
      <c r="J61" s="628"/>
      <c r="K61" s="632"/>
      <c r="L61" s="633"/>
      <c r="M61" s="628"/>
      <c r="N61" s="628"/>
      <c r="O61" s="628"/>
      <c r="P61" s="628"/>
      <c r="Q61" s="628"/>
      <c r="R61" s="628"/>
      <c r="S61" s="630">
        <f>+S43</f>
        <v>0</v>
      </c>
      <c r="T61" s="609"/>
      <c r="U61" s="609"/>
      <c r="V61" s="630">
        <f>+V43</f>
        <v>0</v>
      </c>
      <c r="W61" s="492"/>
      <c r="AA61" s="474"/>
      <c r="AB61" s="630">
        <f>+AB43</f>
        <v>0</v>
      </c>
      <c r="AC61" s="609"/>
      <c r="AD61" s="609"/>
      <c r="AE61" s="630">
        <f>+AE43</f>
        <v>0</v>
      </c>
      <c r="AF61" s="458"/>
      <c r="AG61" s="458"/>
      <c r="AH61" s="458"/>
      <c r="AI61" s="490"/>
      <c r="AJ61" s="491"/>
      <c r="AK61" s="458"/>
      <c r="AL61" s="458"/>
      <c r="AM61" s="458"/>
      <c r="AN61" s="458"/>
      <c r="AO61" s="458"/>
      <c r="AP61" s="458"/>
      <c r="AQ61" s="630">
        <f>+AQ43</f>
        <v>0</v>
      </c>
      <c r="AR61" s="2"/>
      <c r="AS61" s="2"/>
      <c r="AT61" s="630">
        <f>+AT43</f>
        <v>0</v>
      </c>
      <c r="AU61" s="492"/>
    </row>
    <row r="62" spans="1:57" ht="12.75" customHeight="1">
      <c r="A62" s="490"/>
      <c r="B62" s="477" t="s">
        <v>970</v>
      </c>
      <c r="C62" s="457"/>
      <c r="D62" s="742">
        <f>+AY18</f>
        <v>-875.35400000000004</v>
      </c>
      <c r="E62" s="609"/>
      <c r="F62" s="609"/>
      <c r="G62" s="739">
        <f>+BC18</f>
        <v>-5539.3580000000002</v>
      </c>
      <c r="H62" s="628"/>
      <c r="I62" s="628"/>
      <c r="J62" s="628"/>
      <c r="K62" s="632"/>
      <c r="L62" s="505" t="s">
        <v>970</v>
      </c>
      <c r="M62" s="628"/>
      <c r="N62" s="628"/>
      <c r="O62" s="628"/>
      <c r="P62" s="628"/>
      <c r="Q62" s="628"/>
      <c r="R62" s="628"/>
      <c r="S62" s="742">
        <f>+BA18</f>
        <v>-875.35400000000004</v>
      </c>
      <c r="T62" s="609"/>
      <c r="U62" s="609"/>
      <c r="V62" s="742">
        <f>+BE18</f>
        <v>-5539.3580000000002</v>
      </c>
      <c r="W62" s="492"/>
      <c r="AA62" s="457"/>
      <c r="AB62" s="742">
        <f>+AX18</f>
        <v>-860</v>
      </c>
      <c r="AC62" s="609"/>
      <c r="AD62" s="609"/>
      <c r="AE62" s="742">
        <f>+BB18</f>
        <v>-5569.0039999999999</v>
      </c>
      <c r="AF62" s="458"/>
      <c r="AG62" s="458"/>
      <c r="AH62" s="458"/>
      <c r="AI62" s="490"/>
      <c r="AJ62" s="477" t="s">
        <v>970</v>
      </c>
      <c r="AK62" s="458"/>
      <c r="AL62" s="458"/>
      <c r="AM62" s="458"/>
      <c r="AN62" s="458"/>
      <c r="AO62" s="458"/>
      <c r="AP62" s="458"/>
      <c r="AQ62" s="742">
        <f>+AZ18</f>
        <v>-860</v>
      </c>
      <c r="AR62" s="2"/>
      <c r="AS62" s="2"/>
      <c r="AT62" s="742">
        <f>+BD18</f>
        <v>-5569.0039999999999</v>
      </c>
      <c r="AU62" s="492"/>
    </row>
    <row r="63" spans="1:57" ht="12.75" customHeight="1">
      <c r="A63" s="490"/>
      <c r="B63" s="477" t="s">
        <v>971</v>
      </c>
      <c r="C63" s="457"/>
      <c r="D63" s="742">
        <f>+AY19</f>
        <v>0</v>
      </c>
      <c r="E63" s="609"/>
      <c r="F63" s="609"/>
      <c r="G63" s="739">
        <f>+BC19</f>
        <v>-15500</v>
      </c>
      <c r="H63" s="628"/>
      <c r="I63" s="628"/>
      <c r="J63" s="628"/>
      <c r="K63" s="632"/>
      <c r="L63" s="505" t="s">
        <v>971</v>
      </c>
      <c r="M63" s="628"/>
      <c r="N63" s="628"/>
      <c r="O63" s="628"/>
      <c r="P63" s="628"/>
      <c r="Q63" s="628"/>
      <c r="R63" s="628"/>
      <c r="S63" s="742">
        <f>+BA19</f>
        <v>0</v>
      </c>
      <c r="T63" s="609"/>
      <c r="U63" s="609"/>
      <c r="V63" s="742">
        <f>+BE19</f>
        <v>-15500</v>
      </c>
      <c r="W63" s="492"/>
      <c r="AA63" s="457"/>
      <c r="AB63" s="742">
        <f>+AX19</f>
        <v>0</v>
      </c>
      <c r="AC63" s="609"/>
      <c r="AD63" s="609"/>
      <c r="AE63" s="742">
        <f>+BB19</f>
        <v>-15500</v>
      </c>
      <c r="AF63" s="458"/>
      <c r="AG63" s="458"/>
      <c r="AH63" s="458"/>
      <c r="AI63" s="490"/>
      <c r="AJ63" s="477" t="s">
        <v>971</v>
      </c>
      <c r="AK63" s="458"/>
      <c r="AL63" s="458"/>
      <c r="AM63" s="458"/>
      <c r="AN63" s="458"/>
      <c r="AO63" s="458"/>
      <c r="AP63" s="458"/>
      <c r="AQ63" s="742">
        <f>+AZ19</f>
        <v>0</v>
      </c>
      <c r="AR63" s="2"/>
      <c r="AS63" s="2"/>
      <c r="AT63" s="742">
        <f>+BD19</f>
        <v>-15500</v>
      </c>
      <c r="AU63" s="492"/>
    </row>
    <row r="64" spans="1:57" ht="12.75" customHeight="1">
      <c r="A64" s="490"/>
      <c r="B64" s="477" t="s">
        <v>732</v>
      </c>
      <c r="C64" s="477"/>
      <c r="D64" s="742">
        <f>+AY20</f>
        <v>-1166</v>
      </c>
      <c r="E64" s="609"/>
      <c r="F64" s="609"/>
      <c r="G64" s="739">
        <f>+BC20</f>
        <v>-7385</v>
      </c>
      <c r="H64" s="628"/>
      <c r="I64" s="628"/>
      <c r="J64" s="628"/>
      <c r="K64" s="632"/>
      <c r="L64" s="505" t="s">
        <v>732</v>
      </c>
      <c r="M64" s="628"/>
      <c r="N64" s="628"/>
      <c r="O64" s="628"/>
      <c r="P64" s="628"/>
      <c r="Q64" s="628"/>
      <c r="R64" s="628"/>
      <c r="S64" s="742">
        <f>+BA20</f>
        <v>-1166</v>
      </c>
      <c r="T64" s="493"/>
      <c r="U64" s="493"/>
      <c r="V64" s="742">
        <f>+BE20</f>
        <v>-7385</v>
      </c>
      <c r="W64" s="492"/>
      <c r="AA64" s="477"/>
      <c r="AB64" s="742">
        <f>+AX20</f>
        <v>-1166</v>
      </c>
      <c r="AC64" s="493"/>
      <c r="AD64" s="493"/>
      <c r="AE64" s="742">
        <f>+BB20</f>
        <v>-7385</v>
      </c>
      <c r="AF64" s="458"/>
      <c r="AG64" s="458"/>
      <c r="AH64" s="458"/>
      <c r="AI64" s="490"/>
      <c r="AJ64" s="477" t="s">
        <v>732</v>
      </c>
      <c r="AK64" s="458"/>
      <c r="AL64" s="458"/>
      <c r="AM64" s="458"/>
      <c r="AN64" s="458"/>
      <c r="AO64" s="458"/>
      <c r="AP64" s="458"/>
      <c r="AQ64" s="742">
        <f>+AZ20</f>
        <v>-1166</v>
      </c>
      <c r="AR64" s="493"/>
      <c r="AS64" s="493"/>
      <c r="AT64" s="742">
        <f>+BD20</f>
        <v>-7385</v>
      </c>
      <c r="AU64" s="492"/>
      <c r="AW64" s="496"/>
      <c r="AX64" s="496"/>
      <c r="AY64" s="496"/>
      <c r="AZ64" s="496"/>
      <c r="BA64" s="496"/>
      <c r="BB64" s="496"/>
      <c r="BC64" s="496"/>
      <c r="BD64" s="496"/>
      <c r="BE64" s="496"/>
    </row>
    <row r="65" spans="1:57" s="496" customFormat="1" ht="12.75" customHeight="1">
      <c r="A65" s="490"/>
      <c r="B65" s="456" t="s">
        <v>972</v>
      </c>
      <c r="C65" s="494"/>
      <c r="D65" s="613">
        <f>SUM(D59:D64)</f>
        <v>-7732.8670000000211</v>
      </c>
      <c r="E65" s="609"/>
      <c r="F65" s="609"/>
      <c r="G65" s="495">
        <f>SUM(G59:G64)</f>
        <v>-28549.318000000196</v>
      </c>
      <c r="H65" s="634"/>
      <c r="I65" s="634"/>
      <c r="J65" s="634"/>
      <c r="K65" s="622"/>
      <c r="L65" s="635" t="s">
        <v>972</v>
      </c>
      <c r="M65" s="635"/>
      <c r="N65" s="634"/>
      <c r="O65" s="634"/>
      <c r="P65" s="634"/>
      <c r="Q65" s="634"/>
      <c r="R65" s="634"/>
      <c r="S65" s="613">
        <f>SUM(S59:S64)</f>
        <v>-7732.8670000000211</v>
      </c>
      <c r="T65" s="609"/>
      <c r="U65" s="609"/>
      <c r="V65" s="613">
        <f>SUM(V59:V64)</f>
        <v>-10476.318000000196</v>
      </c>
      <c r="X65" s="670"/>
      <c r="Y65" s="670"/>
      <c r="AA65" s="494"/>
      <c r="AB65" s="613">
        <f>SUM(AB59:AB64)</f>
        <v>-2237.5910000000003</v>
      </c>
      <c r="AC65" s="609"/>
      <c r="AD65" s="609"/>
      <c r="AE65" s="613">
        <f>SUM(AE59:AE64)</f>
        <v>-25794.193000000014</v>
      </c>
      <c r="AI65" s="482"/>
      <c r="AJ65" s="456" t="s">
        <v>972</v>
      </c>
      <c r="AK65" s="456"/>
      <c r="AQ65" s="613">
        <f>SUM(AQ59:AQ64)</f>
        <v>-2237.5910000000003</v>
      </c>
      <c r="AR65" s="2"/>
      <c r="AS65" s="2"/>
      <c r="AT65" s="613">
        <f>SUM(AT59:AT64)</f>
        <v>-10294.193000000014</v>
      </c>
    </row>
    <row r="66" spans="1:57" s="496" customFormat="1" ht="12.75" customHeight="1">
      <c r="A66" s="490"/>
      <c r="B66" s="456"/>
      <c r="C66" s="494"/>
      <c r="D66" s="610"/>
      <c r="E66" s="609"/>
      <c r="F66" s="609"/>
      <c r="G66" s="611"/>
      <c r="H66" s="634"/>
      <c r="I66" s="634"/>
      <c r="J66" s="634"/>
      <c r="K66" s="622"/>
      <c r="L66" s="636"/>
      <c r="M66" s="634"/>
      <c r="N66" s="634"/>
      <c r="O66" s="634"/>
      <c r="P66" s="634"/>
      <c r="Q66" s="634"/>
      <c r="R66" s="634"/>
      <c r="S66" s="610"/>
      <c r="T66" s="609"/>
      <c r="U66" s="609"/>
      <c r="V66" s="610"/>
      <c r="X66" s="670"/>
      <c r="Y66" s="670"/>
      <c r="AA66" s="494"/>
      <c r="AB66" s="610"/>
      <c r="AC66" s="609"/>
      <c r="AD66" s="609"/>
      <c r="AE66" s="610"/>
      <c r="AI66" s="482"/>
      <c r="AJ66" s="497"/>
      <c r="AQ66" s="610"/>
      <c r="AR66" s="2"/>
      <c r="AS66" s="2"/>
      <c r="AT66" s="610"/>
    </row>
    <row r="67" spans="1:57" s="496" customFormat="1" ht="12.75" customHeight="1">
      <c r="A67" s="490"/>
      <c r="B67" s="456" t="s">
        <v>973</v>
      </c>
      <c r="C67" s="494"/>
      <c r="D67" s="742">
        <f>+AY21</f>
        <v>-24684</v>
      </c>
      <c r="E67" s="609"/>
      <c r="F67" s="609"/>
      <c r="G67" s="739">
        <f>+BC21</f>
        <v>-45203</v>
      </c>
      <c r="H67" s="634"/>
      <c r="I67" s="634"/>
      <c r="J67" s="634"/>
      <c r="K67" s="622"/>
      <c r="L67" s="635" t="s">
        <v>973</v>
      </c>
      <c r="M67" s="634"/>
      <c r="N67" s="634"/>
      <c r="O67" s="634"/>
      <c r="P67" s="634"/>
      <c r="Q67" s="634"/>
      <c r="R67" s="634"/>
      <c r="S67" s="742">
        <f>+BA21</f>
        <v>-24684</v>
      </c>
      <c r="T67" s="609"/>
      <c r="U67" s="609"/>
      <c r="V67" s="742">
        <f>+BE21</f>
        <v>-45203</v>
      </c>
      <c r="X67" s="670"/>
      <c r="Y67" s="670"/>
      <c r="AA67" s="494"/>
      <c r="AB67" s="742">
        <f>+AX21</f>
        <v>0</v>
      </c>
      <c r="AC67" s="609"/>
      <c r="AD67" s="609"/>
      <c r="AE67" s="742">
        <f>+BB21</f>
        <v>-45203</v>
      </c>
      <c r="AI67" s="482"/>
      <c r="AJ67" s="456" t="s">
        <v>973</v>
      </c>
      <c r="AQ67" s="742">
        <f>+AZ21</f>
        <v>0</v>
      </c>
      <c r="AR67" s="2"/>
      <c r="AS67" s="2"/>
      <c r="AT67" s="742">
        <f>+BD21</f>
        <v>-45203</v>
      </c>
    </row>
    <row r="68" spans="1:57" s="496" customFormat="1" ht="12.75" customHeight="1">
      <c r="A68" s="490"/>
      <c r="B68" s="457" t="s">
        <v>974</v>
      </c>
      <c r="C68" s="498"/>
      <c r="D68" s="742">
        <f>+AY22</f>
        <v>-114469</v>
      </c>
      <c r="E68" s="609"/>
      <c r="F68" s="609"/>
      <c r="G68" s="739">
        <f>+BC22</f>
        <v>-105560</v>
      </c>
      <c r="H68" s="637"/>
      <c r="I68" s="637"/>
      <c r="J68" s="637"/>
      <c r="K68" s="632"/>
      <c r="L68" s="506" t="s">
        <v>974</v>
      </c>
      <c r="M68" s="637"/>
      <c r="N68" s="634"/>
      <c r="O68" s="634"/>
      <c r="P68" s="634"/>
      <c r="Q68" s="634"/>
      <c r="R68" s="634"/>
      <c r="S68" s="742">
        <f>+BA22</f>
        <v>-114469</v>
      </c>
      <c r="T68" s="609"/>
      <c r="U68" s="609"/>
      <c r="V68" s="742">
        <f>+BE22</f>
        <v>-105560</v>
      </c>
      <c r="X68" s="670"/>
      <c r="Y68" s="670"/>
      <c r="AA68" s="498"/>
      <c r="AB68" s="742">
        <f>+AX22</f>
        <v>-140302</v>
      </c>
      <c r="AC68" s="609"/>
      <c r="AD68" s="609"/>
      <c r="AE68" s="742">
        <f>+BB22</f>
        <v>-103993</v>
      </c>
      <c r="AF68" s="499"/>
      <c r="AG68" s="499"/>
      <c r="AH68" s="499"/>
      <c r="AI68" s="490"/>
      <c r="AJ68" s="457" t="s">
        <v>974</v>
      </c>
      <c r="AK68" s="499"/>
      <c r="AQ68" s="742">
        <f>+AZ22</f>
        <v>-140302</v>
      </c>
      <c r="AR68" s="2"/>
      <c r="AS68" s="2"/>
      <c r="AT68" s="742">
        <f>+BD22</f>
        <v>-103993</v>
      </c>
      <c r="AW68" s="453"/>
      <c r="AX68" s="453"/>
      <c r="AY68" s="453"/>
      <c r="AZ68" s="453"/>
      <c r="BA68" s="453"/>
      <c r="BB68" s="453"/>
      <c r="BC68" s="453"/>
      <c r="BD68" s="453"/>
      <c r="BE68" s="453"/>
    </row>
    <row r="69" spans="1:57">
      <c r="A69" s="490"/>
      <c r="B69" s="457" t="s">
        <v>975</v>
      </c>
      <c r="C69" s="498"/>
      <c r="D69" s="742">
        <f>+AY23</f>
        <v>-217948</v>
      </c>
      <c r="E69" s="609"/>
      <c r="F69" s="609"/>
      <c r="G69" s="739">
        <f>+BC23</f>
        <v>-246937</v>
      </c>
      <c r="H69" s="628"/>
      <c r="I69" s="628"/>
      <c r="J69" s="628"/>
      <c r="K69" s="632"/>
      <c r="L69" s="506" t="s">
        <v>975</v>
      </c>
      <c r="M69" s="628"/>
      <c r="N69" s="467"/>
      <c r="O69" s="467"/>
      <c r="P69" s="467"/>
      <c r="Q69" s="467"/>
      <c r="R69" s="467"/>
      <c r="S69" s="742">
        <f>+BA23</f>
        <v>-217948</v>
      </c>
      <c r="T69" s="493"/>
      <c r="U69" s="493"/>
      <c r="V69" s="742">
        <f>+BE23</f>
        <v>-246937</v>
      </c>
      <c r="AA69" s="498"/>
      <c r="AB69" s="742">
        <f>+AX23</f>
        <v>-223431</v>
      </c>
      <c r="AC69" s="493"/>
      <c r="AD69" s="493"/>
      <c r="AE69" s="742">
        <f>+BB23</f>
        <v>-245434</v>
      </c>
      <c r="AF69" s="458"/>
      <c r="AG69" s="458"/>
      <c r="AH69" s="458"/>
      <c r="AI69" s="490"/>
      <c r="AJ69" s="457" t="s">
        <v>975</v>
      </c>
      <c r="AK69" s="458"/>
      <c r="AQ69" s="742">
        <f>+AZ23</f>
        <v>-223431</v>
      </c>
      <c r="AR69" s="493"/>
      <c r="AS69" s="493"/>
      <c r="AT69" s="742">
        <f>+BD23</f>
        <v>-245434</v>
      </c>
    </row>
    <row r="70" spans="1:57">
      <c r="A70" s="490"/>
      <c r="B70" s="457" t="s">
        <v>976</v>
      </c>
      <c r="C70" s="498"/>
      <c r="D70" s="638">
        <f>SUM(D67:D69)</f>
        <v>-357101</v>
      </c>
      <c r="E70" s="609"/>
      <c r="F70" s="609"/>
      <c r="G70" s="495">
        <f>SUM(G67:G69)</f>
        <v>-397700</v>
      </c>
      <c r="H70" s="628"/>
      <c r="I70" s="628"/>
      <c r="J70" s="628"/>
      <c r="K70" s="632"/>
      <c r="L70" s="506" t="s">
        <v>976</v>
      </c>
      <c r="M70" s="628"/>
      <c r="N70" s="467"/>
      <c r="O70" s="467"/>
      <c r="P70" s="467"/>
      <c r="Q70" s="467"/>
      <c r="R70" s="467"/>
      <c r="S70" s="638">
        <f>SUM(S67:S69)</f>
        <v>-357101</v>
      </c>
      <c r="T70" s="609"/>
      <c r="U70" s="609"/>
      <c r="V70" s="638">
        <f>SUM(V67:V69)</f>
        <v>-397700</v>
      </c>
      <c r="AA70" s="498"/>
      <c r="AB70" s="638">
        <f>SUM(AB67:AB69)</f>
        <v>-363733</v>
      </c>
      <c r="AC70" s="609"/>
      <c r="AD70" s="609"/>
      <c r="AE70" s="638">
        <f>SUM(AE67:AE69)</f>
        <v>-394630</v>
      </c>
      <c r="AF70" s="458"/>
      <c r="AG70" s="458"/>
      <c r="AH70" s="458"/>
      <c r="AI70" s="490"/>
      <c r="AJ70" s="457" t="s">
        <v>976</v>
      </c>
      <c r="AK70" s="458"/>
      <c r="AQ70" s="638">
        <f>SUM(AQ67:AQ69)</f>
        <v>-363733</v>
      </c>
      <c r="AR70" s="2"/>
      <c r="AS70" s="2"/>
      <c r="AT70" s="638">
        <f>SUM(AT67:AT69)</f>
        <v>-394630</v>
      </c>
    </row>
    <row r="71" spans="1:57">
      <c r="A71" s="490"/>
      <c r="B71" s="457"/>
      <c r="C71" s="498"/>
      <c r="D71" s="639"/>
      <c r="E71" s="609"/>
      <c r="F71" s="609"/>
      <c r="G71" s="639"/>
      <c r="H71" s="628"/>
      <c r="I71" s="628"/>
      <c r="J71" s="628"/>
      <c r="K71" s="632"/>
      <c r="L71" s="506"/>
      <c r="M71" s="628"/>
      <c r="N71" s="467"/>
      <c r="O71" s="467"/>
      <c r="P71" s="467"/>
      <c r="Q71" s="467"/>
      <c r="R71" s="467"/>
      <c r="S71" s="639"/>
      <c r="T71" s="609"/>
      <c r="U71" s="609"/>
      <c r="V71" s="639"/>
      <c r="AA71" s="498"/>
      <c r="AB71" s="639"/>
      <c r="AC71" s="609"/>
      <c r="AD71" s="609"/>
      <c r="AE71" s="639"/>
      <c r="AF71" s="458"/>
      <c r="AG71" s="458"/>
      <c r="AH71" s="458"/>
      <c r="AI71" s="490"/>
      <c r="AJ71" s="457"/>
      <c r="AK71" s="458"/>
      <c r="AQ71" s="639"/>
      <c r="AR71" s="2"/>
      <c r="AS71" s="2"/>
      <c r="AT71" s="639"/>
    </row>
    <row r="72" spans="1:57">
      <c r="A72" s="490"/>
      <c r="B72" s="457" t="s">
        <v>977</v>
      </c>
      <c r="C72" s="498"/>
      <c r="D72" s="739">
        <f>+AY24</f>
        <v>-24684</v>
      </c>
      <c r="E72" s="609"/>
      <c r="F72" s="609"/>
      <c r="G72" s="739">
        <f>+BC24</f>
        <v>-24684</v>
      </c>
      <c r="H72" s="637"/>
      <c r="I72" s="637"/>
      <c r="J72" s="637"/>
      <c r="K72" s="632"/>
      <c r="L72" s="506" t="s">
        <v>977</v>
      </c>
      <c r="M72" s="637"/>
      <c r="N72" s="634"/>
      <c r="O72" s="634"/>
      <c r="P72" s="634"/>
      <c r="Q72" s="634"/>
      <c r="R72" s="634"/>
      <c r="S72" s="739">
        <f>+BA24</f>
        <v>-24684</v>
      </c>
      <c r="T72" s="609"/>
      <c r="U72" s="609"/>
      <c r="V72" s="739">
        <f>+BE24</f>
        <v>-24684</v>
      </c>
      <c r="AA72" s="498"/>
      <c r="AB72" s="739">
        <f>+AX24</f>
        <v>-24684</v>
      </c>
      <c r="AC72" s="609"/>
      <c r="AD72" s="609"/>
      <c r="AE72" s="739">
        <f>+BB24</f>
        <v>-24684</v>
      </c>
      <c r="AF72" s="499"/>
      <c r="AG72" s="499"/>
      <c r="AH72" s="499"/>
      <c r="AI72" s="490"/>
      <c r="AJ72" s="457" t="s">
        <v>977</v>
      </c>
      <c r="AK72" s="499"/>
      <c r="AL72" s="496"/>
      <c r="AM72" s="496"/>
      <c r="AN72" s="496"/>
      <c r="AO72" s="496"/>
      <c r="AP72" s="496"/>
      <c r="AQ72" s="739">
        <f>+AZ24</f>
        <v>-24684</v>
      </c>
      <c r="AR72" s="2"/>
      <c r="AS72" s="2"/>
      <c r="AT72" s="739">
        <f>+BD24</f>
        <v>-24684</v>
      </c>
    </row>
    <row r="73" spans="1:57">
      <c r="A73" s="490"/>
      <c r="B73" s="457" t="s">
        <v>974</v>
      </c>
      <c r="C73" s="498"/>
      <c r="D73" s="739">
        <f>+AY25</f>
        <v>-105184</v>
      </c>
      <c r="E73" s="609"/>
      <c r="F73" s="609"/>
      <c r="G73" s="739">
        <f>+BC25</f>
        <v>-105184</v>
      </c>
      <c r="H73" s="637"/>
      <c r="I73" s="637"/>
      <c r="J73" s="637"/>
      <c r="K73" s="632"/>
      <c r="L73" s="506" t="s">
        <v>974</v>
      </c>
      <c r="M73" s="637"/>
      <c r="N73" s="634"/>
      <c r="O73" s="634"/>
      <c r="P73" s="634"/>
      <c r="Q73" s="634"/>
      <c r="R73" s="634"/>
      <c r="S73" s="739">
        <f>+BA25</f>
        <v>-105184</v>
      </c>
      <c r="T73" s="609"/>
      <c r="U73" s="609"/>
      <c r="V73" s="739">
        <f>+BE25</f>
        <v>-105184</v>
      </c>
      <c r="AA73" s="498"/>
      <c r="AB73" s="739">
        <f>+AX25</f>
        <v>-105184</v>
      </c>
      <c r="AC73" s="609"/>
      <c r="AD73" s="609"/>
      <c r="AE73" s="739">
        <f>+BB25</f>
        <v>-105184</v>
      </c>
      <c r="AF73" s="499"/>
      <c r="AG73" s="499"/>
      <c r="AH73" s="499"/>
      <c r="AI73" s="490"/>
      <c r="AJ73" s="457" t="s">
        <v>974</v>
      </c>
      <c r="AK73" s="499"/>
      <c r="AL73" s="496"/>
      <c r="AM73" s="496"/>
      <c r="AN73" s="496"/>
      <c r="AO73" s="496"/>
      <c r="AP73" s="496"/>
      <c r="AQ73" s="739">
        <f>+AZ25</f>
        <v>-105184</v>
      </c>
      <c r="AR73" s="2"/>
      <c r="AS73" s="2"/>
      <c r="AT73" s="739">
        <f>+BD25</f>
        <v>-105184</v>
      </c>
    </row>
    <row r="74" spans="1:57">
      <c r="A74" s="490"/>
      <c r="B74" s="457" t="s">
        <v>975</v>
      </c>
      <c r="C74" s="498"/>
      <c r="D74" s="739">
        <f>+AY26</f>
        <v>-213976</v>
      </c>
      <c r="E74" s="609"/>
      <c r="F74" s="609"/>
      <c r="G74" s="739">
        <f>+BC26</f>
        <v>-213976</v>
      </c>
      <c r="H74" s="628"/>
      <c r="I74" s="628"/>
      <c r="J74" s="628"/>
      <c r="K74" s="632"/>
      <c r="L74" s="506" t="s">
        <v>975</v>
      </c>
      <c r="M74" s="628"/>
      <c r="N74" s="467"/>
      <c r="O74" s="467"/>
      <c r="P74" s="467"/>
      <c r="Q74" s="467"/>
      <c r="R74" s="467"/>
      <c r="S74" s="739">
        <f>+BA26</f>
        <v>-213976</v>
      </c>
      <c r="T74" s="493"/>
      <c r="U74" s="493"/>
      <c r="V74" s="739">
        <f>+BE26</f>
        <v>-213976</v>
      </c>
      <c r="AA74" s="498"/>
      <c r="AB74" s="739">
        <f>+AX26</f>
        <v>-213976</v>
      </c>
      <c r="AC74" s="493"/>
      <c r="AD74" s="493"/>
      <c r="AE74" s="739">
        <f>+BB26</f>
        <v>-213976</v>
      </c>
      <c r="AF74" s="458"/>
      <c r="AG74" s="458"/>
      <c r="AH74" s="458"/>
      <c r="AI74" s="490"/>
      <c r="AJ74" s="457" t="s">
        <v>975</v>
      </c>
      <c r="AK74" s="458"/>
      <c r="AQ74" s="739">
        <f>+AZ26</f>
        <v>-213976</v>
      </c>
      <c r="AR74" s="493"/>
      <c r="AS74" s="493"/>
      <c r="AT74" s="739">
        <f>+BD26</f>
        <v>-213976</v>
      </c>
    </row>
    <row r="75" spans="1:57">
      <c r="A75" s="490"/>
      <c r="B75" s="456" t="s">
        <v>976</v>
      </c>
      <c r="C75" s="494"/>
      <c r="D75" s="495">
        <f>SUM(D72:D74)</f>
        <v>-343844</v>
      </c>
      <c r="E75" s="609"/>
      <c r="F75" s="609"/>
      <c r="G75" s="495">
        <f>SUM(G72:G74)</f>
        <v>-343844</v>
      </c>
      <c r="H75" s="467"/>
      <c r="I75" s="467"/>
      <c r="J75" s="467"/>
      <c r="K75" s="622"/>
      <c r="L75" s="635" t="s">
        <v>976</v>
      </c>
      <c r="M75" s="467"/>
      <c r="N75" s="467"/>
      <c r="O75" s="467"/>
      <c r="P75" s="467"/>
      <c r="Q75" s="467"/>
      <c r="R75" s="467"/>
      <c r="S75" s="495">
        <f>SUM(S72:S74)</f>
        <v>-343844</v>
      </c>
      <c r="T75" s="609"/>
      <c r="U75" s="609"/>
      <c r="V75" s="495">
        <f>SUM(V72:V74)</f>
        <v>-343844</v>
      </c>
      <c r="AA75" s="494"/>
      <c r="AB75" s="495">
        <f>SUM(AB72:AB74)</f>
        <v>-343844</v>
      </c>
      <c r="AC75" s="609"/>
      <c r="AD75" s="609"/>
      <c r="AE75" s="495">
        <f>SUM(AE72:AE74)</f>
        <v>-343844</v>
      </c>
      <c r="AI75" s="482"/>
      <c r="AJ75" s="456" t="s">
        <v>976</v>
      </c>
      <c r="AQ75" s="495">
        <f>SUM(AQ72:AQ74)</f>
        <v>-343844</v>
      </c>
      <c r="AR75" s="2"/>
      <c r="AS75" s="2"/>
      <c r="AT75" s="495">
        <f>SUM(AT72:AT74)</f>
        <v>-343844</v>
      </c>
    </row>
    <row r="76" spans="1:57">
      <c r="A76" s="490"/>
      <c r="B76" s="456"/>
      <c r="C76" s="494"/>
      <c r="D76" s="610"/>
      <c r="E76" s="609"/>
      <c r="F76" s="609"/>
      <c r="G76" s="611"/>
      <c r="H76" s="467"/>
      <c r="I76" s="467"/>
      <c r="J76" s="467"/>
      <c r="K76" s="622"/>
      <c r="L76" s="636"/>
      <c r="M76" s="467"/>
      <c r="N76" s="467"/>
      <c r="O76" s="467"/>
      <c r="P76" s="467"/>
      <c r="Q76" s="467"/>
      <c r="R76" s="467"/>
      <c r="S76" s="610"/>
      <c r="T76" s="609"/>
      <c r="U76" s="609"/>
      <c r="V76" s="610"/>
      <c r="AA76" s="494"/>
      <c r="AB76" s="610"/>
      <c r="AC76" s="609"/>
      <c r="AD76" s="609"/>
      <c r="AE76" s="610"/>
      <c r="AI76" s="482"/>
      <c r="AJ76" s="497"/>
      <c r="AQ76" s="610"/>
      <c r="AR76" s="2"/>
      <c r="AS76" s="2"/>
      <c r="AT76" s="610"/>
    </row>
    <row r="77" spans="1:57" ht="12.75" customHeight="1">
      <c r="A77" s="500"/>
      <c r="B77" s="478" t="s">
        <v>967</v>
      </c>
      <c r="C77" s="478"/>
      <c r="D77" s="616">
        <f>IF(D70&lt;&gt;0,-D65/AVERAGE(D70,D75),0)*100</f>
        <v>-2.2064119153428643</v>
      </c>
      <c r="E77" s="617"/>
      <c r="F77" s="617"/>
      <c r="G77" s="479">
        <f>IF(G70&lt;&gt;0,-G65/AVERAGE(G70,G75),0)*100</f>
        <v>-7.6999660168513797</v>
      </c>
      <c r="H77" s="467"/>
      <c r="I77" s="467"/>
      <c r="J77" s="467"/>
      <c r="K77" s="625"/>
      <c r="L77" s="478" t="s">
        <v>967</v>
      </c>
      <c r="M77" s="467"/>
      <c r="N77" s="467"/>
      <c r="O77" s="467"/>
      <c r="P77" s="467"/>
      <c r="Q77" s="467"/>
      <c r="R77" s="467"/>
      <c r="S77" s="616">
        <f>IF(S70&lt;&gt;0,-S65/AVERAGE(S70,S75),0)*100</f>
        <v>-2.2064119153428643</v>
      </c>
      <c r="T77" s="617"/>
      <c r="U77" s="617"/>
      <c r="V77" s="616">
        <f>IF(V70&lt;&gt;0,-V65/AVERAGE(V70,V75),0)*100</f>
        <v>-2.825541842426126</v>
      </c>
      <c r="AA77" s="478"/>
      <c r="AB77" s="616">
        <f>IF(AB70&lt;&gt;0,-AB65/AVERAGE(AB70,AB75),0)*100</f>
        <v>-0.63246572457838524</v>
      </c>
      <c r="AC77" s="617"/>
      <c r="AD77" s="617"/>
      <c r="AE77" s="616">
        <f>IF(AE70&lt;&gt;0,-AE65/AVERAGE(AE70,AE75),0)*100</f>
        <v>-6.9858093852999597</v>
      </c>
      <c r="AI77" s="487"/>
      <c r="AJ77" s="478" t="s">
        <v>967</v>
      </c>
      <c r="AQ77" s="616">
        <f>IF(AQ70&lt;&gt;0,-AQ65/AVERAGE(AQ70,AQ75),0)*100</f>
        <v>-0.63246572457838524</v>
      </c>
      <c r="AR77" s="480"/>
      <c r="AS77" s="480"/>
      <c r="AT77" s="616">
        <f>IF(AT70&lt;&gt;0,-AT65/AVERAGE(AT70,AT75),0)*100</f>
        <v>-2.7879635572816412</v>
      </c>
    </row>
    <row r="78" spans="1:57">
      <c r="A78" s="490"/>
      <c r="D78" s="526"/>
      <c r="E78" s="609"/>
      <c r="F78" s="609"/>
      <c r="G78" s="467"/>
      <c r="H78" s="467"/>
      <c r="I78" s="467"/>
      <c r="J78" s="467"/>
      <c r="K78" s="622"/>
      <c r="L78" s="517"/>
      <c r="M78" s="467"/>
      <c r="N78" s="467"/>
      <c r="O78" s="467"/>
      <c r="P78" s="467"/>
      <c r="Q78" s="467"/>
      <c r="R78" s="467"/>
      <c r="S78" s="526"/>
      <c r="T78" s="609"/>
      <c r="U78" s="609"/>
      <c r="V78" s="526"/>
      <c r="AB78" s="526"/>
      <c r="AC78" s="609"/>
      <c r="AD78" s="609"/>
      <c r="AE78" s="526"/>
      <c r="AI78" s="482"/>
      <c r="AJ78" s="472"/>
      <c r="AQ78" s="526"/>
      <c r="AR78" s="2"/>
      <c r="AS78" s="2"/>
      <c r="AT78" s="526"/>
    </row>
    <row r="79" spans="1:57">
      <c r="A79" s="501"/>
      <c r="B79" s="478" t="s">
        <v>861</v>
      </c>
      <c r="C79" s="478"/>
      <c r="D79" s="623">
        <f>IF(D77&gt;=$K$115,$K$111,INDEX($K$111:$O$111,,MATCH(D77,$K$115:$O$115,-1)+1))</f>
        <v>2</v>
      </c>
      <c r="E79" s="624"/>
      <c r="F79" s="624"/>
      <c r="G79" s="485">
        <f>IF(G77&gt;=$K$115,$K$111,INDEX($K$111:$O$111,,MATCH(G77,$K$115:$O$115,-1)+1))</f>
        <v>1</v>
      </c>
      <c r="H79" s="467"/>
      <c r="I79" s="467"/>
      <c r="J79" s="467"/>
      <c r="K79" s="626"/>
      <c r="L79" s="478" t="s">
        <v>861</v>
      </c>
      <c r="M79" s="467"/>
      <c r="N79" s="467"/>
      <c r="O79" s="467"/>
      <c r="P79" s="467"/>
      <c r="Q79" s="467"/>
      <c r="R79" s="467"/>
      <c r="S79" s="623">
        <f>IF(S77&gt;=$K$115,$K$111,INDEX($K$111:$O$111,,MATCH(S77,$K$115:$O$115,-1)+1))</f>
        <v>2</v>
      </c>
      <c r="T79" s="624"/>
      <c r="U79" s="624"/>
      <c r="V79" s="623">
        <f>IF(V77&gt;=$K$115,$K$111,INDEX($K$111:$O$111,,MATCH(V77,$K$115:$O$115,-1)+1))</f>
        <v>2</v>
      </c>
      <c r="AA79" s="478"/>
      <c r="AB79" s="623">
        <f>IF(AB77&gt;=$K$115,$K$111,INDEX($K$111:$O$111,,MATCH(AB77,$K$115:$O$115,-1)+1))</f>
        <v>2</v>
      </c>
      <c r="AC79" s="624"/>
      <c r="AD79" s="624"/>
      <c r="AE79" s="623">
        <f>IF(AE77&gt;=$K$115,$K$111,INDEX($K$111:$O$111,,MATCH(AE77,$K$115:$O$115,-1)+1))</f>
        <v>1</v>
      </c>
      <c r="AI79" s="488"/>
      <c r="AJ79" s="478" t="s">
        <v>861</v>
      </c>
      <c r="AQ79" s="623">
        <f>IF(AQ77&gt;=$K$115,$K$111,INDEX($K$111:$O$111,,MATCH(AQ77,$K$115:$O$115,-1)+1))</f>
        <v>2</v>
      </c>
      <c r="AR79" s="486"/>
      <c r="AS79" s="486"/>
      <c r="AT79" s="623">
        <f>IF(AT77&gt;=$K$115,$K$111,INDEX($K$111:$O$111,,MATCH(AT77,$K$115:$O$115,-1)+1))</f>
        <v>2</v>
      </c>
    </row>
    <row r="80" spans="1:57">
      <c r="A80" s="458"/>
      <c r="D80" s="526"/>
      <c r="E80" s="467"/>
      <c r="F80" s="467"/>
      <c r="G80" s="467"/>
      <c r="H80" s="467"/>
      <c r="I80" s="467"/>
      <c r="J80" s="467"/>
      <c r="K80" s="517"/>
      <c r="L80" s="517"/>
      <c r="M80" s="467"/>
      <c r="N80" s="467"/>
      <c r="O80" s="467"/>
      <c r="P80" s="467"/>
      <c r="Q80" s="467"/>
      <c r="R80" s="467"/>
      <c r="S80" s="526"/>
      <c r="T80" s="467"/>
      <c r="U80" s="467"/>
      <c r="V80" s="526"/>
      <c r="AB80" s="526"/>
      <c r="AC80" s="467"/>
      <c r="AD80" s="467"/>
      <c r="AE80" s="526"/>
      <c r="AI80" s="472"/>
      <c r="AJ80" s="472"/>
      <c r="AQ80" s="526"/>
      <c r="AT80" s="526"/>
    </row>
    <row r="81" spans="1:57">
      <c r="D81" s="467"/>
      <c r="E81" s="609"/>
      <c r="F81" s="609"/>
      <c r="G81" s="467"/>
      <c r="H81" s="467"/>
      <c r="I81" s="467"/>
      <c r="J81" s="467"/>
      <c r="K81" s="517"/>
      <c r="L81" s="517"/>
      <c r="M81" s="467"/>
      <c r="N81" s="467"/>
      <c r="O81" s="467"/>
      <c r="P81" s="467"/>
      <c r="Q81" s="467"/>
      <c r="R81" s="467"/>
      <c r="S81" s="467"/>
      <c r="T81" s="609"/>
      <c r="U81" s="609"/>
      <c r="V81" s="467"/>
      <c r="AB81" s="467"/>
      <c r="AC81" s="609"/>
      <c r="AD81" s="609"/>
      <c r="AE81" s="467"/>
      <c r="AI81" s="472"/>
      <c r="AJ81" s="472"/>
      <c r="AQ81" s="467"/>
      <c r="AR81" s="2"/>
      <c r="AS81" s="2"/>
      <c r="AT81" s="467"/>
    </row>
    <row r="82" spans="1:57">
      <c r="A82" s="468">
        <v>4</v>
      </c>
      <c r="B82" s="469" t="s">
        <v>820</v>
      </c>
      <c r="C82" s="469"/>
      <c r="D82" s="467"/>
      <c r="E82" s="467"/>
      <c r="F82" s="467"/>
      <c r="G82" s="609"/>
      <c r="H82" s="467"/>
      <c r="I82" s="467"/>
      <c r="J82" s="467"/>
      <c r="K82" s="468">
        <v>4</v>
      </c>
      <c r="L82" s="470" t="s">
        <v>820</v>
      </c>
      <c r="M82" s="467"/>
      <c r="N82" s="467"/>
      <c r="O82" s="467"/>
      <c r="P82" s="467"/>
      <c r="Q82" s="467"/>
      <c r="R82" s="467"/>
      <c r="S82" s="467"/>
      <c r="T82" s="467"/>
      <c r="U82" s="467"/>
      <c r="V82" s="467"/>
      <c r="AA82" s="469"/>
      <c r="AB82" s="467"/>
      <c r="AC82" s="467"/>
      <c r="AD82" s="467"/>
      <c r="AE82" s="467"/>
      <c r="AI82" s="468">
        <v>4</v>
      </c>
      <c r="AJ82" s="470" t="s">
        <v>820</v>
      </c>
      <c r="AQ82" s="467"/>
      <c r="AT82" s="467"/>
    </row>
    <row r="83" spans="1:57">
      <c r="A83" s="482"/>
      <c r="B83" s="456" t="s">
        <v>729</v>
      </c>
      <c r="C83" s="456"/>
      <c r="D83" s="738">
        <f>+AY8</f>
        <v>-11087.739000000021</v>
      </c>
      <c r="E83" s="467"/>
      <c r="F83" s="467"/>
      <c r="G83" s="738">
        <f>+BC8</f>
        <v>-15570.190000000199</v>
      </c>
      <c r="H83" s="467"/>
      <c r="I83" s="467"/>
      <c r="J83" s="467"/>
      <c r="K83" s="622"/>
      <c r="L83" s="612" t="s">
        <v>978</v>
      </c>
      <c r="M83" s="467"/>
      <c r="N83" s="467"/>
      <c r="O83" s="467"/>
      <c r="P83" s="467"/>
      <c r="Q83" s="467"/>
      <c r="R83" s="467"/>
      <c r="S83" s="738">
        <f>+BA8</f>
        <v>-11087.739000000021</v>
      </c>
      <c r="T83" s="467"/>
      <c r="U83" s="467"/>
      <c r="V83" s="738">
        <f>+BE8</f>
        <v>-15570.190000000199</v>
      </c>
      <c r="AA83" s="456"/>
      <c r="AB83" s="738">
        <f>+AX8</f>
        <v>-5850.5910000000003</v>
      </c>
      <c r="AC83" s="467"/>
      <c r="AD83" s="467"/>
      <c r="AE83" s="738">
        <f>+BB8</f>
        <v>-15570.193000000014</v>
      </c>
      <c r="AI83" s="482"/>
      <c r="AJ83" s="473" t="s">
        <v>978</v>
      </c>
      <c r="AQ83" s="738">
        <f>+AZ8</f>
        <v>-5850.5910000000003</v>
      </c>
      <c r="AT83" s="738">
        <f>+BD8</f>
        <v>-15570.193000000014</v>
      </c>
    </row>
    <row r="84" spans="1:57">
      <c r="A84" s="482"/>
      <c r="B84" s="474" t="s">
        <v>730</v>
      </c>
      <c r="C84" s="474"/>
      <c r="D84" s="495">
        <f>+D42</f>
        <v>0</v>
      </c>
      <c r="E84" s="615"/>
      <c r="F84" s="615"/>
      <c r="G84" s="495">
        <f>+G42</f>
        <v>-15500</v>
      </c>
      <c r="H84" s="467"/>
      <c r="I84" s="467"/>
      <c r="J84" s="467"/>
      <c r="K84" s="622"/>
      <c r="L84" s="614"/>
      <c r="M84" s="467"/>
      <c r="N84" s="467"/>
      <c r="O84" s="467"/>
      <c r="P84" s="467"/>
      <c r="Q84" s="467"/>
      <c r="R84" s="467"/>
      <c r="S84" s="495">
        <f>+S42</f>
        <v>0</v>
      </c>
      <c r="T84" s="495"/>
      <c r="U84" s="495"/>
      <c r="V84" s="495">
        <f>+V42</f>
        <v>0</v>
      </c>
      <c r="AA84" s="474"/>
      <c r="AB84" s="495">
        <f>+AB42</f>
        <v>0</v>
      </c>
      <c r="AC84" s="615"/>
      <c r="AD84" s="615"/>
      <c r="AE84" s="495">
        <f>+AE42</f>
        <v>-15500</v>
      </c>
      <c r="AI84" s="482"/>
      <c r="AJ84" s="476"/>
      <c r="AQ84" s="495">
        <f>+AQ42</f>
        <v>0</v>
      </c>
      <c r="AR84" s="475"/>
      <c r="AS84" s="475"/>
      <c r="AT84" s="495">
        <f>+AT42</f>
        <v>0</v>
      </c>
    </row>
    <row r="85" spans="1:57">
      <c r="A85" s="482"/>
      <c r="B85" s="474" t="s">
        <v>731</v>
      </c>
      <c r="C85" s="474"/>
      <c r="D85" s="738">
        <f>+AY9</f>
        <v>3482.598</v>
      </c>
      <c r="E85" s="467"/>
      <c r="F85" s="467"/>
      <c r="G85" s="738">
        <f>+BC9</f>
        <v>36314.872000000003</v>
      </c>
      <c r="H85" s="467"/>
      <c r="I85" s="467"/>
      <c r="J85" s="467"/>
      <c r="K85" s="622"/>
      <c r="L85" s="614"/>
      <c r="M85" s="467"/>
      <c r="N85" s="467"/>
      <c r="O85" s="467"/>
      <c r="P85" s="467"/>
      <c r="Q85" s="467"/>
      <c r="R85" s="467"/>
      <c r="S85" s="738">
        <f>+BA9</f>
        <v>3482.598</v>
      </c>
      <c r="T85" s="495"/>
      <c r="U85" s="495"/>
      <c r="V85" s="738">
        <f>+BE9</f>
        <v>36314.872000000003</v>
      </c>
      <c r="AA85" s="474"/>
      <c r="AB85" s="738">
        <f>+AX9</f>
        <v>3664</v>
      </c>
      <c r="AC85" s="467"/>
      <c r="AD85" s="467"/>
      <c r="AE85" s="738">
        <f>+BB9</f>
        <v>36497</v>
      </c>
      <c r="AI85" s="482"/>
      <c r="AJ85" s="476"/>
      <c r="AQ85" s="738">
        <f>+AZ9</f>
        <v>3664</v>
      </c>
      <c r="AR85" s="475"/>
      <c r="AS85" s="475"/>
      <c r="AT85" s="738">
        <f>+BD9</f>
        <v>36497</v>
      </c>
      <c r="AW85" s="484"/>
      <c r="AX85" s="484"/>
      <c r="AY85" s="484"/>
      <c r="AZ85" s="484"/>
      <c r="BA85" s="484"/>
      <c r="BB85" s="484"/>
      <c r="BC85" s="484"/>
      <c r="BD85" s="484"/>
      <c r="BE85" s="484"/>
    </row>
    <row r="86" spans="1:57" s="484" customFormat="1">
      <c r="A86" s="482"/>
      <c r="B86" s="494" t="s">
        <v>726</v>
      </c>
      <c r="C86" s="494"/>
      <c r="D86" s="639">
        <f>+D44</f>
        <v>88287.161999999997</v>
      </c>
      <c r="E86" s="621"/>
      <c r="F86" s="621"/>
      <c r="G86" s="639">
        <f>+G44</f>
        <v>551852.97799999989</v>
      </c>
      <c r="H86" s="621"/>
      <c r="I86" s="621"/>
      <c r="J86" s="621"/>
      <c r="K86" s="622"/>
      <c r="L86" s="612" t="s">
        <v>966</v>
      </c>
      <c r="M86" s="621"/>
      <c r="N86" s="621"/>
      <c r="O86" s="621"/>
      <c r="P86" s="621"/>
      <c r="Q86" s="621"/>
      <c r="R86" s="621"/>
      <c r="S86" s="639">
        <f>+S44</f>
        <v>52505.495333333332</v>
      </c>
      <c r="T86" s="621"/>
      <c r="U86" s="621"/>
      <c r="V86" s="639">
        <f>+V44</f>
        <v>440512.97799999989</v>
      </c>
      <c r="X86" s="669"/>
      <c r="Y86" s="669"/>
      <c r="AA86" s="494"/>
      <c r="AB86" s="639">
        <f>+AB44</f>
        <v>91461.998999999996</v>
      </c>
      <c r="AC86" s="621"/>
      <c r="AD86" s="621"/>
      <c r="AE86" s="639">
        <f>+AE44</f>
        <v>549636.28700000001</v>
      </c>
      <c r="AI86" s="482"/>
      <c r="AJ86" s="473" t="s">
        <v>966</v>
      </c>
      <c r="AQ86" s="639">
        <f>+AQ44</f>
        <v>54253.332333333332</v>
      </c>
      <c r="AT86" s="639">
        <f>+AT44</f>
        <v>437494.28700000001</v>
      </c>
      <c r="AW86" s="453"/>
      <c r="AX86" s="453"/>
      <c r="AY86" s="453"/>
      <c r="AZ86" s="453"/>
      <c r="BA86" s="453"/>
      <c r="BB86" s="453"/>
      <c r="BC86" s="453"/>
      <c r="BD86" s="453"/>
      <c r="BE86" s="453"/>
    </row>
    <row r="87" spans="1:57">
      <c r="A87" s="482"/>
      <c r="B87" s="478" t="s">
        <v>967</v>
      </c>
      <c r="C87" s="478"/>
      <c r="D87" s="616">
        <f>IF(D86=0,0,SUM(D83:D85)/D86)*100</f>
        <v>-8.6140961241907643</v>
      </c>
      <c r="E87" s="617"/>
      <c r="F87" s="617"/>
      <c r="G87" s="479">
        <f>IF(G86=0,0,SUM(G83:G85)/G86)*100</f>
        <v>0.95037667804336923</v>
      </c>
      <c r="H87" s="467"/>
      <c r="I87" s="467"/>
      <c r="J87" s="467"/>
      <c r="K87" s="622"/>
      <c r="L87" s="478" t="s">
        <v>967</v>
      </c>
      <c r="M87" s="467"/>
      <c r="N87" s="467"/>
      <c r="O87" s="467"/>
      <c r="P87" s="467"/>
      <c r="Q87" s="467"/>
      <c r="R87" s="467"/>
      <c r="S87" s="616">
        <f>IF(S86=0,0,SUM(S83:S85)/S86)*100</f>
        <v>-14.48446672432755</v>
      </c>
      <c r="T87" s="617"/>
      <c r="U87" s="617"/>
      <c r="V87" s="616">
        <f>IF(V86=0,0,SUM(V83:V85)/V86)*100</f>
        <v>4.7092101790471679</v>
      </c>
      <c r="AA87" s="478"/>
      <c r="AB87" s="616">
        <f>IF(AB86=0,0,SUM(AB83:AB85)/AB86)*100</f>
        <v>-2.3907098291171183</v>
      </c>
      <c r="AC87" s="617"/>
      <c r="AD87" s="617"/>
      <c r="AE87" s="616">
        <f>IF(AE86=0,0,SUM(AE83:AE85)/AE86)*100</f>
        <v>0.98734510954877808</v>
      </c>
      <c r="AI87" s="482"/>
      <c r="AJ87" s="478" t="s">
        <v>967</v>
      </c>
      <c r="AQ87" s="616">
        <f>IF(AQ86=0,0,SUM(AQ83:AQ85)/AQ86)*100</f>
        <v>-4.0303349231445376</v>
      </c>
      <c r="AR87" s="480"/>
      <c r="AS87" s="480"/>
      <c r="AT87" s="616">
        <f>IF(AT86=0,0,SUM(AT83:AT85)/AT86)*100</f>
        <v>4.7833326335527637</v>
      </c>
    </row>
    <row r="88" spans="1:57">
      <c r="A88" s="482"/>
      <c r="D88" s="526"/>
      <c r="E88" s="467"/>
      <c r="F88" s="467"/>
      <c r="G88" s="467"/>
      <c r="H88" s="467"/>
      <c r="I88" s="467"/>
      <c r="J88" s="467"/>
      <c r="K88" s="622"/>
      <c r="L88" s="517"/>
      <c r="M88" s="467"/>
      <c r="N88" s="467"/>
      <c r="O88" s="467"/>
      <c r="P88" s="467"/>
      <c r="Q88" s="467"/>
      <c r="R88" s="467"/>
      <c r="S88" s="526"/>
      <c r="T88" s="467"/>
      <c r="U88" s="467"/>
      <c r="V88" s="526"/>
      <c r="AB88" s="526"/>
      <c r="AC88" s="467"/>
      <c r="AD88" s="467"/>
      <c r="AE88" s="526"/>
      <c r="AI88" s="482"/>
      <c r="AJ88" s="472"/>
      <c r="AQ88" s="526"/>
      <c r="AT88" s="526"/>
    </row>
    <row r="89" spans="1:57">
      <c r="A89" s="488"/>
      <c r="B89" s="478" t="s">
        <v>861</v>
      </c>
      <c r="C89" s="478"/>
      <c r="D89" s="623">
        <f>IF(D87&gt;=$K$116,$K$111,INDEX($K$111:$O$111,,MATCH(D87,$K$116:$O$116,-1)+1))</f>
        <v>1</v>
      </c>
      <c r="E89" s="624"/>
      <c r="F89" s="624"/>
      <c r="G89" s="485">
        <f>IF(G87&gt;=$K$116,$K$111,INDEX($K$111:$O$111,,MATCH(G87,$K$116:$O$116,-1)+1))</f>
        <v>2</v>
      </c>
      <c r="H89" s="467"/>
      <c r="I89" s="467"/>
      <c r="J89" s="467"/>
      <c r="K89" s="626"/>
      <c r="L89" s="478" t="s">
        <v>861</v>
      </c>
      <c r="M89" s="467"/>
      <c r="N89" s="467"/>
      <c r="O89" s="467"/>
      <c r="P89" s="467"/>
      <c r="Q89" s="467"/>
      <c r="R89" s="467"/>
      <c r="S89" s="623">
        <f>IF(S87&gt;=$K$116,$K$111,INDEX($K$111:$O$111,,MATCH(S87,$K$116:$O$116,-1)+1))</f>
        <v>1</v>
      </c>
      <c r="T89" s="624"/>
      <c r="U89" s="624"/>
      <c r="V89" s="623">
        <f>IF(V87&gt;=$K$116,$K$111,INDEX($K$111:$O$111,,MATCH(V87,$K$116:$O$116,-1)+1))</f>
        <v>5</v>
      </c>
      <c r="AA89" s="478"/>
      <c r="AB89" s="623">
        <f>IF(AB87&gt;=$K$116,$K$111,INDEX($K$111:$O$111,,MATCH(AB87,$K$116:$O$116,-1)+1))</f>
        <v>1</v>
      </c>
      <c r="AC89" s="624"/>
      <c r="AD89" s="624"/>
      <c r="AE89" s="623">
        <f>IF(AE87&gt;=$K$116,$K$111,INDEX($K$111:$O$111,,MATCH(AE87,$K$116:$O$116,-1)+1))</f>
        <v>2</v>
      </c>
      <c r="AI89" s="488"/>
      <c r="AJ89" s="478" t="s">
        <v>861</v>
      </c>
      <c r="AQ89" s="623">
        <f>IF(AQ87&gt;=$K$116,$K$111,INDEX($K$111:$O$111,,MATCH(AQ87,$K$116:$O$116,-1)+1))</f>
        <v>1</v>
      </c>
      <c r="AR89" s="486"/>
      <c r="AS89" s="486"/>
      <c r="AT89" s="623">
        <f>IF(AT87&gt;=$K$116,$K$111,INDEX($K$111:$O$111,,MATCH(AT87,$K$116:$O$116,-1)+1))</f>
        <v>5</v>
      </c>
    </row>
    <row r="90" spans="1:57">
      <c r="D90" s="526"/>
      <c r="E90" s="467"/>
      <c r="F90" s="467"/>
      <c r="G90" s="467"/>
      <c r="H90" s="467"/>
      <c r="I90" s="467"/>
      <c r="J90" s="467"/>
      <c r="K90" s="517"/>
      <c r="L90" s="517"/>
      <c r="M90" s="467"/>
      <c r="N90" s="467"/>
      <c r="O90" s="467"/>
      <c r="P90" s="467"/>
      <c r="Q90" s="467"/>
      <c r="R90" s="467"/>
      <c r="S90" s="526"/>
      <c r="T90" s="467"/>
      <c r="U90" s="467"/>
      <c r="V90" s="526"/>
      <c r="AB90" s="526"/>
      <c r="AC90" s="467"/>
      <c r="AD90" s="467"/>
      <c r="AE90" s="526"/>
      <c r="AI90" s="472"/>
      <c r="AJ90" s="472"/>
      <c r="AQ90" s="526"/>
      <c r="AT90" s="526"/>
    </row>
    <row r="91" spans="1:57">
      <c r="D91" s="526"/>
      <c r="E91" s="467"/>
      <c r="F91" s="467"/>
      <c r="G91" s="467"/>
      <c r="H91" s="467"/>
      <c r="I91" s="467"/>
      <c r="J91" s="467"/>
      <c r="K91" s="517"/>
      <c r="L91" s="517"/>
      <c r="M91" s="467"/>
      <c r="N91" s="467"/>
      <c r="O91" s="467"/>
      <c r="P91" s="467"/>
      <c r="Q91" s="467"/>
      <c r="R91" s="467"/>
      <c r="S91" s="526"/>
      <c r="T91" s="467"/>
      <c r="U91" s="467"/>
      <c r="V91" s="526"/>
      <c r="AB91" s="526"/>
      <c r="AC91" s="467"/>
      <c r="AD91" s="467"/>
      <c r="AE91" s="526"/>
      <c r="AI91" s="472"/>
      <c r="AJ91" s="472"/>
      <c r="AQ91" s="526"/>
      <c r="AT91" s="526"/>
    </row>
    <row r="92" spans="1:57">
      <c r="A92" s="468">
        <v>5</v>
      </c>
      <c r="B92" s="469" t="s">
        <v>828</v>
      </c>
      <c r="C92" s="469"/>
      <c r="D92" s="526"/>
      <c r="E92" s="615"/>
      <c r="F92" s="615"/>
      <c r="G92" s="467"/>
      <c r="H92" s="467"/>
      <c r="I92" s="467"/>
      <c r="J92" s="467"/>
      <c r="K92" s="468">
        <v>5</v>
      </c>
      <c r="L92" s="470" t="s">
        <v>828</v>
      </c>
      <c r="M92" s="502"/>
      <c r="N92" s="502"/>
      <c r="O92" s="467"/>
      <c r="P92" s="502"/>
      <c r="Q92" s="502"/>
      <c r="R92" s="502"/>
      <c r="S92" s="526"/>
      <c r="T92" s="615"/>
      <c r="U92" s="615"/>
      <c r="V92" s="526"/>
      <c r="AA92" s="469"/>
      <c r="AB92" s="526"/>
      <c r="AC92" s="615"/>
      <c r="AD92" s="615"/>
      <c r="AE92" s="526"/>
      <c r="AH92" s="467"/>
      <c r="AI92" s="468">
        <v>5</v>
      </c>
      <c r="AJ92" s="470" t="s">
        <v>828</v>
      </c>
      <c r="AK92" s="502"/>
      <c r="AL92" s="502"/>
      <c r="AM92" s="467"/>
      <c r="AN92" s="502"/>
      <c r="AO92" s="502"/>
      <c r="AP92" s="502"/>
      <c r="AQ92" s="526"/>
      <c r="AR92" s="454"/>
      <c r="AS92" s="454"/>
      <c r="AT92" s="526"/>
    </row>
    <row r="93" spans="1:57">
      <c r="B93" s="457" t="s">
        <v>821</v>
      </c>
      <c r="C93" s="457"/>
      <c r="D93" s="738">
        <f>+AY10</f>
        <v>-17942</v>
      </c>
      <c r="E93" s="640"/>
      <c r="F93" s="640"/>
      <c r="G93" s="738">
        <f>+BC10</f>
        <v>-18840</v>
      </c>
      <c r="H93" s="467"/>
      <c r="I93" s="467"/>
      <c r="J93" s="467"/>
      <c r="K93" s="517"/>
      <c r="L93" s="633" t="s">
        <v>821</v>
      </c>
      <c r="M93" s="467"/>
      <c r="N93" s="467"/>
      <c r="O93" s="467"/>
      <c r="P93" s="467"/>
      <c r="Q93" s="467"/>
      <c r="R93" s="467"/>
      <c r="S93" s="738">
        <f>+BA10</f>
        <v>-16954</v>
      </c>
      <c r="T93" s="517"/>
      <c r="U93" s="517"/>
      <c r="V93" s="738">
        <f>+BE10</f>
        <v>-18840</v>
      </c>
      <c r="AA93" s="457"/>
      <c r="AB93" s="738">
        <f>+AX10</f>
        <v>-16954</v>
      </c>
      <c r="AC93" s="640"/>
      <c r="AD93" s="640"/>
      <c r="AE93" s="738">
        <f>+BB10</f>
        <v>-16767</v>
      </c>
      <c r="AI93" s="472"/>
      <c r="AJ93" s="491" t="s">
        <v>821</v>
      </c>
      <c r="AQ93" s="738">
        <f>+AZ10</f>
        <v>-16954</v>
      </c>
      <c r="AR93" s="472"/>
      <c r="AS93" s="472"/>
      <c r="AT93" s="738">
        <f>+BD10</f>
        <v>-16767</v>
      </c>
      <c r="AW93" s="454"/>
      <c r="AX93" s="454"/>
      <c r="AY93" s="454"/>
      <c r="AZ93" s="454"/>
      <c r="BA93" s="454"/>
      <c r="BB93" s="454"/>
      <c r="BC93" s="454"/>
      <c r="BD93" s="454"/>
      <c r="BE93" s="454"/>
    </row>
    <row r="94" spans="1:57" s="454" customFormat="1">
      <c r="A94" s="484"/>
      <c r="B94" s="477" t="s">
        <v>979</v>
      </c>
      <c r="C94" s="457"/>
      <c r="D94" s="738">
        <f>-AY11</f>
        <v>-7480</v>
      </c>
      <c r="E94" s="641"/>
      <c r="F94" s="641"/>
      <c r="G94" s="738">
        <f>-BC11</f>
        <v>-7713</v>
      </c>
      <c r="H94" s="615"/>
      <c r="I94" s="615"/>
      <c r="J94" s="615"/>
      <c r="K94" s="621"/>
      <c r="L94" s="505" t="s">
        <v>979</v>
      </c>
      <c r="M94" s="467"/>
      <c r="N94" s="467"/>
      <c r="O94" s="467"/>
      <c r="P94" s="467"/>
      <c r="Q94" s="615"/>
      <c r="R94" s="615"/>
      <c r="S94" s="738">
        <f>-BA11</f>
        <v>-6967</v>
      </c>
      <c r="T94" s="642"/>
      <c r="U94" s="642"/>
      <c r="V94" s="738">
        <f>-BE11</f>
        <v>-7713</v>
      </c>
      <c r="X94" s="668"/>
      <c r="Y94" s="668"/>
      <c r="AA94" s="457"/>
      <c r="AB94" s="738">
        <f>-AX11</f>
        <v>-6967</v>
      </c>
      <c r="AC94" s="641"/>
      <c r="AD94" s="641"/>
      <c r="AE94" s="738">
        <f>-BB11</f>
        <v>-7200</v>
      </c>
      <c r="AI94" s="484"/>
      <c r="AJ94" s="477" t="s">
        <v>979</v>
      </c>
      <c r="AK94" s="453"/>
      <c r="AL94" s="453"/>
      <c r="AM94" s="453"/>
      <c r="AN94" s="453"/>
      <c r="AQ94" s="738">
        <f>-AZ11</f>
        <v>-6967</v>
      </c>
      <c r="AR94" s="504"/>
      <c r="AS94" s="504"/>
      <c r="AT94" s="738">
        <f>-BD11</f>
        <v>-7200</v>
      </c>
      <c r="AW94" s="453"/>
      <c r="AX94" s="453"/>
      <c r="AY94" s="453"/>
      <c r="AZ94" s="453"/>
      <c r="BA94" s="453"/>
      <c r="BB94" s="453"/>
      <c r="BC94" s="453"/>
      <c r="BD94" s="453"/>
      <c r="BE94" s="453"/>
    </row>
    <row r="95" spans="1:57">
      <c r="B95" s="505" t="s">
        <v>980</v>
      </c>
      <c r="C95" s="506"/>
      <c r="D95" s="738">
        <f>-AY12</f>
        <v>-63</v>
      </c>
      <c r="E95" s="507"/>
      <c r="F95" s="507"/>
      <c r="G95" s="738">
        <f>-BC12</f>
        <v>-63</v>
      </c>
      <c r="H95" s="508"/>
      <c r="I95" s="508"/>
      <c r="J95" s="467"/>
      <c r="K95" s="517"/>
      <c r="L95" s="505" t="s">
        <v>980</v>
      </c>
      <c r="M95" s="467"/>
      <c r="N95" s="467"/>
      <c r="O95" s="467"/>
      <c r="P95" s="467"/>
      <c r="Q95" s="467"/>
      <c r="R95" s="467"/>
      <c r="S95" s="738">
        <f>-BA12</f>
        <v>-63</v>
      </c>
      <c r="T95" s="509"/>
      <c r="U95" s="509"/>
      <c r="V95" s="738">
        <f>-BE12</f>
        <v>-63</v>
      </c>
      <c r="AA95" s="506"/>
      <c r="AB95" s="738">
        <f>-AX12</f>
        <v>0</v>
      </c>
      <c r="AC95" s="507"/>
      <c r="AD95" s="507"/>
      <c r="AE95" s="738">
        <f>-BB12</f>
        <v>0</v>
      </c>
      <c r="AF95" s="508"/>
      <c r="AG95" s="508"/>
      <c r="AI95" s="472"/>
      <c r="AJ95" s="505" t="s">
        <v>980</v>
      </c>
      <c r="AQ95" s="738">
        <f>-AZ12</f>
        <v>0</v>
      </c>
      <c r="AR95" s="509"/>
      <c r="AS95" s="509"/>
      <c r="AT95" s="738">
        <f>-BD12</f>
        <v>0</v>
      </c>
    </row>
    <row r="96" spans="1:57">
      <c r="B96" s="510" t="s">
        <v>824</v>
      </c>
      <c r="C96" s="510"/>
      <c r="D96" s="643">
        <f>SUM(D93:D95)</f>
        <v>-25485</v>
      </c>
      <c r="E96" s="512"/>
      <c r="F96" s="512"/>
      <c r="G96" s="644">
        <f>SUM(G93:G95)</f>
        <v>-26616</v>
      </c>
      <c r="H96" s="628"/>
      <c r="I96" s="628"/>
      <c r="J96" s="467"/>
      <c r="K96" s="517"/>
      <c r="L96" s="512" t="s">
        <v>824</v>
      </c>
      <c r="M96" s="467"/>
      <c r="N96" s="467"/>
      <c r="O96" s="467"/>
      <c r="P96" s="467"/>
      <c r="Q96" s="467"/>
      <c r="R96" s="467"/>
      <c r="S96" s="643">
        <f>SUM(S93:S95)</f>
        <v>-23984</v>
      </c>
      <c r="T96" s="512"/>
      <c r="U96" s="512"/>
      <c r="V96" s="643">
        <f>SUM(V93:V95)</f>
        <v>-26616</v>
      </c>
      <c r="AA96" s="510"/>
      <c r="AB96" s="643">
        <f>SUM(AB93:AB95)</f>
        <v>-23921</v>
      </c>
      <c r="AC96" s="512"/>
      <c r="AD96" s="512"/>
      <c r="AE96" s="643">
        <f>SUM(AE93:AE95)</f>
        <v>-23967</v>
      </c>
      <c r="AF96" s="458"/>
      <c r="AG96" s="458"/>
      <c r="AI96" s="472"/>
      <c r="AJ96" s="512" t="s">
        <v>824</v>
      </c>
      <c r="AQ96" s="643">
        <f>SUM(AQ93:AQ95)</f>
        <v>-23921</v>
      </c>
      <c r="AR96" s="511"/>
      <c r="AS96" s="511"/>
      <c r="AT96" s="643">
        <f>SUM(AT93:AT95)</f>
        <v>-23967</v>
      </c>
    </row>
    <row r="97" spans="1:57">
      <c r="B97" s="589" t="s">
        <v>830</v>
      </c>
      <c r="C97" s="589"/>
      <c r="D97" s="738">
        <f>AY13</f>
        <v>23494.668750000004</v>
      </c>
      <c r="E97" s="513"/>
      <c r="F97" s="513"/>
      <c r="G97" s="738">
        <f>BC13</f>
        <v>44492.078166666673</v>
      </c>
      <c r="H97" s="467"/>
      <c r="I97" s="467"/>
      <c r="J97" s="467"/>
      <c r="K97" s="517"/>
      <c r="L97" s="590" t="s">
        <v>830</v>
      </c>
      <c r="M97" s="467"/>
      <c r="N97" s="467"/>
      <c r="O97" s="467"/>
      <c r="P97" s="467"/>
      <c r="Q97" s="467"/>
      <c r="R97" s="467"/>
      <c r="S97" s="738">
        <f>BA13</f>
        <v>23494.668750000004</v>
      </c>
      <c r="T97" s="513"/>
      <c r="U97" s="513"/>
      <c r="V97" s="738">
        <f>BE13</f>
        <v>44492.078166666673</v>
      </c>
      <c r="AA97" s="589"/>
      <c r="AB97" s="738">
        <f>AX13</f>
        <v>22918.397499999999</v>
      </c>
      <c r="AC97" s="513"/>
      <c r="AD97" s="513"/>
      <c r="AE97" s="738">
        <f>BB13</f>
        <v>44289.706333333335</v>
      </c>
      <c r="AI97" s="472"/>
      <c r="AJ97" s="590" t="s">
        <v>830</v>
      </c>
      <c r="AQ97" s="738">
        <f>AZ13</f>
        <v>22918.397499999999</v>
      </c>
      <c r="AR97" s="513"/>
      <c r="AS97" s="513"/>
      <c r="AT97" s="738">
        <f>BD13</f>
        <v>44289.706333333335</v>
      </c>
    </row>
    <row r="98" spans="1:57">
      <c r="B98" s="514" t="s">
        <v>831</v>
      </c>
      <c r="C98" s="514"/>
      <c r="D98" s="645">
        <f>SUM(D96,D97)</f>
        <v>-1990.3312499999956</v>
      </c>
      <c r="E98" s="515"/>
      <c r="F98" s="515"/>
      <c r="G98" s="516">
        <f>SUM(G96,G97)</f>
        <v>17876.078166666673</v>
      </c>
      <c r="H98" s="467"/>
      <c r="I98" s="467"/>
      <c r="J98" s="467"/>
      <c r="K98" s="517"/>
      <c r="L98" s="514" t="s">
        <v>831</v>
      </c>
      <c r="M98" s="634"/>
      <c r="N98" s="634"/>
      <c r="O98" s="634"/>
      <c r="P98" s="634"/>
      <c r="Q98" s="467"/>
      <c r="R98" s="467"/>
      <c r="S98" s="645">
        <f>SUM(S96,S97)</f>
        <v>-489.33124999999563</v>
      </c>
      <c r="T98" s="515"/>
      <c r="U98" s="515"/>
      <c r="V98" s="645">
        <f>SUM(V96,V97)</f>
        <v>17876.078166666673</v>
      </c>
      <c r="AA98" s="514"/>
      <c r="AB98" s="645">
        <f>SUM(AB96,AB97)</f>
        <v>-1002.6025000000009</v>
      </c>
      <c r="AC98" s="515"/>
      <c r="AD98" s="515"/>
      <c r="AE98" s="645">
        <f>SUM(AE96,AE97)</f>
        <v>20322.706333333335</v>
      </c>
      <c r="AI98" s="472"/>
      <c r="AJ98" s="514" t="s">
        <v>831</v>
      </c>
      <c r="AK98" s="496"/>
      <c r="AL98" s="496"/>
      <c r="AM98" s="496"/>
      <c r="AN98" s="496"/>
      <c r="AQ98" s="645">
        <f>SUM(AQ96,AQ97)</f>
        <v>-1002.6025000000009</v>
      </c>
      <c r="AR98" s="515"/>
      <c r="AS98" s="515"/>
      <c r="AT98" s="645">
        <f>SUM(AT96,AT97)</f>
        <v>20322.706333333335</v>
      </c>
    </row>
    <row r="99" spans="1:57">
      <c r="D99" s="646"/>
      <c r="E99" s="517"/>
      <c r="F99" s="517"/>
      <c r="G99" s="517"/>
      <c r="H99" s="467"/>
      <c r="I99" s="467"/>
      <c r="J99" s="467"/>
      <c r="K99" s="517"/>
      <c r="L99" s="517"/>
      <c r="M99" s="634"/>
      <c r="N99" s="634"/>
      <c r="O99" s="634"/>
      <c r="P99" s="634"/>
      <c r="Q99" s="467"/>
      <c r="R99" s="467"/>
      <c r="S99" s="646"/>
      <c r="T99" s="517"/>
      <c r="U99" s="517"/>
      <c r="V99" s="646"/>
      <c r="AB99" s="646"/>
      <c r="AC99" s="517"/>
      <c r="AD99" s="517"/>
      <c r="AE99" s="646"/>
      <c r="AI99" s="472"/>
      <c r="AJ99" s="472"/>
      <c r="AK99" s="496"/>
      <c r="AL99" s="496"/>
      <c r="AM99" s="496"/>
      <c r="AN99" s="496"/>
      <c r="AQ99" s="646"/>
      <c r="AR99" s="472"/>
      <c r="AS99" s="472"/>
      <c r="AT99" s="646"/>
    </row>
    <row r="100" spans="1:57">
      <c r="B100" s="457" t="s">
        <v>825</v>
      </c>
      <c r="C100" s="457"/>
      <c r="D100" s="738">
        <f>-AY14</f>
        <v>93978.675000000017</v>
      </c>
      <c r="E100" s="517"/>
      <c r="F100" s="517"/>
      <c r="G100" s="738">
        <f>-BC14</f>
        <v>533904.93800000008</v>
      </c>
      <c r="H100" s="467"/>
      <c r="I100" s="467"/>
      <c r="J100" s="467"/>
      <c r="K100" s="517"/>
      <c r="L100" s="633" t="s">
        <v>981</v>
      </c>
      <c r="M100" s="467"/>
      <c r="N100" s="467"/>
      <c r="O100" s="467"/>
      <c r="P100" s="467"/>
      <c r="Q100" s="467"/>
      <c r="R100" s="467"/>
      <c r="S100" s="738">
        <f>-BA14</f>
        <v>93978.675000000017</v>
      </c>
      <c r="T100" s="517"/>
      <c r="U100" s="517"/>
      <c r="V100" s="738">
        <f>-BE14</f>
        <v>533904.93800000008</v>
      </c>
      <c r="AA100" s="457"/>
      <c r="AB100" s="738">
        <f>-AX14</f>
        <v>91673.59</v>
      </c>
      <c r="AC100" s="517"/>
      <c r="AD100" s="517"/>
      <c r="AE100" s="738">
        <f>-BB14</f>
        <v>531476.47600000002</v>
      </c>
      <c r="AI100" s="472"/>
      <c r="AJ100" s="491" t="s">
        <v>981</v>
      </c>
      <c r="AQ100" s="738">
        <f>-AZ14</f>
        <v>91673.59</v>
      </c>
      <c r="AR100" s="472"/>
      <c r="AS100" s="472"/>
      <c r="AT100" s="738">
        <f>-BD14</f>
        <v>531476.47600000002</v>
      </c>
    </row>
    <row r="101" spans="1:57">
      <c r="B101" s="474" t="s">
        <v>730</v>
      </c>
      <c r="C101" s="474"/>
      <c r="D101" s="613">
        <f>+D60</f>
        <v>0</v>
      </c>
      <c r="E101" s="615"/>
      <c r="F101" s="615"/>
      <c r="G101" s="495">
        <f>+G60</f>
        <v>-15500</v>
      </c>
      <c r="H101" s="467"/>
      <c r="I101" s="467"/>
      <c r="J101" s="467"/>
      <c r="K101" s="517"/>
      <c r="L101" s="614"/>
      <c r="M101" s="467"/>
      <c r="N101" s="467"/>
      <c r="O101" s="467"/>
      <c r="P101" s="467"/>
      <c r="Q101" s="467"/>
      <c r="R101" s="467"/>
      <c r="S101" s="613">
        <f>+S60</f>
        <v>0</v>
      </c>
      <c r="T101" s="615"/>
      <c r="U101" s="615"/>
      <c r="V101" s="613">
        <f>+V60</f>
        <v>0</v>
      </c>
      <c r="AA101" s="474"/>
      <c r="AB101" s="613">
        <f>+AB60</f>
        <v>0</v>
      </c>
      <c r="AC101" s="615"/>
      <c r="AD101" s="615"/>
      <c r="AE101" s="613">
        <f>+AE60</f>
        <v>-15500</v>
      </c>
      <c r="AI101" s="472"/>
      <c r="AJ101" s="476"/>
      <c r="AQ101" s="613">
        <f>+AQ60</f>
        <v>0</v>
      </c>
      <c r="AR101" s="454"/>
      <c r="AS101" s="454"/>
      <c r="AT101" s="613">
        <f>+AT60</f>
        <v>0</v>
      </c>
      <c r="AW101" s="458"/>
      <c r="AX101" s="458"/>
      <c r="AY101" s="458"/>
      <c r="AZ101" s="458"/>
      <c r="BA101" s="458"/>
      <c r="BB101" s="458"/>
      <c r="BC101" s="458"/>
      <c r="BD101" s="458"/>
      <c r="BE101" s="458"/>
    </row>
    <row r="102" spans="1:57" s="458" customFormat="1">
      <c r="A102" s="453"/>
      <c r="B102" s="458" t="s">
        <v>826</v>
      </c>
      <c r="D102" s="738">
        <f>AY15</f>
        <v>120</v>
      </c>
      <c r="E102" s="517"/>
      <c r="F102" s="517"/>
      <c r="G102" s="738">
        <f>BC15</f>
        <v>360</v>
      </c>
      <c r="H102" s="628"/>
      <c r="I102" s="628"/>
      <c r="J102" s="628"/>
      <c r="K102" s="517"/>
      <c r="L102" s="640" t="s">
        <v>826</v>
      </c>
      <c r="M102" s="628"/>
      <c r="N102" s="628"/>
      <c r="O102" s="628"/>
      <c r="P102" s="628"/>
      <c r="Q102" s="628"/>
      <c r="R102" s="628"/>
      <c r="S102" s="738">
        <f>BA15</f>
        <v>120</v>
      </c>
      <c r="T102" s="517"/>
      <c r="U102" s="517"/>
      <c r="V102" s="738">
        <f>BE15</f>
        <v>360</v>
      </c>
      <c r="X102" s="665"/>
      <c r="Y102" s="665"/>
      <c r="AB102" s="738">
        <f>AX15</f>
        <v>120</v>
      </c>
      <c r="AC102" s="517"/>
      <c r="AD102" s="517"/>
      <c r="AE102" s="738">
        <f>BB15</f>
        <v>360</v>
      </c>
      <c r="AI102" s="472"/>
      <c r="AJ102" s="503" t="s">
        <v>826</v>
      </c>
      <c r="AQ102" s="738">
        <f>AZ15</f>
        <v>120</v>
      </c>
      <c r="AR102" s="472"/>
      <c r="AS102" s="472"/>
      <c r="AT102" s="738">
        <f>BD15</f>
        <v>360</v>
      </c>
    </row>
    <row r="103" spans="1:57" s="458" customFormat="1">
      <c r="A103" s="496"/>
      <c r="B103" s="478" t="s">
        <v>982</v>
      </c>
      <c r="C103" s="478"/>
      <c r="D103" s="647">
        <f>IF(D100=0,0,(D96/(D100+D101))*D102)</f>
        <v>-32.541424956246715</v>
      </c>
      <c r="E103" s="518"/>
      <c r="F103" s="518"/>
      <c r="G103" s="518">
        <f>IF(G100=0,0,(G96/(G100+G101))*G102)</f>
        <v>-18.483157272703291</v>
      </c>
      <c r="H103" s="628"/>
      <c r="I103" s="628"/>
      <c r="J103" s="628"/>
      <c r="K103" s="648"/>
      <c r="L103" s="478" t="s">
        <v>982</v>
      </c>
      <c r="M103" s="628"/>
      <c r="N103" s="628"/>
      <c r="O103" s="628"/>
      <c r="P103" s="628"/>
      <c r="Q103" s="628"/>
      <c r="R103" s="628"/>
      <c r="S103" s="647">
        <f>IF(S100=0,0,(S96/(S100+S101))*S102)</f>
        <v>-30.624819939204283</v>
      </c>
      <c r="T103" s="518"/>
      <c r="U103" s="518"/>
      <c r="V103" s="647">
        <f>IF(V100=0,0,(V96/(V100+V101))*V102)</f>
        <v>-17.946565611273666</v>
      </c>
      <c r="X103" s="665"/>
      <c r="Y103" s="665"/>
      <c r="AA103" s="478"/>
      <c r="AB103" s="647">
        <f>IF(AB100=0,0,(AB96/(AB100+AB101))*AB102)</f>
        <v>-31.312398696287559</v>
      </c>
      <c r="AC103" s="518"/>
      <c r="AD103" s="518"/>
      <c r="AE103" s="647">
        <f>IF(AE100=0,0,(AE96/(AE100+AE101))*AE102)</f>
        <v>-16.721925129005299</v>
      </c>
      <c r="AI103" s="519"/>
      <c r="AJ103" s="478" t="s">
        <v>982</v>
      </c>
      <c r="AQ103" s="647">
        <f>IF(AQ100=0,0,(AQ96/(AQ100+AQ101))*AQ102)</f>
        <v>-31.312398696287559</v>
      </c>
      <c r="AR103" s="518"/>
      <c r="AS103" s="518"/>
      <c r="AT103" s="647">
        <f>IF(AT100=0,0,(AT96/(AT100+AT101))*AT102)</f>
        <v>-16.234246273582951</v>
      </c>
    </row>
    <row r="104" spans="1:57" s="458" customFormat="1">
      <c r="A104" s="496"/>
      <c r="D104" s="649"/>
      <c r="E104" s="634"/>
      <c r="F104" s="634"/>
      <c r="G104" s="520"/>
      <c r="H104" s="628"/>
      <c r="I104" s="628"/>
      <c r="J104" s="628"/>
      <c r="K104" s="648"/>
      <c r="L104" s="640"/>
      <c r="M104" s="628"/>
      <c r="N104" s="628"/>
      <c r="O104" s="628"/>
      <c r="P104" s="628"/>
      <c r="Q104" s="628"/>
      <c r="R104" s="628"/>
      <c r="S104" s="649"/>
      <c r="T104" s="634"/>
      <c r="U104" s="634"/>
      <c r="V104" s="650"/>
      <c r="X104" s="665"/>
      <c r="Y104" s="665"/>
      <c r="AB104" s="650"/>
      <c r="AC104" s="634"/>
      <c r="AD104" s="634"/>
      <c r="AE104" s="650"/>
      <c r="AI104" s="519"/>
      <c r="AJ104" s="503"/>
      <c r="AQ104" s="650"/>
      <c r="AR104" s="496"/>
      <c r="AS104" s="496"/>
      <c r="AT104" s="650"/>
    </row>
    <row r="105" spans="1:57" s="458" customFormat="1">
      <c r="A105" s="453"/>
      <c r="B105" s="459" t="s">
        <v>983</v>
      </c>
      <c r="C105" s="459"/>
      <c r="D105" s="616">
        <f>IF(D100=0,0,D98/(D100+D101)*D102)</f>
        <v>-2.541424956246717</v>
      </c>
      <c r="E105" s="624"/>
      <c r="F105" s="624"/>
      <c r="G105" s="479">
        <f>IF(G100=0,0,G98/(G100+G101)*G102)</f>
        <v>12.413824923866759</v>
      </c>
      <c r="H105" s="467"/>
      <c r="I105" s="467"/>
      <c r="J105" s="628"/>
      <c r="K105" s="517"/>
      <c r="L105" s="651" t="s">
        <v>983</v>
      </c>
      <c r="M105" s="628"/>
      <c r="N105" s="628"/>
      <c r="O105" s="628"/>
      <c r="P105" s="628"/>
      <c r="Q105" s="628"/>
      <c r="R105" s="628"/>
      <c r="S105" s="616">
        <f>IF(S100=0,0,S98/(S100+S101)*S102)</f>
        <v>-0.62481993920428713</v>
      </c>
      <c r="T105" s="624"/>
      <c r="U105" s="624"/>
      <c r="V105" s="619">
        <f>IF(V100=0,0,V98/(V100+V101)*V102)</f>
        <v>12.053434388726334</v>
      </c>
      <c r="X105" s="665"/>
      <c r="Y105" s="665"/>
      <c r="AA105" s="459"/>
      <c r="AB105" s="619">
        <f>IF(AB100=0,0,AB98/(AB100+AB101)*AB102)</f>
        <v>-1.312398696287558</v>
      </c>
      <c r="AC105" s="624"/>
      <c r="AD105" s="624"/>
      <c r="AE105" s="619">
        <f>IF(AE100=0,0,AE98/(AE100+AE101)*AE102)</f>
        <v>14.179278746808604</v>
      </c>
      <c r="AF105" s="453"/>
      <c r="AG105" s="453"/>
      <c r="AI105" s="472"/>
      <c r="AJ105" s="521" t="s">
        <v>983</v>
      </c>
      <c r="AQ105" s="619">
        <f>IF(AQ100=0,0,AQ98/(AQ100+AQ101)*AQ102)</f>
        <v>-1.312398696287558</v>
      </c>
      <c r="AR105" s="486"/>
      <c r="AS105" s="486"/>
      <c r="AT105" s="619">
        <f>IF(AT100=0,0,AT98/(AT100+AT101)*AT102)</f>
        <v>13.765753726417048</v>
      </c>
    </row>
    <row r="106" spans="1:57" s="458" customFormat="1">
      <c r="A106" s="453"/>
      <c r="D106" s="649"/>
      <c r="E106" s="467"/>
      <c r="F106" s="467"/>
      <c r="G106" s="520"/>
      <c r="H106" s="467"/>
      <c r="I106" s="467"/>
      <c r="J106" s="628"/>
      <c r="K106" s="517"/>
      <c r="L106" s="640"/>
      <c r="M106" s="628"/>
      <c r="N106" s="628"/>
      <c r="O106" s="628"/>
      <c r="P106" s="628"/>
      <c r="Q106" s="628"/>
      <c r="R106" s="628"/>
      <c r="S106" s="649"/>
      <c r="T106" s="467"/>
      <c r="U106" s="467"/>
      <c r="V106" s="650"/>
      <c r="X106" s="665"/>
      <c r="Y106" s="665"/>
      <c r="AB106" s="650"/>
      <c r="AC106" s="467"/>
      <c r="AD106" s="467"/>
      <c r="AE106" s="650"/>
      <c r="AF106" s="453"/>
      <c r="AG106" s="453"/>
      <c r="AI106" s="472"/>
      <c r="AJ106" s="503"/>
      <c r="AQ106" s="650"/>
      <c r="AR106" s="453"/>
      <c r="AS106" s="453"/>
      <c r="AT106" s="650"/>
    </row>
    <row r="107" spans="1:57" s="458" customFormat="1">
      <c r="A107" s="484"/>
      <c r="B107" s="478" t="s">
        <v>861</v>
      </c>
      <c r="C107" s="478"/>
      <c r="D107" s="652">
        <f>IF(D105&gt;=$K$117,$K$111,INDEX($K$111:$O$111,,MATCH(D105,$K$117:$O$117,-1)+1))</f>
        <v>1</v>
      </c>
      <c r="E107" s="653"/>
      <c r="F107" s="653"/>
      <c r="G107" s="654">
        <f>IF(G105&gt;=$K$117,$K$111,INDEX($K$111:$O$111,,MATCH(G105,$K$117:$O$117,-1)+1))</f>
        <v>2</v>
      </c>
      <c r="H107" s="547"/>
      <c r="I107" s="547"/>
      <c r="J107" s="547"/>
      <c r="K107" s="655"/>
      <c r="L107" s="656" t="s">
        <v>861</v>
      </c>
      <c r="M107" s="529"/>
      <c r="N107" s="529"/>
      <c r="O107" s="529"/>
      <c r="P107" s="529"/>
      <c r="Q107" s="529"/>
      <c r="R107" s="529"/>
      <c r="S107" s="652">
        <f>IF(S105&gt;=$K$117,$K$111,INDEX($K$111:$O$111,,MATCH(S105,$K$117:$O$117,-1)+1))</f>
        <v>1</v>
      </c>
      <c r="T107" s="653"/>
      <c r="U107" s="653"/>
      <c r="V107" s="657">
        <f>IF(V105&gt;=$K$117,$K$111,INDEX($K$111:$O$111,,MATCH(V105,$K$117:$O$117,-1)+1))</f>
        <v>2</v>
      </c>
      <c r="X107" s="665"/>
      <c r="Y107" s="665"/>
      <c r="AA107" s="478"/>
      <c r="AB107" s="657">
        <f>IF(AB105&gt;=$K$117,$K$111,INDEX($K$111:$O$111,,MATCH(AB105,$K$117:$O$117,-1)+1))</f>
        <v>1</v>
      </c>
      <c r="AC107" s="653"/>
      <c r="AD107" s="653"/>
      <c r="AE107" s="657">
        <f>IF(AE105&gt;=$K$117,$K$111,INDEX($K$111:$O$111,,MATCH(AE105,$K$117:$O$117,-1)+1))</f>
        <v>2</v>
      </c>
      <c r="AF107" s="453"/>
      <c r="AG107" s="453"/>
      <c r="AH107" s="453"/>
      <c r="AI107" s="484"/>
      <c r="AJ107" s="478" t="s">
        <v>861</v>
      </c>
      <c r="AQ107" s="657">
        <f>IF(AQ105&gt;=$K$117,$K$111,INDEX($K$111:$O$111,,MATCH(AQ105,$K$117:$O$117,-1)+1))</f>
        <v>1</v>
      </c>
      <c r="AR107" s="486"/>
      <c r="AS107" s="486"/>
      <c r="AT107" s="657">
        <f>IF(AT105&gt;=$K$117,$K$111,INDEX($K$111:$O$111,,MATCH(AT105,$K$117:$O$117,-1)+1))</f>
        <v>2</v>
      </c>
    </row>
    <row r="108" spans="1:57" s="458" customFormat="1">
      <c r="A108" s="484"/>
      <c r="B108" s="478"/>
      <c r="C108" s="478"/>
      <c r="D108" s="453"/>
      <c r="E108" s="486"/>
      <c r="F108" s="486"/>
      <c r="G108" s="453"/>
      <c r="H108" s="453"/>
      <c r="I108" s="453"/>
      <c r="J108" s="453"/>
      <c r="T108" s="486"/>
      <c r="U108" s="486"/>
      <c r="X108" s="665"/>
      <c r="Y108" s="665"/>
      <c r="AA108" s="478"/>
      <c r="AB108" s="453"/>
      <c r="AC108" s="486"/>
      <c r="AD108" s="486"/>
      <c r="AE108" s="453"/>
      <c r="AF108" s="453"/>
      <c r="AG108" s="453"/>
      <c r="AH108" s="453"/>
      <c r="AR108" s="486"/>
      <c r="AS108" s="486"/>
    </row>
    <row r="109" spans="1:57" s="458" customFormat="1">
      <c r="H109" s="453"/>
      <c r="I109" s="453"/>
      <c r="J109" s="453"/>
      <c r="X109" s="665"/>
      <c r="Y109" s="665"/>
      <c r="AF109" s="453"/>
      <c r="AG109" s="453"/>
      <c r="AH109" s="453"/>
    </row>
    <row r="110" spans="1:57" s="458" customFormat="1">
      <c r="B110" s="522" t="s">
        <v>984</v>
      </c>
      <c r="C110" s="523"/>
      <c r="D110" s="591" t="s">
        <v>985</v>
      </c>
      <c r="G110" s="592" t="s">
        <v>840</v>
      </c>
      <c r="H110" s="524"/>
      <c r="I110" s="2385" t="s">
        <v>839</v>
      </c>
      <c r="J110" s="2385"/>
      <c r="K110" s="525" t="s">
        <v>841</v>
      </c>
      <c r="L110" s="525"/>
      <c r="M110" s="525"/>
      <c r="N110" s="525"/>
      <c r="O110" s="593"/>
      <c r="X110" s="665"/>
      <c r="Y110" s="665"/>
      <c r="AA110" s="523"/>
      <c r="AB110" s="591" t="s">
        <v>985</v>
      </c>
      <c r="AE110" s="592" t="s">
        <v>840</v>
      </c>
      <c r="AF110" s="524"/>
      <c r="AG110" s="2385" t="s">
        <v>839</v>
      </c>
      <c r="AH110" s="2385"/>
      <c r="AI110" s="525" t="s">
        <v>841</v>
      </c>
      <c r="AJ110" s="525"/>
      <c r="AK110" s="525"/>
      <c r="AL110" s="525"/>
      <c r="AM110" s="593"/>
    </row>
    <row r="111" spans="1:57" s="458" customFormat="1">
      <c r="B111" s="526"/>
      <c r="C111" s="467"/>
      <c r="D111" s="527"/>
      <c r="G111" s="528"/>
      <c r="H111" s="529"/>
      <c r="I111" s="529"/>
      <c r="J111" s="530"/>
      <c r="K111" s="530">
        <v>5</v>
      </c>
      <c r="L111" s="530">
        <v>4</v>
      </c>
      <c r="M111" s="530">
        <v>3</v>
      </c>
      <c r="N111" s="530">
        <v>2</v>
      </c>
      <c r="O111" s="594">
        <v>1</v>
      </c>
      <c r="X111" s="665"/>
      <c r="Y111" s="665"/>
      <c r="AA111" s="467"/>
      <c r="AB111" s="527"/>
      <c r="AE111" s="528"/>
      <c r="AF111" s="529"/>
      <c r="AG111" s="529"/>
      <c r="AH111" s="530"/>
      <c r="AI111" s="530">
        <v>5</v>
      </c>
      <c r="AJ111" s="530">
        <v>4</v>
      </c>
      <c r="AK111" s="530">
        <v>3</v>
      </c>
      <c r="AL111" s="530">
        <v>2</v>
      </c>
      <c r="AM111" s="594">
        <v>1</v>
      </c>
      <c r="AW111" s="453"/>
      <c r="AX111" s="453"/>
      <c r="AY111" s="453"/>
      <c r="AZ111" s="453"/>
      <c r="BA111" s="453"/>
      <c r="BB111" s="453"/>
      <c r="BC111" s="453"/>
      <c r="BD111" s="453"/>
      <c r="BE111" s="453"/>
    </row>
    <row r="112" spans="1:57">
      <c r="B112" s="531" t="s">
        <v>986</v>
      </c>
      <c r="C112" s="532"/>
      <c r="D112" s="533">
        <v>1</v>
      </c>
      <c r="G112" s="595"/>
      <c r="H112" s="534"/>
      <c r="I112" s="534"/>
      <c r="J112" s="535"/>
      <c r="K112" s="536"/>
      <c r="L112" s="536"/>
      <c r="M112" s="536"/>
      <c r="N112" s="536"/>
      <c r="O112" s="596"/>
      <c r="AA112" s="532"/>
      <c r="AB112" s="533">
        <v>1</v>
      </c>
      <c r="AE112" s="595"/>
      <c r="AF112" s="534"/>
      <c r="AG112" s="534"/>
      <c r="AH112" s="535"/>
      <c r="AI112" s="536"/>
      <c r="AJ112" s="536"/>
      <c r="AK112" s="536"/>
      <c r="AL112" s="536"/>
      <c r="AM112" s="596"/>
    </row>
    <row r="113" spans="2:39">
      <c r="B113" s="531" t="s">
        <v>987</v>
      </c>
      <c r="C113" s="532"/>
      <c r="D113" s="533">
        <v>2</v>
      </c>
      <c r="G113" s="537" t="s">
        <v>954</v>
      </c>
      <c r="H113" s="467"/>
      <c r="I113" s="467"/>
      <c r="J113" s="538">
        <v>0.25</v>
      </c>
      <c r="K113" s="539">
        <v>10.999999000000001</v>
      </c>
      <c r="L113" s="539">
        <v>8.9999990000000007</v>
      </c>
      <c r="M113" s="539">
        <v>4.9999989999999999</v>
      </c>
      <c r="N113" s="539">
        <v>0.99999899999999997</v>
      </c>
      <c r="O113" s="540" t="s">
        <v>844</v>
      </c>
      <c r="AA113" s="532"/>
      <c r="AB113" s="533">
        <v>2</v>
      </c>
      <c r="AE113" s="537" t="s">
        <v>954</v>
      </c>
      <c r="AF113" s="467"/>
      <c r="AG113" s="467"/>
      <c r="AH113" s="538">
        <v>0.25</v>
      </c>
      <c r="AI113" s="539">
        <v>10.999999000000001</v>
      </c>
      <c r="AJ113" s="539">
        <v>8.9999990000000007</v>
      </c>
      <c r="AK113" s="539">
        <v>4.9999989999999999</v>
      </c>
      <c r="AL113" s="539">
        <v>0.99999899999999997</v>
      </c>
      <c r="AM113" s="540" t="s">
        <v>844</v>
      </c>
    </row>
    <row r="114" spans="2:39">
      <c r="B114" s="531" t="s">
        <v>988</v>
      </c>
      <c r="C114" s="532"/>
      <c r="D114" s="533">
        <v>2</v>
      </c>
      <c r="G114" s="537" t="s">
        <v>989</v>
      </c>
      <c r="H114" s="467"/>
      <c r="I114" s="467"/>
      <c r="J114" s="538">
        <v>0.1</v>
      </c>
      <c r="K114" s="539">
        <v>99.999999000000003</v>
      </c>
      <c r="L114" s="539">
        <v>84.999999000000003</v>
      </c>
      <c r="M114" s="539">
        <v>69.999999000000003</v>
      </c>
      <c r="N114" s="539">
        <v>49.999999000000003</v>
      </c>
      <c r="O114" s="540" t="s">
        <v>847</v>
      </c>
      <c r="AA114" s="532"/>
      <c r="AB114" s="533">
        <v>2</v>
      </c>
      <c r="AE114" s="537" t="s">
        <v>989</v>
      </c>
      <c r="AF114" s="467"/>
      <c r="AG114" s="467"/>
      <c r="AH114" s="538">
        <v>0.1</v>
      </c>
      <c r="AI114" s="539">
        <v>99.999999000000003</v>
      </c>
      <c r="AJ114" s="539">
        <v>84.999999000000003</v>
      </c>
      <c r="AK114" s="539">
        <v>69.999999000000003</v>
      </c>
      <c r="AL114" s="539">
        <v>49.999999000000003</v>
      </c>
      <c r="AM114" s="540" t="s">
        <v>847</v>
      </c>
    </row>
    <row r="115" spans="2:39">
      <c r="B115" s="531" t="s">
        <v>990</v>
      </c>
      <c r="C115" s="532"/>
      <c r="D115" s="533">
        <v>3</v>
      </c>
      <c r="G115" s="541" t="s">
        <v>956</v>
      </c>
      <c r="H115" s="458"/>
      <c r="I115" s="538">
        <v>0.2</v>
      </c>
      <c r="J115" s="538">
        <v>0.4</v>
      </c>
      <c r="K115" s="542">
        <v>3.0001000000000002</v>
      </c>
      <c r="L115" s="542">
        <v>2</v>
      </c>
      <c r="M115" s="542">
        <v>-0.5</v>
      </c>
      <c r="N115" s="542">
        <v>-5</v>
      </c>
      <c r="O115" s="543" t="s">
        <v>991</v>
      </c>
      <c r="AA115" s="532"/>
      <c r="AB115" s="533">
        <v>3</v>
      </c>
      <c r="AE115" s="541" t="s">
        <v>956</v>
      </c>
      <c r="AF115" s="458"/>
      <c r="AG115" s="538">
        <v>0.2</v>
      </c>
      <c r="AH115" s="538">
        <v>0.4</v>
      </c>
      <c r="AI115" s="542">
        <v>3.0001000000000002</v>
      </c>
      <c r="AJ115" s="542">
        <v>2</v>
      </c>
      <c r="AK115" s="542">
        <v>-0.5</v>
      </c>
      <c r="AL115" s="542">
        <v>-5</v>
      </c>
      <c r="AM115" s="543" t="s">
        <v>991</v>
      </c>
    </row>
    <row r="116" spans="2:39">
      <c r="B116" s="544" t="s">
        <v>992</v>
      </c>
      <c r="C116" s="545"/>
      <c r="D116" s="597">
        <v>4</v>
      </c>
      <c r="G116" s="537" t="s">
        <v>957</v>
      </c>
      <c r="I116" s="538">
        <v>0.2</v>
      </c>
      <c r="J116" s="538"/>
      <c r="K116" s="539">
        <v>2.9999989999999999</v>
      </c>
      <c r="L116" s="539">
        <v>1.9999990000000001</v>
      </c>
      <c r="M116" s="539">
        <v>0.99999899999999997</v>
      </c>
      <c r="N116" s="539">
        <v>-2.0000010000000001</v>
      </c>
      <c r="O116" s="540" t="s">
        <v>854</v>
      </c>
      <c r="AA116" s="545"/>
      <c r="AB116" s="597">
        <v>4</v>
      </c>
      <c r="AE116" s="537" t="s">
        <v>957</v>
      </c>
      <c r="AG116" s="538">
        <v>0.2</v>
      </c>
      <c r="AH116" s="538"/>
      <c r="AI116" s="539">
        <v>2.9999989999999999</v>
      </c>
      <c r="AJ116" s="539">
        <v>1.9999990000000001</v>
      </c>
      <c r="AK116" s="539">
        <v>0.99999899999999997</v>
      </c>
      <c r="AL116" s="539">
        <v>-2.0000010000000001</v>
      </c>
      <c r="AM116" s="540" t="s">
        <v>854</v>
      </c>
    </row>
    <row r="117" spans="2:39">
      <c r="G117" s="546" t="s">
        <v>857</v>
      </c>
      <c r="H117" s="547"/>
      <c r="I117" s="547"/>
      <c r="J117" s="548">
        <v>0.25</v>
      </c>
      <c r="K117" s="549">
        <v>59.999999000000003</v>
      </c>
      <c r="L117" s="549">
        <v>24.999998999999999</v>
      </c>
      <c r="M117" s="549">
        <v>14.999999000000001</v>
      </c>
      <c r="N117" s="549">
        <v>9.9999990000000007</v>
      </c>
      <c r="O117" s="598" t="s">
        <v>858</v>
      </c>
      <c r="AE117" s="546" t="s">
        <v>857</v>
      </c>
      <c r="AF117" s="547"/>
      <c r="AG117" s="547"/>
      <c r="AH117" s="548">
        <v>0.25</v>
      </c>
      <c r="AI117" s="549">
        <v>59.999999000000003</v>
      </c>
      <c r="AJ117" s="549">
        <v>24.999998999999999</v>
      </c>
      <c r="AK117" s="549">
        <v>14.999999000000001</v>
      </c>
      <c r="AL117" s="549">
        <v>9.9999990000000007</v>
      </c>
      <c r="AM117" s="598" t="s">
        <v>858</v>
      </c>
    </row>
    <row r="120" spans="2:39" ht="12.75" customHeight="1"/>
    <row r="134" spans="14:38">
      <c r="N134" s="454"/>
      <c r="AL134" s="454"/>
    </row>
  </sheetData>
  <mergeCells count="13">
    <mergeCell ref="I110:J110"/>
    <mergeCell ref="AG110:AH110"/>
    <mergeCell ref="AQ2:AT2"/>
    <mergeCell ref="AQ3:AT3"/>
    <mergeCell ref="AQ4:AT4"/>
    <mergeCell ref="AQ35:AT35"/>
    <mergeCell ref="B27:V33"/>
    <mergeCell ref="D3:G3"/>
    <mergeCell ref="S3:V3"/>
    <mergeCell ref="AB3:AE3"/>
    <mergeCell ref="D2:G2"/>
    <mergeCell ref="S2:V2"/>
    <mergeCell ref="AB2:AE2"/>
  </mergeCells>
  <phoneticPr fontId="8" type="noConversion"/>
  <conditionalFormatting sqref="G82 E58:F76 E81:F81 E78:F78 T81:U81 E54:F54 E46:F46 E48:F52 E39:F44 T39:U44 T54:U54 T46:U46 T48:U52 T78:U78 AC58:AD76 T58:U76 AR39:AS44 AC48:AD52 AR54:AS54 AR46:AS46 AR81:AS81 AR48:AS52 AR78:AS78 AR58:AS76 AC39:AD44 AC81:AD81 AC78:AD78 AC54:AD54 AC46:AD46 S42:S43">
    <cfRule type="expression" dxfId="5" priority="1" stopIfTrue="1">
      <formula>LEFT(#REF!,1)="H"</formula>
    </cfRule>
    <cfRule type="expression" dxfId="4" priority="2" stopIfTrue="1">
      <formula>LEFT(#REF!,1)="A"</formula>
    </cfRule>
    <cfRule type="expression" dxfId="3" priority="3" stopIfTrue="1">
      <formula>LEFT(#REF!,1)="F"</formula>
    </cfRule>
  </conditionalFormatting>
  <pageMargins left="0.38" right="0.2" top="0.54" bottom="0.38" header="0.18" footer="0.19"/>
  <pageSetup paperSize="8" scale="49"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I50"/>
  <sheetViews>
    <sheetView workbookViewId="0">
      <selection activeCell="C46" sqref="C46"/>
    </sheetView>
  </sheetViews>
  <sheetFormatPr defaultRowHeight="13.2"/>
  <cols>
    <col min="1" max="1" width="1.88671875" customWidth="1"/>
    <col min="2" max="2" width="4.5546875" customWidth="1"/>
    <col min="4" max="4" width="32.5546875" customWidth="1"/>
    <col min="6" max="6" width="9.6640625" bestFit="1" customWidth="1"/>
  </cols>
  <sheetData>
    <row r="2" spans="2:8">
      <c r="F2" s="551">
        <v>41364</v>
      </c>
    </row>
    <row r="3" spans="2:8">
      <c r="F3" s="552"/>
      <c r="G3" s="552"/>
      <c r="H3" s="552"/>
    </row>
    <row r="4" spans="2:8">
      <c r="B4" t="s">
        <v>577</v>
      </c>
      <c r="F4" s="565">
        <f>-Income!H39</f>
        <v>551852.978</v>
      </c>
      <c r="G4" s="552"/>
      <c r="H4" s="552"/>
    </row>
    <row r="5" spans="2:8">
      <c r="F5" s="552"/>
      <c r="G5" s="552"/>
      <c r="H5" s="552"/>
    </row>
    <row r="6" spans="2:8">
      <c r="B6" t="s">
        <v>578</v>
      </c>
      <c r="F6" s="552"/>
      <c r="G6" s="552"/>
      <c r="H6" s="552"/>
    </row>
    <row r="7" spans="2:8">
      <c r="C7" t="s">
        <v>579</v>
      </c>
      <c r="F7" s="552">
        <v>6200</v>
      </c>
      <c r="G7" s="552" t="s">
        <v>876</v>
      </c>
      <c r="H7" s="552"/>
    </row>
    <row r="8" spans="2:8">
      <c r="C8" t="s">
        <v>580</v>
      </c>
      <c r="F8" s="553">
        <v>2932</v>
      </c>
      <c r="G8" s="552" t="s">
        <v>876</v>
      </c>
      <c r="H8" s="552"/>
    </row>
    <row r="9" spans="2:8">
      <c r="C9" t="s">
        <v>581</v>
      </c>
      <c r="F9" s="553">
        <v>1650</v>
      </c>
      <c r="G9" s="552" t="s">
        <v>876</v>
      </c>
      <c r="H9" s="552"/>
    </row>
    <row r="10" spans="2:8">
      <c r="C10" t="s">
        <v>582</v>
      </c>
      <c r="F10" s="552">
        <v>0</v>
      </c>
      <c r="G10" s="552"/>
      <c r="H10" s="552"/>
    </row>
    <row r="11" spans="2:8">
      <c r="C11" t="s">
        <v>583</v>
      </c>
      <c r="F11" s="553">
        <v>1000</v>
      </c>
      <c r="G11" s="552" t="s">
        <v>876</v>
      </c>
      <c r="H11" s="552"/>
    </row>
    <row r="12" spans="2:8">
      <c r="C12" t="s">
        <v>584</v>
      </c>
      <c r="F12" s="553">
        <v>5000</v>
      </c>
      <c r="G12" s="552" t="s">
        <v>876</v>
      </c>
      <c r="H12" s="552"/>
    </row>
    <row r="13" spans="2:8">
      <c r="C13" t="s">
        <v>585</v>
      </c>
      <c r="F13" s="552">
        <v>5000</v>
      </c>
      <c r="G13" s="552" t="s">
        <v>876</v>
      </c>
      <c r="H13" s="552"/>
    </row>
    <row r="14" spans="2:8">
      <c r="C14" t="s">
        <v>586</v>
      </c>
      <c r="F14" s="552">
        <v>3700</v>
      </c>
      <c r="G14" s="552" t="s">
        <v>876</v>
      </c>
      <c r="H14" s="552"/>
    </row>
    <row r="15" spans="2:8">
      <c r="C15" t="s">
        <v>585</v>
      </c>
      <c r="F15" s="552">
        <v>4400</v>
      </c>
      <c r="G15" s="552" t="s">
        <v>876</v>
      </c>
      <c r="H15" s="552"/>
    </row>
    <row r="16" spans="2:8">
      <c r="F16" s="554">
        <f>SUM(F7:F15)</f>
        <v>29882</v>
      </c>
      <c r="G16" s="552"/>
      <c r="H16" s="552"/>
    </row>
    <row r="17" spans="2:9">
      <c r="F17" s="552"/>
      <c r="G17" s="552"/>
      <c r="H17" s="552"/>
    </row>
    <row r="18" spans="2:9">
      <c r="B18" t="s">
        <v>587</v>
      </c>
      <c r="F18" s="552"/>
      <c r="G18" s="552"/>
      <c r="H18" s="552"/>
    </row>
    <row r="19" spans="2:9">
      <c r="C19" t="s">
        <v>588</v>
      </c>
      <c r="F19" s="552">
        <f>7100+2000</f>
        <v>9100</v>
      </c>
      <c r="G19" s="552"/>
      <c r="H19" s="552"/>
    </row>
    <row r="20" spans="2:9">
      <c r="C20" t="s">
        <v>589</v>
      </c>
      <c r="F20" s="552"/>
      <c r="G20" s="552"/>
      <c r="H20" s="552"/>
    </row>
    <row r="21" spans="2:9">
      <c r="F21" s="552"/>
      <c r="G21" s="552"/>
      <c r="H21" s="552"/>
    </row>
    <row r="22" spans="2:9" ht="13.8" thickBot="1">
      <c r="B22" s="1" t="s">
        <v>590</v>
      </c>
      <c r="F22" s="555">
        <f>+F4-F16+F19+F20</f>
        <v>531070.978</v>
      </c>
      <c r="G22" s="552"/>
      <c r="H22" s="552"/>
      <c r="I22" t="s">
        <v>554</v>
      </c>
    </row>
    <row r="23" spans="2:9" ht="13.8" thickTop="1"/>
    <row r="28" spans="2:9">
      <c r="B28" t="s">
        <v>591</v>
      </c>
      <c r="F28" s="566">
        <v>-571344</v>
      </c>
    </row>
    <row r="29" spans="2:9">
      <c r="F29" s="552"/>
    </row>
    <row r="30" spans="2:9">
      <c r="B30" t="s">
        <v>592</v>
      </c>
      <c r="F30" s="552"/>
    </row>
    <row r="31" spans="2:9">
      <c r="C31" t="s">
        <v>593</v>
      </c>
      <c r="F31" s="236">
        <v>1932</v>
      </c>
    </row>
    <row r="32" spans="2:9">
      <c r="C32" t="s">
        <v>594</v>
      </c>
      <c r="F32" s="236">
        <v>1650</v>
      </c>
    </row>
    <row r="33" spans="2:6">
      <c r="C33" t="s">
        <v>595</v>
      </c>
      <c r="F33">
        <v>0</v>
      </c>
    </row>
    <row r="34" spans="2:6">
      <c r="C34" t="s">
        <v>596</v>
      </c>
      <c r="F34">
        <v>2000</v>
      </c>
    </row>
    <row r="35" spans="2:6">
      <c r="C35" t="s">
        <v>597</v>
      </c>
    </row>
    <row r="36" spans="2:6">
      <c r="C36" t="s">
        <v>598</v>
      </c>
      <c r="F36" s="236">
        <v>5000</v>
      </c>
    </row>
    <row r="37" spans="2:6">
      <c r="C37" t="s">
        <v>583</v>
      </c>
      <c r="F37" s="236">
        <v>1000</v>
      </c>
    </row>
    <row r="38" spans="2:6">
      <c r="C38" t="s">
        <v>827</v>
      </c>
      <c r="F38" s="554">
        <f>SUM(F30:F37)</f>
        <v>11582</v>
      </c>
    </row>
    <row r="40" spans="2:6">
      <c r="B40" t="s">
        <v>599</v>
      </c>
      <c r="F40" s="552"/>
    </row>
    <row r="41" spans="2:6">
      <c r="C41" t="s">
        <v>600</v>
      </c>
      <c r="F41" s="552">
        <v>10000</v>
      </c>
    </row>
    <row r="42" spans="2:6">
      <c r="C42" t="s">
        <v>388</v>
      </c>
      <c r="F42" s="552">
        <v>-530</v>
      </c>
    </row>
    <row r="43" spans="2:6">
      <c r="F43" s="552"/>
    </row>
    <row r="45" spans="2:6" ht="13.8" thickBot="1">
      <c r="B45" s="1" t="s">
        <v>601</v>
      </c>
      <c r="F45" s="555">
        <f>F28+F38+F41+F42</f>
        <v>-550292</v>
      </c>
    </row>
    <row r="46" spans="2:6" ht="13.8" thickTop="1"/>
    <row r="49" spans="2:6">
      <c r="B49" t="s">
        <v>602</v>
      </c>
      <c r="F49" s="556">
        <f>F28+F4</f>
        <v>-19491.021999999997</v>
      </c>
    </row>
    <row r="50" spans="2:6">
      <c r="B50" t="s">
        <v>603</v>
      </c>
      <c r="F50" s="556">
        <f>F22+F45</f>
        <v>-19221.021999999997</v>
      </c>
    </row>
  </sheetData>
  <phoneticPr fontId="8" type="noConversion"/>
  <conditionalFormatting sqref="F2">
    <cfRule type="expression" dxfId="2" priority="1" stopIfTrue="1">
      <formula>LEFT(F1,1)="O"</formula>
    </cfRule>
    <cfRule type="expression" dxfId="1" priority="2" stopIfTrue="1">
      <formula>LEFT(F1,1)="A"</formula>
    </cfRule>
    <cfRule type="expression" dxfId="0" priority="3" stopIfTrue="1">
      <formula>LEFT(F1,1)="F"</formula>
    </cfRule>
  </conditionalFormatting>
  <pageMargins left="0.25" right="0.19" top="1" bottom="0.5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5"/>
    <pageSetUpPr fitToPage="1"/>
  </sheetPr>
  <dimension ref="A3:R54"/>
  <sheetViews>
    <sheetView workbookViewId="0">
      <selection activeCell="P5" sqref="P5"/>
    </sheetView>
  </sheetViews>
  <sheetFormatPr defaultRowHeight="13.2"/>
  <cols>
    <col min="1" max="1" width="20.109375" bestFit="1" customWidth="1"/>
    <col min="4" max="4" width="13.109375" bestFit="1" customWidth="1"/>
    <col min="16" max="16" width="20.109375" bestFit="1" customWidth="1"/>
  </cols>
  <sheetData>
    <row r="3" spans="1:18">
      <c r="P3" t="s">
        <v>935</v>
      </c>
      <c r="Q3">
        <v>0</v>
      </c>
      <c r="R3">
        <v>0.1</v>
      </c>
    </row>
    <row r="4" spans="1:18">
      <c r="A4" t="s">
        <v>931</v>
      </c>
      <c r="B4">
        <v>0</v>
      </c>
      <c r="C4">
        <v>1.2</v>
      </c>
      <c r="P4" t="s">
        <v>862</v>
      </c>
      <c r="Q4">
        <v>0.1</v>
      </c>
      <c r="R4">
        <v>0.5</v>
      </c>
    </row>
    <row r="5" spans="1:18">
      <c r="A5" t="s">
        <v>862</v>
      </c>
      <c r="B5">
        <v>1.2</v>
      </c>
      <c r="C5">
        <v>1</v>
      </c>
      <c r="D5">
        <v>1</v>
      </c>
      <c r="P5" t="s">
        <v>863</v>
      </c>
      <c r="Q5">
        <v>0.6</v>
      </c>
      <c r="R5">
        <v>0.3</v>
      </c>
    </row>
    <row r="6" spans="1:18">
      <c r="A6" t="s">
        <v>863</v>
      </c>
      <c r="B6">
        <v>0.9</v>
      </c>
      <c r="C6">
        <v>1.3</v>
      </c>
      <c r="D6">
        <v>-0.9</v>
      </c>
      <c r="P6" t="s">
        <v>864</v>
      </c>
      <c r="Q6">
        <v>0.9</v>
      </c>
      <c r="R6">
        <v>0.2</v>
      </c>
    </row>
    <row r="7" spans="1:18">
      <c r="A7" t="s">
        <v>864</v>
      </c>
      <c r="B7">
        <v>0</v>
      </c>
      <c r="C7">
        <v>1</v>
      </c>
      <c r="D7">
        <v>-1.3</v>
      </c>
      <c r="P7" t="s">
        <v>932</v>
      </c>
      <c r="Q7">
        <v>0</v>
      </c>
      <c r="R7">
        <v>0</v>
      </c>
    </row>
    <row r="8" spans="1:18">
      <c r="A8" t="s">
        <v>932</v>
      </c>
      <c r="B8">
        <v>0</v>
      </c>
      <c r="C8">
        <v>0</v>
      </c>
      <c r="D8">
        <v>0</v>
      </c>
      <c r="P8" t="s">
        <v>933</v>
      </c>
      <c r="Q8">
        <v>1.1000000000000001</v>
      </c>
      <c r="R8">
        <v>0.05</v>
      </c>
    </row>
    <row r="9" spans="1:18">
      <c r="A9" t="s">
        <v>933</v>
      </c>
      <c r="B9">
        <v>0</v>
      </c>
      <c r="C9">
        <v>0.05</v>
      </c>
      <c r="D9">
        <v>0.1</v>
      </c>
      <c r="P9" t="s">
        <v>934</v>
      </c>
      <c r="Q9">
        <v>1.1499999999999999</v>
      </c>
      <c r="R9">
        <v>0.05</v>
      </c>
    </row>
    <row r="10" spans="1:18">
      <c r="A10" t="s">
        <v>934</v>
      </c>
      <c r="B10">
        <v>0.05</v>
      </c>
      <c r="C10">
        <v>0.05</v>
      </c>
      <c r="D10">
        <v>0.1</v>
      </c>
      <c r="P10" t="s">
        <v>872</v>
      </c>
      <c r="Q10">
        <v>0</v>
      </c>
      <c r="R10">
        <v>0</v>
      </c>
    </row>
    <row r="11" spans="1:18">
      <c r="A11" t="s">
        <v>872</v>
      </c>
      <c r="B11">
        <v>0</v>
      </c>
      <c r="C11">
        <v>0</v>
      </c>
      <c r="D11">
        <v>0</v>
      </c>
      <c r="P11" t="s">
        <v>945</v>
      </c>
      <c r="Q11">
        <v>0</v>
      </c>
      <c r="R11">
        <v>1.2</v>
      </c>
    </row>
    <row r="12" spans="1:18">
      <c r="A12" t="s">
        <v>935</v>
      </c>
      <c r="B12">
        <v>0</v>
      </c>
      <c r="C12">
        <v>0.1</v>
      </c>
    </row>
    <row r="13" spans="1:18">
      <c r="D13" s="66">
        <f>SUM(D5:D12)</f>
        <v>-1</v>
      </c>
    </row>
    <row r="24" spans="1:3">
      <c r="A24" t="s">
        <v>936</v>
      </c>
      <c r="B24">
        <v>0</v>
      </c>
      <c r="C24">
        <v>11</v>
      </c>
    </row>
    <row r="25" spans="1:3">
      <c r="A25" t="s">
        <v>938</v>
      </c>
      <c r="B25">
        <v>9</v>
      </c>
      <c r="C25">
        <v>2</v>
      </c>
    </row>
    <row r="26" spans="1:3">
      <c r="A26" t="s">
        <v>939</v>
      </c>
      <c r="B26">
        <v>0</v>
      </c>
      <c r="C26">
        <v>0</v>
      </c>
    </row>
    <row r="27" spans="1:3">
      <c r="A27" t="s">
        <v>940</v>
      </c>
      <c r="B27">
        <v>9</v>
      </c>
      <c r="C27">
        <v>6</v>
      </c>
    </row>
    <row r="28" spans="1:3">
      <c r="A28" t="s">
        <v>941</v>
      </c>
      <c r="B28">
        <v>15</v>
      </c>
      <c r="C28">
        <v>8</v>
      </c>
    </row>
    <row r="29" spans="1:3">
      <c r="A29" t="s">
        <v>943</v>
      </c>
      <c r="B29">
        <v>0</v>
      </c>
      <c r="C29">
        <v>0</v>
      </c>
    </row>
    <row r="30" spans="1:3">
      <c r="A30" t="s">
        <v>942</v>
      </c>
      <c r="B30">
        <v>0</v>
      </c>
      <c r="C30">
        <v>0</v>
      </c>
    </row>
    <row r="31" spans="1:3">
      <c r="A31" t="s">
        <v>872</v>
      </c>
      <c r="B31">
        <v>0</v>
      </c>
      <c r="C31">
        <v>0</v>
      </c>
    </row>
    <row r="32" spans="1:3">
      <c r="A32" t="s">
        <v>937</v>
      </c>
      <c r="B32">
        <v>0</v>
      </c>
      <c r="C32">
        <v>23</v>
      </c>
    </row>
    <row r="46" spans="1:3">
      <c r="A46" t="s">
        <v>937</v>
      </c>
      <c r="B46">
        <v>0</v>
      </c>
      <c r="C46">
        <v>23</v>
      </c>
    </row>
    <row r="47" spans="1:3">
      <c r="A47" t="s">
        <v>938</v>
      </c>
      <c r="B47">
        <v>23</v>
      </c>
      <c r="C47">
        <v>3</v>
      </c>
    </row>
    <row r="48" spans="1:3">
      <c r="A48" t="s">
        <v>939</v>
      </c>
      <c r="B48">
        <v>24</v>
      </c>
      <c r="C48">
        <v>2</v>
      </c>
    </row>
    <row r="49" spans="1:3">
      <c r="A49" t="s">
        <v>940</v>
      </c>
      <c r="B49">
        <v>18</v>
      </c>
      <c r="C49">
        <v>6</v>
      </c>
    </row>
    <row r="50" spans="1:3">
      <c r="A50" t="s">
        <v>941</v>
      </c>
      <c r="B50">
        <v>11</v>
      </c>
      <c r="C50">
        <v>7</v>
      </c>
    </row>
    <row r="51" spans="1:3">
      <c r="A51" t="s">
        <v>943</v>
      </c>
      <c r="B51">
        <v>0</v>
      </c>
      <c r="C51">
        <v>0</v>
      </c>
    </row>
    <row r="52" spans="1:3">
      <c r="A52" t="s">
        <v>942</v>
      </c>
      <c r="B52">
        <v>0</v>
      </c>
      <c r="C52">
        <v>0</v>
      </c>
    </row>
    <row r="53" spans="1:3">
      <c r="A53" t="s">
        <v>872</v>
      </c>
      <c r="B53">
        <v>0</v>
      </c>
      <c r="C53">
        <v>0</v>
      </c>
    </row>
    <row r="54" spans="1:3">
      <c r="A54" t="s">
        <v>946</v>
      </c>
      <c r="B54">
        <v>0</v>
      </c>
      <c r="C54">
        <v>11</v>
      </c>
    </row>
  </sheetData>
  <phoneticPr fontId="8" type="noConversion"/>
  <pageMargins left="0.75" right="0.75" top="1" bottom="1" header="0.5" footer="0.5"/>
  <pageSetup paperSize="9" scale="52"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44"/>
  <sheetViews>
    <sheetView workbookViewId="0">
      <selection activeCell="F50" sqref="F50"/>
    </sheetView>
  </sheetViews>
  <sheetFormatPr defaultRowHeight="13.2"/>
  <sheetData>
    <row r="44" spans="1:1">
      <c r="A44" s="317" t="s">
        <v>719</v>
      </c>
    </row>
  </sheetData>
  <phoneticPr fontId="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BE46"/>
  <sheetViews>
    <sheetView workbookViewId="0">
      <pane xSplit="1" ySplit="9" topLeftCell="H19" activePane="bottomRight" state="frozen"/>
      <selection pane="topRight" activeCell="B1" sqref="B1"/>
      <selection pane="bottomLeft" activeCell="A10" sqref="A10"/>
      <selection pane="bottomRight" activeCell="H21" sqref="H21"/>
    </sheetView>
  </sheetViews>
  <sheetFormatPr defaultColWidth="9.109375" defaultRowHeight="13.2"/>
  <cols>
    <col min="1" max="1" width="37.6640625" style="1295" bestFit="1" customWidth="1"/>
    <col min="2" max="13" width="8.33203125" style="1295" bestFit="1" customWidth="1"/>
    <col min="14" max="14" width="1.44140625" style="1295" bestFit="1" customWidth="1"/>
    <col min="15" max="17" width="8.44140625" style="1295" bestFit="1" customWidth="1"/>
    <col min="18" max="18" width="1.44140625" style="1295" bestFit="1" customWidth="1"/>
    <col min="19" max="19" width="9.5546875" style="1295" bestFit="1" customWidth="1"/>
    <col min="20" max="20" width="10.44140625" style="1295" bestFit="1" customWidth="1"/>
    <col min="21" max="21" width="8.88671875" style="1295" bestFit="1" customWidth="1"/>
    <col min="22" max="22" width="1.44140625" style="1295" bestFit="1" customWidth="1"/>
    <col min="23" max="25" width="8" style="1295" bestFit="1" customWidth="1"/>
    <col min="26" max="26" width="1.44140625" style="1295" bestFit="1" customWidth="1"/>
    <col min="27" max="28" width="6.88671875" style="1295" bestFit="1" customWidth="1"/>
    <col min="29" max="29" width="7.88671875" style="1295" bestFit="1" customWidth="1"/>
    <col min="30" max="16384" width="9.109375" style="1295"/>
  </cols>
  <sheetData>
    <row r="2" spans="1:57" ht="15" customHeight="1">
      <c r="A2" s="1333"/>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294" t="s">
        <v>743</v>
      </c>
      <c r="AI2" s="2401"/>
      <c r="AJ2" s="2401"/>
      <c r="AK2" s="2401"/>
      <c r="AL2" s="2401"/>
      <c r="AM2" s="2401"/>
      <c r="AN2" s="2401"/>
      <c r="AO2" s="2401"/>
      <c r="AP2" s="2401"/>
      <c r="AQ2" s="2401"/>
      <c r="AR2" s="2401"/>
      <c r="AS2" s="2401"/>
      <c r="AT2" s="2401"/>
      <c r="AU2" s="2401"/>
      <c r="AV2" s="2401"/>
      <c r="AW2" s="2401"/>
      <c r="AX2" s="2401"/>
      <c r="AY2" s="2401"/>
      <c r="AZ2" s="2401"/>
      <c r="BA2" s="2401"/>
      <c r="BB2" s="2401"/>
      <c r="BC2" s="2401"/>
      <c r="BD2" s="2401"/>
      <c r="BE2" s="2401"/>
    </row>
    <row r="3" spans="1:57">
      <c r="A3" s="1333"/>
      <c r="B3" s="1333"/>
      <c r="C3" s="1333"/>
      <c r="D3" s="1333"/>
      <c r="E3" s="1333"/>
      <c r="F3" s="1333"/>
      <c r="G3" s="1333"/>
      <c r="H3" s="1333"/>
      <c r="I3" s="1333"/>
      <c r="J3" s="1333"/>
      <c r="K3" s="1333"/>
      <c r="L3" s="1333"/>
      <c r="M3" s="1333"/>
      <c r="N3" s="1333"/>
      <c r="O3" s="1333"/>
      <c r="P3" s="1333"/>
      <c r="Q3" s="1333"/>
      <c r="R3" s="1333"/>
      <c r="S3" s="1333"/>
      <c r="T3" s="1333"/>
      <c r="U3" s="1333"/>
      <c r="V3" s="1333"/>
      <c r="W3" s="1333"/>
      <c r="X3" s="1333"/>
      <c r="Y3" s="1333"/>
      <c r="Z3" s="1333"/>
      <c r="AA3" s="1333"/>
      <c r="AB3" s="1333"/>
      <c r="AC3" s="1333"/>
      <c r="AD3" s="1333"/>
      <c r="AE3" s="1333"/>
      <c r="AF3" s="1333"/>
      <c r="AG3" s="1333"/>
      <c r="AI3" s="2401"/>
      <c r="AJ3" s="2401"/>
      <c r="AK3" s="2401"/>
      <c r="AL3" s="2401"/>
      <c r="AM3" s="2401"/>
      <c r="AN3" s="2401"/>
      <c r="AO3" s="2401"/>
      <c r="AP3" s="2401"/>
      <c r="AQ3" s="2401"/>
      <c r="AR3" s="2401"/>
      <c r="AS3" s="2401"/>
      <c r="AT3" s="2401"/>
      <c r="AU3" s="2401"/>
      <c r="AV3" s="2401"/>
      <c r="AW3" s="2401"/>
      <c r="AX3" s="2401"/>
      <c r="AY3" s="2401"/>
      <c r="AZ3" s="2401"/>
      <c r="BA3" s="2401"/>
      <c r="BB3" s="2401"/>
      <c r="BC3" s="2401"/>
      <c r="BD3" s="2401"/>
      <c r="BE3" s="2401"/>
    </row>
    <row r="4" spans="1:57">
      <c r="A4" s="2402" t="s">
        <v>744</v>
      </c>
      <c r="B4" s="2402"/>
      <c r="C4" s="2402"/>
      <c r="D4" s="2402"/>
      <c r="E4" s="2402"/>
      <c r="F4" s="2402"/>
      <c r="G4" s="2402"/>
      <c r="H4" s="2402"/>
      <c r="I4" s="2402"/>
      <c r="J4" s="2402"/>
      <c r="K4" s="2402"/>
      <c r="L4" s="2402"/>
      <c r="M4" s="2402"/>
      <c r="N4" s="2402"/>
      <c r="O4" s="2402"/>
      <c r="P4" s="2402"/>
      <c r="Q4" s="2402"/>
      <c r="R4" s="2402"/>
      <c r="S4" s="2402"/>
      <c r="T4" s="2402"/>
      <c r="U4" s="2402"/>
      <c r="V4" s="2402"/>
      <c r="W4" s="2402"/>
      <c r="X4" s="2402"/>
      <c r="Y4" s="2402"/>
      <c r="Z4" s="2402"/>
      <c r="AA4" s="2402"/>
      <c r="AB4" s="2402"/>
      <c r="AC4" s="2402"/>
      <c r="AD4" s="2402"/>
      <c r="AE4" s="2402"/>
      <c r="AF4" s="2402"/>
      <c r="AG4" s="2402"/>
      <c r="AH4" s="1296"/>
    </row>
    <row r="5" spans="1:57" ht="13.8" thickBot="1">
      <c r="A5" s="2401"/>
      <c r="B5" s="2401"/>
      <c r="C5" s="2401"/>
      <c r="D5" s="2401"/>
      <c r="E5" s="2401"/>
      <c r="F5" s="2401"/>
      <c r="G5" s="2401"/>
      <c r="H5" s="2401"/>
      <c r="I5" s="2401"/>
      <c r="J5" s="2401"/>
      <c r="K5" s="2401"/>
      <c r="L5" s="2401"/>
      <c r="M5" s="2401"/>
      <c r="N5" s="2401"/>
      <c r="O5" s="2401"/>
      <c r="P5" s="2401"/>
      <c r="Q5" s="2401"/>
      <c r="R5" s="2401"/>
      <c r="S5" s="2401"/>
      <c r="T5" s="2401"/>
      <c r="U5" s="2401"/>
      <c r="V5" s="2401"/>
      <c r="W5" s="2401"/>
      <c r="X5" s="2401"/>
      <c r="Y5" s="2401"/>
      <c r="Z5" s="2401"/>
      <c r="AA5" s="2401"/>
      <c r="AB5" s="2401"/>
      <c r="AC5" s="2401"/>
      <c r="AD5" s="2401"/>
      <c r="AE5" s="2401"/>
      <c r="AF5" s="2401"/>
      <c r="AG5" s="2401"/>
      <c r="AH5" s="2401"/>
    </row>
    <row r="6" spans="1:57" ht="21.6" thickBot="1">
      <c r="A6" s="1297"/>
      <c r="B6" s="1298" t="s">
        <v>416</v>
      </c>
      <c r="C6" s="1298" t="s">
        <v>416</v>
      </c>
      <c r="D6" s="1298" t="s">
        <v>416</v>
      </c>
      <c r="E6" s="1298" t="s">
        <v>416</v>
      </c>
      <c r="F6" s="1298" t="s">
        <v>416</v>
      </c>
      <c r="G6" s="1298" t="s">
        <v>416</v>
      </c>
      <c r="H6" s="1298" t="s">
        <v>416</v>
      </c>
      <c r="I6" s="1298" t="s">
        <v>416</v>
      </c>
      <c r="J6" s="1298" t="s">
        <v>416</v>
      </c>
      <c r="K6" s="1298" t="s">
        <v>416</v>
      </c>
      <c r="L6" s="1298" t="s">
        <v>416</v>
      </c>
      <c r="M6" s="1298" t="s">
        <v>416</v>
      </c>
      <c r="N6" s="1299" t="s">
        <v>415</v>
      </c>
      <c r="O6" s="1300" t="s">
        <v>215</v>
      </c>
      <c r="P6" s="1301" t="s">
        <v>834</v>
      </c>
      <c r="Q6" s="1300" t="s">
        <v>723</v>
      </c>
      <c r="R6" s="1302" t="s">
        <v>415</v>
      </c>
      <c r="S6" s="1300" t="s">
        <v>215</v>
      </c>
      <c r="T6" s="1301" t="s">
        <v>834</v>
      </c>
      <c r="U6" s="1300" t="s">
        <v>723</v>
      </c>
      <c r="V6" s="1302" t="s">
        <v>415</v>
      </c>
      <c r="W6" s="1300" t="s">
        <v>215</v>
      </c>
      <c r="X6" s="1301" t="s">
        <v>834</v>
      </c>
      <c r="Y6" s="1300" t="s">
        <v>723</v>
      </c>
      <c r="Z6" s="1303" t="s">
        <v>415</v>
      </c>
      <c r="AA6" s="1304" t="s">
        <v>722</v>
      </c>
      <c r="AB6" s="1304" t="s">
        <v>215</v>
      </c>
      <c r="AC6" s="1304" t="s">
        <v>723</v>
      </c>
      <c r="AH6" s="2401"/>
    </row>
    <row r="7" spans="1:57" ht="13.8" thickBot="1">
      <c r="A7" s="1305"/>
      <c r="B7" s="1306" t="s">
        <v>420</v>
      </c>
      <c r="C7" s="1306" t="s">
        <v>421</v>
      </c>
      <c r="D7" s="1306" t="s">
        <v>422</v>
      </c>
      <c r="E7" s="1306" t="s">
        <v>423</v>
      </c>
      <c r="F7" s="1306" t="s">
        <v>424</v>
      </c>
      <c r="G7" s="1306" t="s">
        <v>425</v>
      </c>
      <c r="H7" s="1306" t="s">
        <v>426</v>
      </c>
      <c r="I7" s="1306" t="s">
        <v>427</v>
      </c>
      <c r="J7" s="1306" t="s">
        <v>428</v>
      </c>
      <c r="K7" s="1306" t="s">
        <v>429</v>
      </c>
      <c r="L7" s="1306" t="s">
        <v>430</v>
      </c>
      <c r="M7" s="1306" t="s">
        <v>431</v>
      </c>
      <c r="N7" s="1307"/>
      <c r="O7" s="1308" t="s">
        <v>419</v>
      </c>
      <c r="P7" s="1309" t="s">
        <v>419</v>
      </c>
      <c r="Q7" s="1308" t="s">
        <v>419</v>
      </c>
      <c r="R7" s="1310"/>
      <c r="S7" s="1308" t="s">
        <v>745</v>
      </c>
      <c r="T7" s="1309" t="s">
        <v>745</v>
      </c>
      <c r="U7" s="1308" t="s">
        <v>745</v>
      </c>
      <c r="V7" s="1311" t="s">
        <v>415</v>
      </c>
      <c r="W7" s="1308" t="s">
        <v>746</v>
      </c>
      <c r="X7" s="1309" t="s">
        <v>746</v>
      </c>
      <c r="Y7" s="1308" t="s">
        <v>746</v>
      </c>
      <c r="Z7" s="1312"/>
      <c r="AA7" s="1313" t="s">
        <v>833</v>
      </c>
      <c r="AB7" s="1313" t="s">
        <v>833</v>
      </c>
      <c r="AC7" s="1313" t="s">
        <v>833</v>
      </c>
      <c r="AH7" s="2401"/>
    </row>
    <row r="8" spans="1:57" ht="13.8" thickBot="1">
      <c r="A8" s="1297"/>
      <c r="B8" s="1314" t="s">
        <v>432</v>
      </c>
      <c r="C8" s="1314" t="s">
        <v>432</v>
      </c>
      <c r="D8" s="1314" t="s">
        <v>432</v>
      </c>
      <c r="E8" s="1314" t="s">
        <v>432</v>
      </c>
      <c r="F8" s="1314" t="s">
        <v>432</v>
      </c>
      <c r="G8" s="1314" t="s">
        <v>432</v>
      </c>
      <c r="H8" s="1314" t="s">
        <v>432</v>
      </c>
      <c r="I8" s="1314" t="s">
        <v>432</v>
      </c>
      <c r="J8" s="1314" t="s">
        <v>432</v>
      </c>
      <c r="K8" s="1314" t="s">
        <v>432</v>
      </c>
      <c r="L8" s="1314" t="s">
        <v>432</v>
      </c>
      <c r="M8" s="1314" t="s">
        <v>432</v>
      </c>
      <c r="N8" s="1315"/>
      <c r="O8" s="1316" t="s">
        <v>432</v>
      </c>
      <c r="P8" s="1317" t="s">
        <v>432</v>
      </c>
      <c r="Q8" s="1316" t="s">
        <v>432</v>
      </c>
      <c r="R8" s="1318"/>
      <c r="S8" s="1316" t="s">
        <v>432</v>
      </c>
      <c r="T8" s="1317" t="s">
        <v>432</v>
      </c>
      <c r="U8" s="1316" t="s">
        <v>432</v>
      </c>
      <c r="V8" s="1302" t="s">
        <v>415</v>
      </c>
      <c r="W8" s="1316" t="s">
        <v>432</v>
      </c>
      <c r="X8" s="1317" t="s">
        <v>432</v>
      </c>
      <c r="Y8" s="1316" t="s">
        <v>432</v>
      </c>
      <c r="Z8" s="1319"/>
      <c r="AA8" s="1320" t="s">
        <v>432</v>
      </c>
      <c r="AB8" s="1320" t="s">
        <v>432</v>
      </c>
      <c r="AC8" s="1320" t="s">
        <v>432</v>
      </c>
      <c r="AH8" s="2401"/>
    </row>
    <row r="9" spans="1:57">
      <c r="A9" s="1321"/>
      <c r="B9" s="1291"/>
      <c r="C9" s="1291"/>
      <c r="D9" s="1291"/>
      <c r="E9" s="1291"/>
      <c r="F9" s="1291"/>
      <c r="G9" s="1291"/>
      <c r="H9" s="1291"/>
      <c r="I9" s="1291"/>
      <c r="J9" s="1291"/>
      <c r="K9" s="1291"/>
      <c r="L9" s="1291"/>
      <c r="M9" s="1291"/>
      <c r="N9" s="1291"/>
      <c r="O9" s="1291"/>
      <c r="P9" s="1291"/>
      <c r="Q9" s="1291"/>
      <c r="R9" s="1291"/>
      <c r="S9" s="1291"/>
      <c r="T9" s="1291"/>
      <c r="U9" s="1291"/>
      <c r="V9" s="1291"/>
      <c r="W9" s="1291"/>
      <c r="X9" s="1291"/>
      <c r="Y9" s="1291"/>
      <c r="Z9" s="1291"/>
      <c r="AA9" s="1291"/>
      <c r="AB9" s="1291"/>
      <c r="AC9" s="1291"/>
      <c r="AH9" s="2401"/>
    </row>
    <row r="10" spans="1:57">
      <c r="A10" s="1322" t="s">
        <v>747</v>
      </c>
      <c r="B10" s="1291">
        <v>-10611</v>
      </c>
      <c r="C10" s="1291">
        <v>-10143</v>
      </c>
      <c r="D10" s="1291">
        <v>-10165</v>
      </c>
      <c r="E10" s="1291">
        <v>-10306</v>
      </c>
      <c r="F10" s="1291">
        <v>-10877</v>
      </c>
      <c r="G10" s="1291">
        <v>-10205</v>
      </c>
      <c r="H10" s="1291">
        <v>-10931</v>
      </c>
      <c r="I10" s="1291">
        <v>-10862</v>
      </c>
      <c r="J10" s="1291">
        <v>-10858</v>
      </c>
      <c r="K10" s="1291">
        <v>-10842</v>
      </c>
      <c r="L10" s="1291">
        <v>-10985</v>
      </c>
      <c r="M10" s="1291">
        <v>-11669</v>
      </c>
      <c r="N10" s="1291"/>
      <c r="O10" s="1291">
        <v>-128754</v>
      </c>
      <c r="P10" s="1291">
        <v>-128455</v>
      </c>
      <c r="Q10" s="1291">
        <v>299</v>
      </c>
      <c r="R10" s="1323" t="s">
        <v>415</v>
      </c>
      <c r="S10" s="1291">
        <v>0</v>
      </c>
      <c r="T10" s="1291">
        <v>100</v>
      </c>
      <c r="U10" s="1291">
        <v>100</v>
      </c>
      <c r="V10" s="1323" t="s">
        <v>415</v>
      </c>
      <c r="W10" s="1291">
        <v>-128754</v>
      </c>
      <c r="X10" s="1291">
        <v>-128555</v>
      </c>
      <c r="Y10" s="1291">
        <v>199</v>
      </c>
      <c r="Z10" s="1323" t="s">
        <v>415</v>
      </c>
      <c r="AA10" s="1291">
        <v>-52102</v>
      </c>
      <c r="AB10" s="1291">
        <v>-53574</v>
      </c>
      <c r="AC10" s="1291">
        <v>1471</v>
      </c>
      <c r="AH10" s="2401"/>
    </row>
    <row r="11" spans="1:57">
      <c r="A11" s="1322" t="s">
        <v>372</v>
      </c>
      <c r="B11" s="1291">
        <v>-13</v>
      </c>
      <c r="C11" s="1291">
        <v>-17</v>
      </c>
      <c r="D11" s="1291">
        <v>-1</v>
      </c>
      <c r="E11" s="1291">
        <v>-4</v>
      </c>
      <c r="F11" s="1291">
        <v>-3</v>
      </c>
      <c r="G11" s="1291">
        <v>-4</v>
      </c>
      <c r="H11" s="1291">
        <v>0</v>
      </c>
      <c r="I11" s="1291">
        <v>0</v>
      </c>
      <c r="J11" s="1291">
        <v>0</v>
      </c>
      <c r="K11" s="1291">
        <v>-4</v>
      </c>
      <c r="L11" s="1291">
        <v>0</v>
      </c>
      <c r="M11" s="1291">
        <v>0</v>
      </c>
      <c r="N11" s="1291"/>
      <c r="O11" s="1291">
        <v>-27</v>
      </c>
      <c r="P11" s="1291">
        <v>-45</v>
      </c>
      <c r="Q11" s="1291">
        <v>-18</v>
      </c>
      <c r="R11" s="1323" t="s">
        <v>415</v>
      </c>
      <c r="S11" s="1291">
        <v>0</v>
      </c>
      <c r="T11" s="1291">
        <v>-4</v>
      </c>
      <c r="U11" s="1291">
        <v>-4</v>
      </c>
      <c r="V11" s="1323" t="s">
        <v>415</v>
      </c>
      <c r="W11" s="1291">
        <v>-27</v>
      </c>
      <c r="X11" s="1291">
        <v>-41</v>
      </c>
      <c r="Y11" s="1291">
        <v>-15</v>
      </c>
      <c r="Z11" s="1323" t="s">
        <v>415</v>
      </c>
      <c r="AA11" s="1291">
        <v>-37</v>
      </c>
      <c r="AB11" s="1291">
        <v>-24</v>
      </c>
      <c r="AC11" s="1291">
        <v>-13</v>
      </c>
      <c r="AH11" s="2401"/>
    </row>
    <row r="12" spans="1:57">
      <c r="A12" s="1322" t="s">
        <v>748</v>
      </c>
      <c r="B12" s="1291">
        <v>-1</v>
      </c>
      <c r="C12" s="1291">
        <v>-7</v>
      </c>
      <c r="D12" s="1291">
        <v>-4</v>
      </c>
      <c r="E12" s="1291">
        <v>68</v>
      </c>
      <c r="F12" s="1291">
        <v>-4</v>
      </c>
      <c r="G12" s="1291">
        <v>-22</v>
      </c>
      <c r="H12" s="1291">
        <v>-31</v>
      </c>
      <c r="I12" s="1291">
        <v>-31</v>
      </c>
      <c r="J12" s="1291">
        <v>-22</v>
      </c>
      <c r="K12" s="1291">
        <v>-22</v>
      </c>
      <c r="L12" s="1291">
        <v>-22</v>
      </c>
      <c r="M12" s="1291">
        <v>-22</v>
      </c>
      <c r="N12" s="1291"/>
      <c r="O12" s="1291">
        <v>-207</v>
      </c>
      <c r="P12" s="1291">
        <v>-123</v>
      </c>
      <c r="Q12" s="1291">
        <v>84</v>
      </c>
      <c r="R12" s="1323" t="s">
        <v>415</v>
      </c>
      <c r="S12" s="1291">
        <v>0</v>
      </c>
      <c r="T12" s="1291">
        <v>16</v>
      </c>
      <c r="U12" s="1291">
        <v>16</v>
      </c>
      <c r="V12" s="1323" t="s">
        <v>415</v>
      </c>
      <c r="W12" s="1291">
        <v>-207</v>
      </c>
      <c r="X12" s="1291">
        <v>-139</v>
      </c>
      <c r="Y12" s="1291">
        <v>68</v>
      </c>
      <c r="Z12" s="1323" t="s">
        <v>415</v>
      </c>
      <c r="AA12" s="1291">
        <v>52</v>
      </c>
      <c r="AB12" s="1291">
        <v>-48</v>
      </c>
      <c r="AC12" s="1291">
        <v>100</v>
      </c>
      <c r="AH12" s="2401"/>
    </row>
    <row r="13" spans="1:57">
      <c r="A13" s="1322" t="s">
        <v>373</v>
      </c>
      <c r="B13" s="1291">
        <v>-5</v>
      </c>
      <c r="C13" s="1291">
        <v>-25</v>
      </c>
      <c r="D13" s="1291">
        <v>-3</v>
      </c>
      <c r="E13" s="1291">
        <v>-17</v>
      </c>
      <c r="F13" s="1291">
        <v>0</v>
      </c>
      <c r="G13" s="1291">
        <v>0</v>
      </c>
      <c r="H13" s="1291">
        <v>0</v>
      </c>
      <c r="I13" s="1291">
        <v>0</v>
      </c>
      <c r="J13" s="1291">
        <v>0</v>
      </c>
      <c r="K13" s="1291">
        <v>0</v>
      </c>
      <c r="L13" s="1291">
        <v>0</v>
      </c>
      <c r="M13" s="1291">
        <v>0</v>
      </c>
      <c r="N13" s="1291"/>
      <c r="O13" s="1291">
        <v>0</v>
      </c>
      <c r="P13" s="1291">
        <v>-50</v>
      </c>
      <c r="Q13" s="1291">
        <v>-50</v>
      </c>
      <c r="R13" s="1323" t="s">
        <v>415</v>
      </c>
      <c r="S13" s="1291">
        <v>0</v>
      </c>
      <c r="T13" s="1291">
        <v>0</v>
      </c>
      <c r="U13" s="1291">
        <v>0</v>
      </c>
      <c r="V13" s="1323" t="s">
        <v>415</v>
      </c>
      <c r="W13" s="1291">
        <v>0</v>
      </c>
      <c r="X13" s="1291">
        <v>-50</v>
      </c>
      <c r="Y13" s="1291">
        <v>-50</v>
      </c>
      <c r="Z13" s="1323" t="s">
        <v>415</v>
      </c>
      <c r="AA13" s="1291">
        <v>-50</v>
      </c>
      <c r="AB13" s="1291">
        <v>0</v>
      </c>
      <c r="AC13" s="1291">
        <v>-50</v>
      </c>
      <c r="AH13" s="2401"/>
    </row>
    <row r="14" spans="1:57" ht="13.8" thickBot="1">
      <c r="A14" s="1322" t="s">
        <v>374</v>
      </c>
      <c r="B14" s="1291">
        <v>0</v>
      </c>
      <c r="C14" s="1291">
        <v>-1</v>
      </c>
      <c r="D14" s="1291">
        <v>0</v>
      </c>
      <c r="E14" s="1291">
        <v>0</v>
      </c>
      <c r="F14" s="1291">
        <v>0</v>
      </c>
      <c r="G14" s="1291">
        <v>0</v>
      </c>
      <c r="H14" s="1291">
        <v>0</v>
      </c>
      <c r="I14" s="1291">
        <v>0</v>
      </c>
      <c r="J14" s="1291">
        <v>0</v>
      </c>
      <c r="K14" s="1291">
        <v>0</v>
      </c>
      <c r="L14" s="1291">
        <v>0</v>
      </c>
      <c r="M14" s="1291">
        <v>0</v>
      </c>
      <c r="N14" s="1291"/>
      <c r="O14" s="1291">
        <v>0</v>
      </c>
      <c r="P14" s="1291">
        <v>-1</v>
      </c>
      <c r="Q14" s="1291">
        <v>-1</v>
      </c>
      <c r="R14" s="1323" t="s">
        <v>415</v>
      </c>
      <c r="S14" s="1291">
        <v>0</v>
      </c>
      <c r="T14" s="1291">
        <v>0</v>
      </c>
      <c r="U14" s="1291">
        <v>0</v>
      </c>
      <c r="V14" s="1323" t="s">
        <v>415</v>
      </c>
      <c r="W14" s="1291">
        <v>0</v>
      </c>
      <c r="X14" s="1291">
        <v>-1</v>
      </c>
      <c r="Y14" s="1291">
        <v>-1</v>
      </c>
      <c r="Z14" s="1323" t="s">
        <v>415</v>
      </c>
      <c r="AA14" s="1291">
        <v>-1</v>
      </c>
      <c r="AB14" s="1291">
        <v>0</v>
      </c>
      <c r="AC14" s="1291">
        <v>-1</v>
      </c>
      <c r="AH14" s="2401"/>
    </row>
    <row r="15" spans="1:57" ht="13.8" thickBot="1">
      <c r="A15" s="1324" t="s">
        <v>375</v>
      </c>
      <c r="B15" s="1325">
        <v>-10630</v>
      </c>
      <c r="C15" s="1325">
        <v>-10193</v>
      </c>
      <c r="D15" s="1325">
        <v>-10173</v>
      </c>
      <c r="E15" s="1325">
        <v>-10259</v>
      </c>
      <c r="F15" s="1325">
        <v>-10883</v>
      </c>
      <c r="G15" s="1325">
        <v>-10231</v>
      </c>
      <c r="H15" s="1325">
        <v>-10962</v>
      </c>
      <c r="I15" s="1325">
        <v>-10894</v>
      </c>
      <c r="J15" s="1325">
        <v>-10881</v>
      </c>
      <c r="K15" s="1325">
        <v>-10869</v>
      </c>
      <c r="L15" s="1325">
        <v>-11007</v>
      </c>
      <c r="M15" s="1325">
        <v>-11691</v>
      </c>
      <c r="N15" s="1291"/>
      <c r="O15" s="1325">
        <v>-128987</v>
      </c>
      <c r="P15" s="1325">
        <v>-128673</v>
      </c>
      <c r="Q15" s="1325">
        <v>314</v>
      </c>
      <c r="R15" s="1323" t="s">
        <v>415</v>
      </c>
      <c r="S15" s="1325">
        <v>0</v>
      </c>
      <c r="T15" s="1325">
        <v>112</v>
      </c>
      <c r="U15" s="1325">
        <v>112</v>
      </c>
      <c r="V15" s="1323" t="s">
        <v>415</v>
      </c>
      <c r="W15" s="1325">
        <v>-128987</v>
      </c>
      <c r="X15" s="1325">
        <v>-128786</v>
      </c>
      <c r="Y15" s="1325">
        <v>202</v>
      </c>
      <c r="Z15" s="1323" t="s">
        <v>415</v>
      </c>
      <c r="AA15" s="1325">
        <v>-52138</v>
      </c>
      <c r="AB15" s="1325">
        <v>-53645</v>
      </c>
      <c r="AC15" s="1325">
        <v>1507</v>
      </c>
      <c r="AH15" s="2401"/>
    </row>
    <row r="16" spans="1:57">
      <c r="A16" s="1322" t="s">
        <v>376</v>
      </c>
      <c r="B16" s="1291">
        <v>0</v>
      </c>
      <c r="C16" s="1291">
        <v>0</v>
      </c>
      <c r="D16" s="1291">
        <v>0</v>
      </c>
      <c r="E16" s="1291">
        <v>0</v>
      </c>
      <c r="F16" s="1291">
        <v>0</v>
      </c>
      <c r="G16" s="1291">
        <v>0</v>
      </c>
      <c r="H16" s="1291">
        <v>0</v>
      </c>
      <c r="I16" s="1291">
        <v>0</v>
      </c>
      <c r="J16" s="1291">
        <v>0</v>
      </c>
      <c r="K16" s="1291">
        <v>-1</v>
      </c>
      <c r="L16" s="1291">
        <v>0</v>
      </c>
      <c r="M16" s="1291">
        <v>0</v>
      </c>
      <c r="N16" s="1291"/>
      <c r="O16" s="1291">
        <v>-1</v>
      </c>
      <c r="P16" s="1291">
        <v>-1</v>
      </c>
      <c r="Q16" s="1291">
        <v>0</v>
      </c>
      <c r="R16" s="1323" t="s">
        <v>415</v>
      </c>
      <c r="S16" s="1291">
        <v>0</v>
      </c>
      <c r="T16" s="1291">
        <v>4</v>
      </c>
      <c r="U16" s="1291">
        <v>4</v>
      </c>
      <c r="V16" s="1323" t="s">
        <v>415</v>
      </c>
      <c r="W16" s="1291">
        <v>-1</v>
      </c>
      <c r="X16" s="1291">
        <v>-5</v>
      </c>
      <c r="Y16" s="1291">
        <v>-4</v>
      </c>
      <c r="Z16" s="1323" t="s">
        <v>415</v>
      </c>
      <c r="AA16" s="1291">
        <v>0</v>
      </c>
      <c r="AB16" s="1291">
        <v>-1</v>
      </c>
      <c r="AC16" s="1291">
        <v>1</v>
      </c>
      <c r="AH16" s="2401"/>
    </row>
    <row r="17" spans="1:34" ht="13.8" thickBot="1">
      <c r="A17" s="1322" t="s">
        <v>180</v>
      </c>
      <c r="B17" s="1291">
        <v>-76</v>
      </c>
      <c r="C17" s="1291">
        <v>-43</v>
      </c>
      <c r="D17" s="1291">
        <v>-67</v>
      </c>
      <c r="E17" s="1291">
        <v>-174</v>
      </c>
      <c r="F17" s="1291">
        <v>-123</v>
      </c>
      <c r="G17" s="1291">
        <v>-117</v>
      </c>
      <c r="H17" s="1291">
        <v>-26</v>
      </c>
      <c r="I17" s="1291">
        <v>-82</v>
      </c>
      <c r="J17" s="1291">
        <v>-19</v>
      </c>
      <c r="K17" s="1291">
        <v>-12</v>
      </c>
      <c r="L17" s="1291">
        <v>-70</v>
      </c>
      <c r="M17" s="1291">
        <v>-22</v>
      </c>
      <c r="N17" s="1291"/>
      <c r="O17" s="1291">
        <v>-654</v>
      </c>
      <c r="P17" s="1291">
        <v>-832</v>
      </c>
      <c r="Q17" s="1291">
        <v>-178</v>
      </c>
      <c r="R17" s="1323" t="s">
        <v>415</v>
      </c>
      <c r="S17" s="1291">
        <v>0</v>
      </c>
      <c r="T17" s="1291">
        <v>-86</v>
      </c>
      <c r="U17" s="1291">
        <v>-86</v>
      </c>
      <c r="V17" s="1323" t="s">
        <v>415</v>
      </c>
      <c r="W17" s="1291">
        <v>-654</v>
      </c>
      <c r="X17" s="1291">
        <v>-746</v>
      </c>
      <c r="Y17" s="1291">
        <v>-92</v>
      </c>
      <c r="Z17" s="1323" t="s">
        <v>415</v>
      </c>
      <c r="AA17" s="1291">
        <v>-484</v>
      </c>
      <c r="AB17" s="1291">
        <v>-262</v>
      </c>
      <c r="AC17" s="1291">
        <v>-222</v>
      </c>
      <c r="AH17" s="2401"/>
    </row>
    <row r="18" spans="1:34" ht="13.8" thickBot="1">
      <c r="A18" s="1324" t="s">
        <v>26</v>
      </c>
      <c r="B18" s="1325">
        <v>-76</v>
      </c>
      <c r="C18" s="1325">
        <v>-43</v>
      </c>
      <c r="D18" s="1325">
        <v>-67</v>
      </c>
      <c r="E18" s="1325">
        <v>-174</v>
      </c>
      <c r="F18" s="1325">
        <v>-123</v>
      </c>
      <c r="G18" s="1325">
        <v>-117</v>
      </c>
      <c r="H18" s="1325">
        <v>-26</v>
      </c>
      <c r="I18" s="1325">
        <v>-82</v>
      </c>
      <c r="J18" s="1325">
        <v>-19</v>
      </c>
      <c r="K18" s="1325">
        <v>-13</v>
      </c>
      <c r="L18" s="1325">
        <v>-70</v>
      </c>
      <c r="M18" s="1325">
        <v>-22</v>
      </c>
      <c r="N18" s="1291"/>
      <c r="O18" s="1325">
        <v>-655</v>
      </c>
      <c r="P18" s="1325">
        <v>-833</v>
      </c>
      <c r="Q18" s="1325">
        <v>-178</v>
      </c>
      <c r="R18" s="1323" t="s">
        <v>415</v>
      </c>
      <c r="S18" s="1325">
        <v>0</v>
      </c>
      <c r="T18" s="1325">
        <v>-82</v>
      </c>
      <c r="U18" s="1325">
        <v>-82</v>
      </c>
      <c r="V18" s="1323" t="s">
        <v>415</v>
      </c>
      <c r="W18" s="1325">
        <v>-655</v>
      </c>
      <c r="X18" s="1325">
        <v>-751</v>
      </c>
      <c r="Y18" s="1325">
        <v>-96</v>
      </c>
      <c r="Z18" s="1323" t="s">
        <v>415</v>
      </c>
      <c r="AA18" s="1325">
        <v>-484</v>
      </c>
      <c r="AB18" s="1325">
        <v>-263</v>
      </c>
      <c r="AC18" s="1325">
        <v>-221</v>
      </c>
      <c r="AH18" s="2401"/>
    </row>
    <row r="19" spans="1:34" ht="13.8" thickBot="1">
      <c r="A19" s="1324" t="s">
        <v>433</v>
      </c>
      <c r="B19" s="1325">
        <v>-10705</v>
      </c>
      <c r="C19" s="1325">
        <v>-10236</v>
      </c>
      <c r="D19" s="1325">
        <v>-10240</v>
      </c>
      <c r="E19" s="1325">
        <v>-10433</v>
      </c>
      <c r="F19" s="1325">
        <v>-11007</v>
      </c>
      <c r="G19" s="1325">
        <v>-10349</v>
      </c>
      <c r="H19" s="1325">
        <v>-10988</v>
      </c>
      <c r="I19" s="1325">
        <v>-10976</v>
      </c>
      <c r="J19" s="1325">
        <v>-10900</v>
      </c>
      <c r="K19" s="1325">
        <v>-10881</v>
      </c>
      <c r="L19" s="1325">
        <v>-11077</v>
      </c>
      <c r="M19" s="1325">
        <v>-11713</v>
      </c>
      <c r="N19" s="1291"/>
      <c r="O19" s="1325">
        <v>-129642</v>
      </c>
      <c r="P19" s="1325">
        <v>-129506</v>
      </c>
      <c r="Q19" s="1325">
        <v>136</v>
      </c>
      <c r="R19" s="1323" t="s">
        <v>415</v>
      </c>
      <c r="S19" s="1325">
        <v>0</v>
      </c>
      <c r="T19" s="1325">
        <v>30</v>
      </c>
      <c r="U19" s="1325">
        <v>30</v>
      </c>
      <c r="V19" s="1323" t="s">
        <v>415</v>
      </c>
      <c r="W19" s="1325">
        <v>-129642</v>
      </c>
      <c r="X19" s="1325">
        <v>-129536</v>
      </c>
      <c r="Y19" s="1325">
        <v>106</v>
      </c>
      <c r="Z19" s="1323" t="s">
        <v>415</v>
      </c>
      <c r="AA19" s="1325">
        <v>-52622</v>
      </c>
      <c r="AB19" s="1325">
        <v>-53908</v>
      </c>
      <c r="AC19" s="1325">
        <v>1287</v>
      </c>
      <c r="AH19" s="2401"/>
    </row>
    <row r="20" spans="1:34">
      <c r="A20" s="1321"/>
      <c r="B20" s="1291"/>
      <c r="C20" s="1291"/>
      <c r="D20" s="1291"/>
      <c r="E20" s="1291"/>
      <c r="F20" s="1291"/>
      <c r="G20" s="1291"/>
      <c r="H20" s="1291"/>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H20" s="2401"/>
    </row>
    <row r="21" spans="1:34" ht="13.8" thickBot="1">
      <c r="A21" s="1326" t="s">
        <v>377</v>
      </c>
      <c r="B21" s="1292">
        <v>160</v>
      </c>
      <c r="C21" s="1292">
        <v>157</v>
      </c>
      <c r="D21" s="1292">
        <v>158</v>
      </c>
      <c r="E21" s="1292">
        <v>158</v>
      </c>
      <c r="F21" s="1292">
        <v>168</v>
      </c>
      <c r="G21" s="1292">
        <v>160</v>
      </c>
      <c r="H21" s="1292">
        <v>160</v>
      </c>
      <c r="I21" s="1292">
        <v>160</v>
      </c>
      <c r="J21" s="1292">
        <v>160</v>
      </c>
      <c r="K21" s="1292">
        <v>160</v>
      </c>
      <c r="L21" s="1292">
        <v>160</v>
      </c>
      <c r="M21" s="1292">
        <v>160</v>
      </c>
      <c r="N21" s="1291"/>
      <c r="O21" s="1292">
        <v>1998</v>
      </c>
      <c r="P21" s="1292">
        <v>1920</v>
      </c>
      <c r="Q21" s="1292">
        <v>-78</v>
      </c>
      <c r="R21" s="1291"/>
      <c r="S21" s="1292">
        <v>0</v>
      </c>
      <c r="T21" s="1292">
        <v>5</v>
      </c>
      <c r="U21" s="1292">
        <v>5</v>
      </c>
      <c r="V21" s="1291"/>
      <c r="W21" s="1292">
        <v>1998</v>
      </c>
      <c r="X21" s="1292">
        <v>1916</v>
      </c>
      <c r="Y21" s="1292">
        <v>-83</v>
      </c>
      <c r="Z21" s="1291"/>
      <c r="AA21" s="1292">
        <v>800</v>
      </c>
      <c r="AB21" s="1292">
        <v>833</v>
      </c>
      <c r="AC21" s="1292">
        <v>-33</v>
      </c>
      <c r="AH21" s="2401"/>
    </row>
    <row r="22" spans="1:34" ht="13.8" thickBot="1">
      <c r="A22" s="1327" t="s">
        <v>749</v>
      </c>
      <c r="B22" s="1328">
        <v>277</v>
      </c>
      <c r="C22" s="1328">
        <v>285</v>
      </c>
      <c r="D22" s="1328">
        <v>269</v>
      </c>
      <c r="E22" s="1328">
        <v>280</v>
      </c>
      <c r="F22" s="1328">
        <v>281</v>
      </c>
      <c r="G22" s="1328">
        <v>290</v>
      </c>
      <c r="H22" s="1328">
        <v>285</v>
      </c>
      <c r="I22" s="1328">
        <v>285</v>
      </c>
      <c r="J22" s="1328">
        <v>285</v>
      </c>
      <c r="K22" s="1328">
        <v>285</v>
      </c>
      <c r="L22" s="1328">
        <v>285</v>
      </c>
      <c r="M22" s="1328">
        <v>285</v>
      </c>
      <c r="N22" s="1291"/>
      <c r="O22" s="1328">
        <v>3383</v>
      </c>
      <c r="P22" s="1328">
        <v>3391</v>
      </c>
      <c r="Q22" s="1328">
        <v>8</v>
      </c>
      <c r="R22" s="1291"/>
      <c r="S22" s="1328">
        <v>0</v>
      </c>
      <c r="T22" s="1328">
        <v>-11</v>
      </c>
      <c r="U22" s="1328">
        <v>-11</v>
      </c>
      <c r="V22" s="1291"/>
      <c r="W22" s="1328">
        <v>3383</v>
      </c>
      <c r="X22" s="1328">
        <v>3401</v>
      </c>
      <c r="Y22" s="1328">
        <v>19</v>
      </c>
      <c r="Z22" s="1291"/>
      <c r="AA22" s="1328">
        <v>1392</v>
      </c>
      <c r="AB22" s="1328">
        <v>1409</v>
      </c>
      <c r="AC22" s="1328">
        <v>-17</v>
      </c>
      <c r="AH22" s="2401"/>
    </row>
    <row r="23" spans="1:34" ht="13.8" thickBot="1">
      <c r="A23" s="1329" t="s">
        <v>378</v>
      </c>
      <c r="B23" s="1293">
        <v>277</v>
      </c>
      <c r="C23" s="1293">
        <v>285</v>
      </c>
      <c r="D23" s="1293">
        <v>269</v>
      </c>
      <c r="E23" s="1293">
        <v>280</v>
      </c>
      <c r="F23" s="1293">
        <v>281</v>
      </c>
      <c r="G23" s="1293">
        <v>290</v>
      </c>
      <c r="H23" s="1293">
        <v>285</v>
      </c>
      <c r="I23" s="1293">
        <v>285</v>
      </c>
      <c r="J23" s="1293">
        <v>285</v>
      </c>
      <c r="K23" s="1293">
        <v>285</v>
      </c>
      <c r="L23" s="1293">
        <v>285</v>
      </c>
      <c r="M23" s="1293">
        <v>285</v>
      </c>
      <c r="N23" s="1291"/>
      <c r="O23" s="1293">
        <v>3383</v>
      </c>
      <c r="P23" s="1293">
        <v>3391</v>
      </c>
      <c r="Q23" s="1293">
        <v>8</v>
      </c>
      <c r="R23" s="1291"/>
      <c r="S23" s="1293">
        <v>0</v>
      </c>
      <c r="T23" s="1293">
        <v>-11</v>
      </c>
      <c r="U23" s="1293">
        <v>-11</v>
      </c>
      <c r="V23" s="1291"/>
      <c r="W23" s="1293">
        <v>3383</v>
      </c>
      <c r="X23" s="1293">
        <v>3401</v>
      </c>
      <c r="Y23" s="1293">
        <v>19</v>
      </c>
      <c r="Z23" s="1291"/>
      <c r="AA23" s="1293">
        <v>1392</v>
      </c>
      <c r="AB23" s="1293">
        <v>1409</v>
      </c>
      <c r="AC23" s="1293">
        <v>-17</v>
      </c>
      <c r="AH23" s="2401"/>
    </row>
    <row r="24" spans="1:34">
      <c r="A24" s="1322" t="s">
        <v>379</v>
      </c>
      <c r="B24" s="1291">
        <v>21</v>
      </c>
      <c r="C24" s="1291">
        <v>22</v>
      </c>
      <c r="D24" s="1291">
        <v>20</v>
      </c>
      <c r="E24" s="1291">
        <v>21</v>
      </c>
      <c r="F24" s="1291">
        <v>21</v>
      </c>
      <c r="G24" s="1291">
        <v>24</v>
      </c>
      <c r="H24" s="1291">
        <v>22</v>
      </c>
      <c r="I24" s="1291">
        <v>22</v>
      </c>
      <c r="J24" s="1291">
        <v>25</v>
      </c>
      <c r="K24" s="1291">
        <v>24</v>
      </c>
      <c r="L24" s="1291">
        <v>24</v>
      </c>
      <c r="M24" s="1291">
        <v>24</v>
      </c>
      <c r="N24" s="1291"/>
      <c r="O24" s="1291">
        <v>315</v>
      </c>
      <c r="P24" s="1291">
        <v>269</v>
      </c>
      <c r="Q24" s="1291">
        <v>-46</v>
      </c>
      <c r="R24" s="1291"/>
      <c r="S24" s="1291">
        <v>0</v>
      </c>
      <c r="T24" s="1291">
        <v>20</v>
      </c>
      <c r="U24" s="1291">
        <v>20</v>
      </c>
      <c r="V24" s="1291"/>
      <c r="W24" s="1291">
        <v>315</v>
      </c>
      <c r="X24" s="1291">
        <v>249</v>
      </c>
      <c r="Y24" s="1291">
        <v>-66</v>
      </c>
      <c r="Z24" s="1291"/>
      <c r="AA24" s="1291">
        <v>106</v>
      </c>
      <c r="AB24" s="1291">
        <v>126</v>
      </c>
      <c r="AC24" s="1291">
        <v>-20</v>
      </c>
      <c r="AH24" s="2401"/>
    </row>
    <row r="25" spans="1:34">
      <c r="A25" s="1322" t="s">
        <v>380</v>
      </c>
      <c r="B25" s="1291">
        <v>253</v>
      </c>
      <c r="C25" s="1291">
        <v>292</v>
      </c>
      <c r="D25" s="1291">
        <v>262</v>
      </c>
      <c r="E25" s="1291">
        <v>268</v>
      </c>
      <c r="F25" s="1291">
        <v>280</v>
      </c>
      <c r="G25" s="1291">
        <v>274</v>
      </c>
      <c r="H25" s="1291">
        <v>264</v>
      </c>
      <c r="I25" s="1291">
        <v>270</v>
      </c>
      <c r="J25" s="1291">
        <v>270</v>
      </c>
      <c r="K25" s="1291">
        <v>276</v>
      </c>
      <c r="L25" s="1291">
        <v>281</v>
      </c>
      <c r="M25" s="1291">
        <v>281</v>
      </c>
      <c r="N25" s="1291"/>
      <c r="O25" s="1291">
        <v>3211</v>
      </c>
      <c r="P25" s="1291">
        <v>3271</v>
      </c>
      <c r="Q25" s="1291">
        <v>60</v>
      </c>
      <c r="R25" s="1291"/>
      <c r="S25" s="1291">
        <v>0</v>
      </c>
      <c r="T25" s="1291">
        <v>-19</v>
      </c>
      <c r="U25" s="1291">
        <v>-19</v>
      </c>
      <c r="V25" s="1291"/>
      <c r="W25" s="1291">
        <v>3211</v>
      </c>
      <c r="X25" s="1291">
        <v>3290</v>
      </c>
      <c r="Y25" s="1291">
        <v>79</v>
      </c>
      <c r="Z25" s="1291"/>
      <c r="AA25" s="1291">
        <v>1355</v>
      </c>
      <c r="AB25" s="1291">
        <v>1359</v>
      </c>
      <c r="AC25" s="1291">
        <v>-4</v>
      </c>
      <c r="AH25" s="2401"/>
    </row>
    <row r="26" spans="1:34" ht="13.8" thickBot="1">
      <c r="A26" s="1322" t="s">
        <v>381</v>
      </c>
      <c r="B26" s="1291">
        <v>186</v>
      </c>
      <c r="C26" s="1291">
        <v>174</v>
      </c>
      <c r="D26" s="1291">
        <v>170</v>
      </c>
      <c r="E26" s="1291">
        <v>197</v>
      </c>
      <c r="F26" s="1291">
        <v>147</v>
      </c>
      <c r="G26" s="1291">
        <v>177</v>
      </c>
      <c r="H26" s="1291">
        <v>178</v>
      </c>
      <c r="I26" s="1291">
        <v>177</v>
      </c>
      <c r="J26" s="1291">
        <v>178</v>
      </c>
      <c r="K26" s="1291">
        <v>178</v>
      </c>
      <c r="L26" s="1291">
        <v>178</v>
      </c>
      <c r="M26" s="1291">
        <v>178</v>
      </c>
      <c r="N26" s="1291"/>
      <c r="O26" s="1291">
        <v>2123</v>
      </c>
      <c r="P26" s="1291">
        <v>2119</v>
      </c>
      <c r="Q26" s="1291">
        <v>-4</v>
      </c>
      <c r="R26" s="1291"/>
      <c r="S26" s="1291">
        <v>0</v>
      </c>
      <c r="T26" s="1291">
        <v>-22</v>
      </c>
      <c r="U26" s="1291">
        <v>-22</v>
      </c>
      <c r="V26" s="1291"/>
      <c r="W26" s="1291">
        <v>2123</v>
      </c>
      <c r="X26" s="1291">
        <v>2141</v>
      </c>
      <c r="Y26" s="1291">
        <v>18</v>
      </c>
      <c r="Z26" s="1291"/>
      <c r="AA26" s="1291">
        <v>874</v>
      </c>
      <c r="AB26" s="1291">
        <v>885</v>
      </c>
      <c r="AC26" s="1291">
        <v>-11</v>
      </c>
      <c r="AH26" s="2401"/>
    </row>
    <row r="27" spans="1:34" ht="13.8" thickBot="1">
      <c r="A27" s="1324" t="s">
        <v>382</v>
      </c>
      <c r="B27" s="1325">
        <v>897</v>
      </c>
      <c r="C27" s="1325">
        <v>929</v>
      </c>
      <c r="D27" s="1325">
        <v>878</v>
      </c>
      <c r="E27" s="1325">
        <v>925</v>
      </c>
      <c r="F27" s="1325">
        <v>898</v>
      </c>
      <c r="G27" s="1325">
        <v>926</v>
      </c>
      <c r="H27" s="1325">
        <v>909</v>
      </c>
      <c r="I27" s="1325">
        <v>914</v>
      </c>
      <c r="J27" s="1325">
        <v>917</v>
      </c>
      <c r="K27" s="1325">
        <v>923</v>
      </c>
      <c r="L27" s="1325">
        <v>927</v>
      </c>
      <c r="M27" s="1325">
        <v>928</v>
      </c>
      <c r="N27" s="1291"/>
      <c r="O27" s="1325">
        <v>11030</v>
      </c>
      <c r="P27" s="1325">
        <v>10970</v>
      </c>
      <c r="Q27" s="1325">
        <v>-60</v>
      </c>
      <c r="R27" s="1291"/>
      <c r="S27" s="1330">
        <v>0</v>
      </c>
      <c r="T27" s="1330">
        <v>27</v>
      </c>
      <c r="U27" s="1325">
        <v>-27</v>
      </c>
      <c r="V27" s="1291"/>
      <c r="W27" s="1325">
        <v>11030</v>
      </c>
      <c r="X27" s="1325">
        <v>10997</v>
      </c>
      <c r="Y27" s="1325">
        <v>-33</v>
      </c>
      <c r="Z27" s="1291"/>
      <c r="AA27" s="1325">
        <v>4526</v>
      </c>
      <c r="AB27" s="1325">
        <v>4612</v>
      </c>
      <c r="AC27" s="1325">
        <v>-86</v>
      </c>
      <c r="AH27" s="2401"/>
    </row>
    <row r="28" spans="1:34">
      <c r="A28" s="1321"/>
      <c r="B28" s="1291"/>
      <c r="C28" s="1291"/>
      <c r="D28" s="1291"/>
      <c r="E28" s="1291"/>
      <c r="F28" s="1291"/>
      <c r="G28" s="1291"/>
      <c r="H28" s="1291"/>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H28" s="2401"/>
    </row>
    <row r="29" spans="1:34">
      <c r="A29" s="1322" t="s">
        <v>391</v>
      </c>
      <c r="B29" s="1291">
        <v>0</v>
      </c>
      <c r="C29" s="1291">
        <v>0</v>
      </c>
      <c r="D29" s="1291">
        <v>0</v>
      </c>
      <c r="E29" s="1291">
        <v>0</v>
      </c>
      <c r="F29" s="1291">
        <v>0</v>
      </c>
      <c r="G29" s="1291">
        <v>0</v>
      </c>
      <c r="H29" s="1291">
        <v>0</v>
      </c>
      <c r="I29" s="1291">
        <v>0</v>
      </c>
      <c r="J29" s="1291">
        <v>0</v>
      </c>
      <c r="K29" s="1291">
        <v>0</v>
      </c>
      <c r="L29" s="1291">
        <v>0</v>
      </c>
      <c r="M29" s="1291">
        <v>0</v>
      </c>
      <c r="N29" s="1291"/>
      <c r="O29" s="1291">
        <v>0</v>
      </c>
      <c r="P29" s="1291">
        <v>0</v>
      </c>
      <c r="Q29" s="1291">
        <v>0</v>
      </c>
      <c r="R29" s="1291"/>
      <c r="S29" s="1291">
        <v>0</v>
      </c>
      <c r="T29" s="1291">
        <v>0</v>
      </c>
      <c r="U29" s="1291">
        <v>0</v>
      </c>
      <c r="V29" s="1291"/>
      <c r="W29" s="1291">
        <v>0</v>
      </c>
      <c r="X29" s="1291">
        <v>0</v>
      </c>
      <c r="Y29" s="1291">
        <v>0</v>
      </c>
      <c r="Z29" s="1291"/>
      <c r="AA29" s="1291">
        <v>0</v>
      </c>
      <c r="AB29" s="1291">
        <v>0</v>
      </c>
      <c r="AC29" s="1291">
        <v>0</v>
      </c>
      <c r="AH29" s="2401"/>
    </row>
    <row r="30" spans="1:34">
      <c r="A30" s="1322" t="s">
        <v>392</v>
      </c>
      <c r="B30" s="1291">
        <v>3</v>
      </c>
      <c r="C30" s="1291">
        <v>2</v>
      </c>
      <c r="D30" s="1291">
        <v>3</v>
      </c>
      <c r="E30" s="1291">
        <v>3</v>
      </c>
      <c r="F30" s="1291">
        <v>5</v>
      </c>
      <c r="G30" s="1291">
        <v>3</v>
      </c>
      <c r="H30" s="1291">
        <v>3</v>
      </c>
      <c r="I30" s="1291">
        <v>3</v>
      </c>
      <c r="J30" s="1291">
        <v>3</v>
      </c>
      <c r="K30" s="1291">
        <v>3</v>
      </c>
      <c r="L30" s="1291">
        <v>3</v>
      </c>
      <c r="M30" s="1291">
        <v>4</v>
      </c>
      <c r="N30" s="1291"/>
      <c r="O30" s="1291">
        <v>34</v>
      </c>
      <c r="P30" s="1291">
        <v>36</v>
      </c>
      <c r="Q30" s="1291">
        <v>2</v>
      </c>
      <c r="R30" s="1291"/>
      <c r="S30" s="1291">
        <v>0</v>
      </c>
      <c r="T30" s="1291">
        <v>2</v>
      </c>
      <c r="U30" s="1291">
        <v>2</v>
      </c>
      <c r="V30" s="1291"/>
      <c r="W30" s="1291">
        <v>34</v>
      </c>
      <c r="X30" s="1291">
        <v>35</v>
      </c>
      <c r="Y30" s="1291">
        <v>0</v>
      </c>
      <c r="Z30" s="1291"/>
      <c r="AA30" s="1291">
        <v>16</v>
      </c>
      <c r="AB30" s="1291">
        <v>14</v>
      </c>
      <c r="AC30" s="1291">
        <v>1</v>
      </c>
      <c r="AH30" s="2401"/>
    </row>
    <row r="31" spans="1:34">
      <c r="A31" s="1322" t="s">
        <v>393</v>
      </c>
      <c r="B31" s="1291">
        <v>124</v>
      </c>
      <c r="C31" s="1291">
        <v>141</v>
      </c>
      <c r="D31" s="1291">
        <v>63</v>
      </c>
      <c r="E31" s="1291">
        <v>74</v>
      </c>
      <c r="F31" s="1291">
        <v>196</v>
      </c>
      <c r="G31" s="1291">
        <v>132</v>
      </c>
      <c r="H31" s="1291">
        <v>137</v>
      </c>
      <c r="I31" s="1291">
        <v>93</v>
      </c>
      <c r="J31" s="1291">
        <v>120</v>
      </c>
      <c r="K31" s="1291">
        <v>117</v>
      </c>
      <c r="L31" s="1291">
        <v>244</v>
      </c>
      <c r="M31" s="1291">
        <v>180</v>
      </c>
      <c r="N31" s="1291"/>
      <c r="O31" s="1291">
        <v>1706</v>
      </c>
      <c r="P31" s="1291">
        <v>1621</v>
      </c>
      <c r="Q31" s="1291">
        <v>-85</v>
      </c>
      <c r="R31" s="1291"/>
      <c r="S31" s="1291">
        <v>0</v>
      </c>
      <c r="T31" s="1291">
        <v>35</v>
      </c>
      <c r="U31" s="1291">
        <v>35</v>
      </c>
      <c r="V31" s="1291"/>
      <c r="W31" s="1291">
        <v>1706</v>
      </c>
      <c r="X31" s="1291">
        <v>1586</v>
      </c>
      <c r="Y31" s="1291">
        <v>-120</v>
      </c>
      <c r="Z31" s="1291"/>
      <c r="AA31" s="1291">
        <v>598</v>
      </c>
      <c r="AB31" s="1291">
        <v>582</v>
      </c>
      <c r="AC31" s="1291">
        <v>16</v>
      </c>
      <c r="AH31" s="2401"/>
    </row>
    <row r="32" spans="1:34">
      <c r="A32" s="1322" t="s">
        <v>394</v>
      </c>
      <c r="B32" s="1291">
        <v>1</v>
      </c>
      <c r="C32" s="1291">
        <v>0</v>
      </c>
      <c r="D32" s="1291">
        <v>0</v>
      </c>
      <c r="E32" s="1291">
        <v>1</v>
      </c>
      <c r="F32" s="1291">
        <v>1</v>
      </c>
      <c r="G32" s="1291">
        <v>0</v>
      </c>
      <c r="H32" s="1291">
        <v>0</v>
      </c>
      <c r="I32" s="1291">
        <v>0</v>
      </c>
      <c r="J32" s="1291">
        <v>0</v>
      </c>
      <c r="K32" s="1291">
        <v>0</v>
      </c>
      <c r="L32" s="1291">
        <v>0</v>
      </c>
      <c r="M32" s="1291">
        <v>0</v>
      </c>
      <c r="N32" s="1291"/>
      <c r="O32" s="1291">
        <v>3</v>
      </c>
      <c r="P32" s="1291">
        <v>4</v>
      </c>
      <c r="Q32" s="1291">
        <v>1</v>
      </c>
      <c r="R32" s="1291"/>
      <c r="S32" s="1291">
        <v>0</v>
      </c>
      <c r="T32" s="1291">
        <v>0</v>
      </c>
      <c r="U32" s="1291">
        <v>0</v>
      </c>
      <c r="V32" s="1291"/>
      <c r="W32" s="1291">
        <v>3</v>
      </c>
      <c r="X32" s="1291">
        <v>4</v>
      </c>
      <c r="Y32" s="1291">
        <v>1</v>
      </c>
      <c r="Z32" s="1291"/>
      <c r="AA32" s="1291">
        <v>2</v>
      </c>
      <c r="AB32" s="1291">
        <v>1</v>
      </c>
      <c r="AC32" s="1291">
        <v>1</v>
      </c>
      <c r="AH32" s="2401"/>
    </row>
    <row r="33" spans="1:34">
      <c r="A33" s="1322" t="s">
        <v>548</v>
      </c>
      <c r="B33" s="1291">
        <v>103</v>
      </c>
      <c r="C33" s="1291">
        <v>42</v>
      </c>
      <c r="D33" s="1291">
        <v>97</v>
      </c>
      <c r="E33" s="1291">
        <v>101</v>
      </c>
      <c r="F33" s="1291">
        <v>176</v>
      </c>
      <c r="G33" s="1291">
        <v>132</v>
      </c>
      <c r="H33" s="1291">
        <v>95</v>
      </c>
      <c r="I33" s="1291">
        <v>84</v>
      </c>
      <c r="J33" s="1291">
        <v>95</v>
      </c>
      <c r="K33" s="1291">
        <v>87</v>
      </c>
      <c r="L33" s="1291">
        <v>83</v>
      </c>
      <c r="M33" s="1291">
        <v>66</v>
      </c>
      <c r="N33" s="1291"/>
      <c r="O33" s="1291">
        <v>1115</v>
      </c>
      <c r="P33" s="1291">
        <v>1161</v>
      </c>
      <c r="Q33" s="1291">
        <v>46</v>
      </c>
      <c r="R33" s="1291"/>
      <c r="S33" s="1291">
        <v>0</v>
      </c>
      <c r="T33" s="1291">
        <v>-13</v>
      </c>
      <c r="U33" s="1291">
        <v>-13</v>
      </c>
      <c r="V33" s="1291"/>
      <c r="W33" s="1291">
        <v>1115</v>
      </c>
      <c r="X33" s="1291">
        <v>1174</v>
      </c>
      <c r="Y33" s="1291">
        <v>59</v>
      </c>
      <c r="Z33" s="1291"/>
      <c r="AA33" s="1291">
        <v>518</v>
      </c>
      <c r="AB33" s="1291">
        <v>435</v>
      </c>
      <c r="AC33" s="1291">
        <v>83</v>
      </c>
      <c r="AH33" s="2401"/>
    </row>
    <row r="34" spans="1:34">
      <c r="A34" s="1322" t="s">
        <v>395</v>
      </c>
      <c r="B34" s="1291">
        <v>877</v>
      </c>
      <c r="C34" s="1291">
        <v>300</v>
      </c>
      <c r="D34" s="1291">
        <v>358</v>
      </c>
      <c r="E34" s="1291">
        <v>201</v>
      </c>
      <c r="F34" s="1291">
        <v>668</v>
      </c>
      <c r="G34" s="1291">
        <v>783</v>
      </c>
      <c r="H34" s="1291">
        <v>612</v>
      </c>
      <c r="I34" s="1291">
        <v>648</v>
      </c>
      <c r="J34" s="1291">
        <v>738</v>
      </c>
      <c r="K34" s="1291">
        <v>699</v>
      </c>
      <c r="L34" s="1291">
        <v>738</v>
      </c>
      <c r="M34" s="1291">
        <v>1137</v>
      </c>
      <c r="N34" s="1291"/>
      <c r="O34" s="1291">
        <v>8374</v>
      </c>
      <c r="P34" s="1291">
        <v>7761</v>
      </c>
      <c r="Q34" s="1291">
        <v>-613</v>
      </c>
      <c r="R34" s="1291"/>
      <c r="S34" s="1291">
        <v>0</v>
      </c>
      <c r="T34" s="1291">
        <v>374</v>
      </c>
      <c r="U34" s="1291">
        <v>374</v>
      </c>
      <c r="V34" s="1291"/>
      <c r="W34" s="1291">
        <v>8374</v>
      </c>
      <c r="X34" s="1291">
        <v>7387</v>
      </c>
      <c r="Y34" s="1291">
        <v>-987</v>
      </c>
      <c r="Z34" s="1291"/>
      <c r="AA34" s="1291">
        <v>2405</v>
      </c>
      <c r="AB34" s="1291">
        <v>3243</v>
      </c>
      <c r="AC34" s="1291">
        <v>-838</v>
      </c>
      <c r="AH34" s="2401"/>
    </row>
    <row r="35" spans="1:34">
      <c r="A35" s="1322" t="s">
        <v>383</v>
      </c>
      <c r="B35" s="1291">
        <v>7787</v>
      </c>
      <c r="C35" s="1291">
        <v>7873</v>
      </c>
      <c r="D35" s="1291">
        <v>7838</v>
      </c>
      <c r="E35" s="1291">
        <v>8167</v>
      </c>
      <c r="F35" s="1291">
        <v>8083</v>
      </c>
      <c r="G35" s="1291">
        <v>7447</v>
      </c>
      <c r="H35" s="1291">
        <v>8293</v>
      </c>
      <c r="I35" s="1291">
        <v>8302</v>
      </c>
      <c r="J35" s="1291">
        <v>8095</v>
      </c>
      <c r="K35" s="1291">
        <v>8116</v>
      </c>
      <c r="L35" s="1291">
        <v>8145</v>
      </c>
      <c r="M35" s="1291">
        <v>8444</v>
      </c>
      <c r="N35" s="1291"/>
      <c r="O35" s="1291">
        <v>96644</v>
      </c>
      <c r="P35" s="1291">
        <v>96590</v>
      </c>
      <c r="Q35" s="1291">
        <v>-55</v>
      </c>
      <c r="R35" s="1291"/>
      <c r="S35" s="1291">
        <v>0</v>
      </c>
      <c r="T35" s="1291">
        <v>-427</v>
      </c>
      <c r="U35" s="1291">
        <v>-427</v>
      </c>
      <c r="V35" s="1291"/>
      <c r="W35" s="1291">
        <v>96644</v>
      </c>
      <c r="X35" s="1291">
        <v>97016</v>
      </c>
      <c r="Y35" s="1291">
        <v>372</v>
      </c>
      <c r="Z35" s="1291"/>
      <c r="AA35" s="1291">
        <v>39748</v>
      </c>
      <c r="AB35" s="1291">
        <v>40528</v>
      </c>
      <c r="AC35" s="1291">
        <v>-780</v>
      </c>
      <c r="AH35" s="2401"/>
    </row>
    <row r="36" spans="1:34" ht="13.8" thickBot="1">
      <c r="A36" s="1322" t="s">
        <v>396</v>
      </c>
      <c r="B36" s="1291">
        <v>912</v>
      </c>
      <c r="C36" s="1291">
        <v>949</v>
      </c>
      <c r="D36" s="1291">
        <v>1003</v>
      </c>
      <c r="E36" s="1291">
        <v>962</v>
      </c>
      <c r="F36" s="1291">
        <v>981</v>
      </c>
      <c r="G36" s="1291">
        <v>925</v>
      </c>
      <c r="H36" s="1291">
        <v>940</v>
      </c>
      <c r="I36" s="1291">
        <v>932</v>
      </c>
      <c r="J36" s="1291">
        <v>932</v>
      </c>
      <c r="K36" s="1291">
        <v>936</v>
      </c>
      <c r="L36" s="1291">
        <v>937</v>
      </c>
      <c r="M36" s="1291">
        <v>954</v>
      </c>
      <c r="N36" s="1291"/>
      <c r="O36" s="1291">
        <v>10737</v>
      </c>
      <c r="P36" s="1291">
        <v>11364</v>
      </c>
      <c r="Q36" s="1291">
        <v>627</v>
      </c>
      <c r="R36" s="1291"/>
      <c r="S36" s="1291">
        <v>0</v>
      </c>
      <c r="T36" s="1291">
        <v>26</v>
      </c>
      <c r="U36" s="1291">
        <v>26</v>
      </c>
      <c r="V36" s="1291"/>
      <c r="W36" s="1291">
        <v>10737</v>
      </c>
      <c r="X36" s="1291">
        <v>11338</v>
      </c>
      <c r="Y36" s="1291">
        <v>601</v>
      </c>
      <c r="Z36" s="1291"/>
      <c r="AA36" s="1291">
        <v>4807</v>
      </c>
      <c r="AB36" s="1291">
        <v>4492</v>
      </c>
      <c r="AC36" s="1291">
        <v>315</v>
      </c>
      <c r="AH36" s="2401"/>
    </row>
    <row r="37" spans="1:34" ht="13.8" thickBot="1">
      <c r="A37" s="1324" t="s">
        <v>397</v>
      </c>
      <c r="B37" s="1325">
        <v>9808</v>
      </c>
      <c r="C37" s="1325">
        <v>9307</v>
      </c>
      <c r="D37" s="1325">
        <v>9362</v>
      </c>
      <c r="E37" s="1325">
        <v>9509</v>
      </c>
      <c r="F37" s="1325">
        <v>10109</v>
      </c>
      <c r="G37" s="1325">
        <v>9423</v>
      </c>
      <c r="H37" s="1325">
        <v>10079</v>
      </c>
      <c r="I37" s="1325">
        <v>10062</v>
      </c>
      <c r="J37" s="1325">
        <v>9983</v>
      </c>
      <c r="K37" s="1325">
        <v>9959</v>
      </c>
      <c r="L37" s="1325">
        <v>10150</v>
      </c>
      <c r="M37" s="1325">
        <v>10785</v>
      </c>
      <c r="N37" s="1291"/>
      <c r="O37" s="1325">
        <v>118613</v>
      </c>
      <c r="P37" s="1325">
        <v>118536</v>
      </c>
      <c r="Q37" s="1325">
        <v>-77</v>
      </c>
      <c r="R37" s="1291"/>
      <c r="S37" s="1325">
        <v>0</v>
      </c>
      <c r="T37" s="1325">
        <v>-3</v>
      </c>
      <c r="U37" s="1325">
        <v>-3</v>
      </c>
      <c r="V37" s="1291"/>
      <c r="W37" s="1325">
        <v>118613</v>
      </c>
      <c r="X37" s="1325">
        <v>118539</v>
      </c>
      <c r="Y37" s="1325">
        <v>-74</v>
      </c>
      <c r="Z37" s="1291"/>
      <c r="AA37" s="1325">
        <v>48095</v>
      </c>
      <c r="AB37" s="1325">
        <v>49296</v>
      </c>
      <c r="AC37" s="1325">
        <v>-1201</v>
      </c>
      <c r="AH37" s="2401"/>
    </row>
    <row r="38" spans="1:34" ht="13.8" thickBot="1">
      <c r="A38" s="1321"/>
      <c r="B38" s="1291"/>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H38" s="2401"/>
    </row>
    <row r="39" spans="1:34" ht="13.8" thickBot="1">
      <c r="A39" s="1324" t="s">
        <v>398</v>
      </c>
      <c r="B39" s="1325">
        <v>10705</v>
      </c>
      <c r="C39" s="1325">
        <v>10236</v>
      </c>
      <c r="D39" s="1325">
        <v>10240</v>
      </c>
      <c r="E39" s="1325">
        <v>10433</v>
      </c>
      <c r="F39" s="1325">
        <v>11007</v>
      </c>
      <c r="G39" s="1325">
        <v>10349</v>
      </c>
      <c r="H39" s="1325">
        <v>10988</v>
      </c>
      <c r="I39" s="1325">
        <v>10976</v>
      </c>
      <c r="J39" s="1325">
        <v>10900</v>
      </c>
      <c r="K39" s="1325">
        <v>10881</v>
      </c>
      <c r="L39" s="1325">
        <v>11077</v>
      </c>
      <c r="M39" s="1325">
        <v>11713</v>
      </c>
      <c r="N39" s="1331"/>
      <c r="O39" s="1325">
        <v>129642</v>
      </c>
      <c r="P39" s="1325">
        <v>129506</v>
      </c>
      <c r="Q39" s="1325">
        <v>-136</v>
      </c>
      <c r="R39" s="1331"/>
      <c r="S39" s="1325">
        <v>0</v>
      </c>
      <c r="T39" s="1325">
        <v>-30</v>
      </c>
      <c r="U39" s="1325">
        <v>-30</v>
      </c>
      <c r="V39" s="1331"/>
      <c r="W39" s="1325">
        <v>129642</v>
      </c>
      <c r="X39" s="1325">
        <v>129536</v>
      </c>
      <c r="Y39" s="1325">
        <v>-107</v>
      </c>
      <c r="Z39" s="1331"/>
      <c r="AA39" s="1325">
        <v>52622</v>
      </c>
      <c r="AB39" s="1325">
        <v>53908</v>
      </c>
      <c r="AC39" s="1325">
        <v>-1287</v>
      </c>
      <c r="AH39" s="2401"/>
    </row>
    <row r="40" spans="1:34" ht="13.8" thickBot="1">
      <c r="A40" s="1332"/>
      <c r="B40" s="1291"/>
      <c r="C40" s="1291"/>
      <c r="D40" s="1291"/>
      <c r="E40" s="1291"/>
      <c r="F40" s="1291"/>
      <c r="G40" s="1291"/>
      <c r="H40" s="1291"/>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H40" s="2401"/>
    </row>
    <row r="41" spans="1:34" ht="13.8" thickBot="1">
      <c r="A41" s="1324" t="s">
        <v>865</v>
      </c>
      <c r="B41" s="1325">
        <v>0</v>
      </c>
      <c r="C41" s="1325">
        <v>0</v>
      </c>
      <c r="D41" s="1325">
        <v>0</v>
      </c>
      <c r="E41" s="1325">
        <v>0</v>
      </c>
      <c r="F41" s="1325">
        <v>0</v>
      </c>
      <c r="G41" s="1325">
        <v>0</v>
      </c>
      <c r="H41" s="1325">
        <v>0</v>
      </c>
      <c r="I41" s="1325">
        <v>0</v>
      </c>
      <c r="J41" s="1325">
        <v>0</v>
      </c>
      <c r="K41" s="1325">
        <v>0</v>
      </c>
      <c r="L41" s="1325">
        <v>0</v>
      </c>
      <c r="M41" s="1325">
        <v>0</v>
      </c>
      <c r="N41" s="1331"/>
      <c r="O41" s="1325">
        <v>0</v>
      </c>
      <c r="P41" s="1325">
        <v>0</v>
      </c>
      <c r="Q41" s="1325">
        <v>0</v>
      </c>
      <c r="R41" s="1331"/>
      <c r="S41" s="1325">
        <v>0</v>
      </c>
      <c r="T41" s="1325">
        <v>1</v>
      </c>
      <c r="U41" s="1325">
        <v>1</v>
      </c>
      <c r="V41" s="1331"/>
      <c r="W41" s="1325">
        <v>0</v>
      </c>
      <c r="X41" s="1325">
        <v>-1</v>
      </c>
      <c r="Y41" s="1325">
        <v>0</v>
      </c>
      <c r="Z41" s="1331"/>
      <c r="AA41" s="1325">
        <v>0</v>
      </c>
      <c r="AB41" s="1325">
        <v>0</v>
      </c>
      <c r="AC41" s="1325">
        <v>0</v>
      </c>
      <c r="AH41" s="2401"/>
    </row>
    <row r="42" spans="1:34" ht="13.8" thickBot="1">
      <c r="A42" s="1321"/>
      <c r="B42" s="1291"/>
      <c r="C42" s="1291"/>
      <c r="D42" s="1291"/>
      <c r="E42" s="1291"/>
      <c r="F42" s="1291"/>
      <c r="G42" s="1291"/>
      <c r="H42" s="1291"/>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H42" s="2401"/>
    </row>
    <row r="43" spans="1:34" ht="13.8" thickBot="1">
      <c r="A43" s="1324" t="s">
        <v>412</v>
      </c>
      <c r="B43" s="1325">
        <v>0</v>
      </c>
      <c r="C43" s="1325">
        <v>0</v>
      </c>
      <c r="D43" s="1325">
        <v>0</v>
      </c>
      <c r="E43" s="1325">
        <v>0</v>
      </c>
      <c r="F43" s="1325">
        <v>0</v>
      </c>
      <c r="G43" s="1325">
        <v>0</v>
      </c>
      <c r="H43" s="1325">
        <v>0</v>
      </c>
      <c r="I43" s="1325">
        <v>0</v>
      </c>
      <c r="J43" s="1325">
        <v>0</v>
      </c>
      <c r="K43" s="1325">
        <v>0</v>
      </c>
      <c r="L43" s="1325">
        <v>0</v>
      </c>
      <c r="M43" s="1325">
        <v>0</v>
      </c>
      <c r="N43" s="1331"/>
      <c r="O43" s="1325">
        <v>0</v>
      </c>
      <c r="P43" s="1325">
        <v>0</v>
      </c>
      <c r="Q43" s="1325">
        <v>0</v>
      </c>
      <c r="R43" s="1331"/>
      <c r="S43" s="1325">
        <v>0</v>
      </c>
      <c r="T43" s="1325">
        <v>1</v>
      </c>
      <c r="U43" s="1325">
        <v>1</v>
      </c>
      <c r="V43" s="1331"/>
      <c r="W43" s="1325">
        <v>0</v>
      </c>
      <c r="X43" s="1325">
        <v>-1</v>
      </c>
      <c r="Y43" s="1325">
        <v>-1</v>
      </c>
      <c r="Z43" s="1331"/>
      <c r="AA43" s="1325">
        <v>0</v>
      </c>
      <c r="AB43" s="1325">
        <v>0</v>
      </c>
      <c r="AC43" s="1325">
        <v>0</v>
      </c>
      <c r="AH43" s="2401"/>
    </row>
    <row r="44" spans="1:34">
      <c r="A44" s="1333"/>
      <c r="AH44" s="2401"/>
    </row>
    <row r="45" spans="1:34">
      <c r="A45" s="2400" t="s">
        <v>750</v>
      </c>
      <c r="B45" s="2400"/>
      <c r="C45" s="2400"/>
      <c r="D45" s="2400"/>
      <c r="E45" s="2400"/>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1296"/>
    </row>
    <row r="46" spans="1:34" ht="13.8">
      <c r="A46" s="1334"/>
    </row>
  </sheetData>
  <mergeCells count="5">
    <mergeCell ref="A45:AG45"/>
    <mergeCell ref="AI2:BE3"/>
    <mergeCell ref="A4:AG4"/>
    <mergeCell ref="A5:AG5"/>
    <mergeCell ref="AH5:AH44"/>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29"/>
  <sheetViews>
    <sheetView workbookViewId="0">
      <pane xSplit="1" ySplit="3" topLeftCell="H4" activePane="bottomRight" state="frozen"/>
      <selection pane="topRight" activeCell="B1" sqref="B1"/>
      <selection pane="bottomLeft" activeCell="A4" sqref="A4"/>
      <selection pane="bottomRight" activeCell="H12" sqref="H12:M12"/>
    </sheetView>
  </sheetViews>
  <sheetFormatPr defaultRowHeight="13.2"/>
  <cols>
    <col min="1" max="1" width="51.6640625" customWidth="1"/>
  </cols>
  <sheetData>
    <row r="1" spans="1:14" ht="45">
      <c r="A1" s="985"/>
      <c r="B1" s="986" t="s">
        <v>718</v>
      </c>
      <c r="C1" s="986" t="s">
        <v>629</v>
      </c>
      <c r="D1" s="986" t="s">
        <v>630</v>
      </c>
      <c r="E1" s="987"/>
      <c r="F1" s="987"/>
      <c r="G1" s="987"/>
      <c r="H1" s="987"/>
      <c r="I1" s="987"/>
      <c r="J1" s="987"/>
      <c r="K1" s="987"/>
      <c r="L1" s="987"/>
      <c r="M1" s="987"/>
      <c r="N1" s="988"/>
    </row>
    <row r="2" spans="1:14" ht="15">
      <c r="A2" s="986" t="s">
        <v>554</v>
      </c>
      <c r="B2" s="986" t="s">
        <v>450</v>
      </c>
      <c r="C2" s="986" t="s">
        <v>450</v>
      </c>
      <c r="D2" s="986" t="s">
        <v>450</v>
      </c>
      <c r="E2" s="986" t="s">
        <v>450</v>
      </c>
      <c r="F2" s="986" t="s">
        <v>450</v>
      </c>
      <c r="G2" s="986" t="s">
        <v>450</v>
      </c>
      <c r="H2" s="986" t="s">
        <v>450</v>
      </c>
      <c r="I2" s="986" t="s">
        <v>450</v>
      </c>
      <c r="J2" s="986" t="s">
        <v>450</v>
      </c>
      <c r="K2" s="986" t="s">
        <v>450</v>
      </c>
      <c r="L2" s="986" t="s">
        <v>450</v>
      </c>
      <c r="M2" s="986" t="s">
        <v>450</v>
      </c>
      <c r="N2" s="986" t="s">
        <v>450</v>
      </c>
    </row>
    <row r="3" spans="1:14" ht="15">
      <c r="A3" s="986" t="s">
        <v>554</v>
      </c>
      <c r="B3" s="986" t="s">
        <v>413</v>
      </c>
      <c r="C3" s="986" t="s">
        <v>413</v>
      </c>
      <c r="D3" s="986" t="s">
        <v>413</v>
      </c>
      <c r="E3" s="986" t="s">
        <v>413</v>
      </c>
      <c r="F3" s="986" t="s">
        <v>413</v>
      </c>
      <c r="G3" s="986" t="s">
        <v>413</v>
      </c>
      <c r="H3" s="986" t="s">
        <v>413</v>
      </c>
      <c r="I3" s="986" t="s">
        <v>413</v>
      </c>
      <c r="J3" s="986" t="s">
        <v>413</v>
      </c>
      <c r="K3" s="986" t="s">
        <v>413</v>
      </c>
      <c r="L3" s="986" t="s">
        <v>413</v>
      </c>
      <c r="M3" s="986" t="s">
        <v>413</v>
      </c>
      <c r="N3" s="986" t="s">
        <v>413</v>
      </c>
    </row>
    <row r="4" spans="1:14" ht="15">
      <c r="A4" s="986" t="s">
        <v>554</v>
      </c>
      <c r="B4" s="986" t="s">
        <v>420</v>
      </c>
      <c r="C4" s="986" t="s">
        <v>421</v>
      </c>
      <c r="D4" s="986" t="s">
        <v>422</v>
      </c>
      <c r="E4" s="986" t="s">
        <v>423</v>
      </c>
      <c r="F4" s="986" t="s">
        <v>424</v>
      </c>
      <c r="G4" s="986" t="s">
        <v>425</v>
      </c>
      <c r="H4" s="986" t="s">
        <v>426</v>
      </c>
      <c r="I4" s="986" t="s">
        <v>427</v>
      </c>
      <c r="J4" s="986" t="s">
        <v>428</v>
      </c>
      <c r="K4" s="986" t="s">
        <v>429</v>
      </c>
      <c r="L4" s="986" t="s">
        <v>430</v>
      </c>
      <c r="M4" s="986" t="s">
        <v>431</v>
      </c>
      <c r="N4" s="986" t="s">
        <v>419</v>
      </c>
    </row>
    <row r="5" spans="1:14" ht="15">
      <c r="A5" s="986" t="s">
        <v>751</v>
      </c>
      <c r="B5" s="1335">
        <v>-10645.482</v>
      </c>
      <c r="C5" s="1335">
        <v>-10741.182000000001</v>
      </c>
      <c r="D5" s="1335">
        <v>-10627.245999999999</v>
      </c>
      <c r="E5" s="1335">
        <v>-10739.311</v>
      </c>
      <c r="F5" s="1335">
        <v>-10820.286</v>
      </c>
      <c r="G5" s="1335">
        <v>-10635.174000000001</v>
      </c>
      <c r="H5" s="1335">
        <v>-10658.721</v>
      </c>
      <c r="I5" s="1335">
        <v>-10577.130999999999</v>
      </c>
      <c r="J5" s="1335">
        <v>-10704.721</v>
      </c>
      <c r="K5" s="1335">
        <v>-10691.285</v>
      </c>
      <c r="L5" s="1335">
        <v>-10840.726000000001</v>
      </c>
      <c r="M5" s="1335">
        <v>-11072.764999999999</v>
      </c>
      <c r="N5" s="1335">
        <v>-128754.03</v>
      </c>
    </row>
    <row r="6" spans="1:14" ht="15">
      <c r="A6" s="986" t="s">
        <v>752</v>
      </c>
      <c r="B6" s="1335">
        <v>-9.9659999999999993</v>
      </c>
      <c r="C6" s="1335">
        <v>-9.8000000000000007</v>
      </c>
      <c r="D6" s="1336">
        <v>0</v>
      </c>
      <c r="E6" s="1336">
        <v>0</v>
      </c>
      <c r="F6" s="1335">
        <v>-4</v>
      </c>
      <c r="G6" s="1336">
        <v>0</v>
      </c>
      <c r="H6" s="1336">
        <v>0</v>
      </c>
      <c r="I6" s="1336">
        <v>0</v>
      </c>
      <c r="J6" s="1336">
        <v>0</v>
      </c>
      <c r="K6" s="1335">
        <v>-2.7810000000000001</v>
      </c>
      <c r="L6" s="1336">
        <v>0</v>
      </c>
      <c r="M6" s="1336">
        <v>0</v>
      </c>
      <c r="N6" s="1335">
        <v>-26.547000000000001</v>
      </c>
    </row>
    <row r="7" spans="1:14" ht="15">
      <c r="A7" s="986" t="s">
        <v>753</v>
      </c>
      <c r="B7" s="1335">
        <v>-5.2430000000000003</v>
      </c>
      <c r="C7" s="1335">
        <v>-4.9189999999999996</v>
      </c>
      <c r="D7" s="1335">
        <v>-4.7190000000000003</v>
      </c>
      <c r="E7" s="1335">
        <v>-13.864000000000001</v>
      </c>
      <c r="F7" s="1335">
        <v>-19.048999999999999</v>
      </c>
      <c r="G7" s="1335">
        <v>-21.385000000000002</v>
      </c>
      <c r="H7" s="1335">
        <v>-30.53</v>
      </c>
      <c r="I7" s="1335">
        <v>-21.385000000000002</v>
      </c>
      <c r="J7" s="1335">
        <v>-21.385000000000002</v>
      </c>
      <c r="K7" s="1335">
        <v>-21.527000000000001</v>
      </c>
      <c r="L7" s="1335">
        <v>-21.388999999999999</v>
      </c>
      <c r="M7" s="1335">
        <v>-21.388999999999999</v>
      </c>
      <c r="N7" s="1335">
        <v>-206.785</v>
      </c>
    </row>
    <row r="8" spans="1:14" ht="15">
      <c r="A8" s="986" t="s">
        <v>754</v>
      </c>
      <c r="B8" s="1335">
        <v>-10660.691000000001</v>
      </c>
      <c r="C8" s="1335">
        <v>-10755.901</v>
      </c>
      <c r="D8" s="1335">
        <v>-10631.965</v>
      </c>
      <c r="E8" s="1335">
        <v>-10753.174999999999</v>
      </c>
      <c r="F8" s="1335">
        <v>-10843.334999999999</v>
      </c>
      <c r="G8" s="1335">
        <v>-10656.558999999999</v>
      </c>
      <c r="H8" s="1335">
        <v>-10689.251</v>
      </c>
      <c r="I8" s="1335">
        <v>-10598.516</v>
      </c>
      <c r="J8" s="1335">
        <v>-10726.106</v>
      </c>
      <c r="K8" s="1335">
        <v>-10715.593999999999</v>
      </c>
      <c r="L8" s="1335">
        <v>-10862.115</v>
      </c>
      <c r="M8" s="1335">
        <v>-11094.154</v>
      </c>
      <c r="N8" s="1335">
        <v>-128987.36199999999</v>
      </c>
    </row>
    <row r="9" spans="1:14" ht="15">
      <c r="A9" s="986" t="s">
        <v>755</v>
      </c>
      <c r="B9" s="1336">
        <v>0</v>
      </c>
      <c r="C9" s="1336">
        <v>0</v>
      </c>
      <c r="D9" s="1336">
        <v>0</v>
      </c>
      <c r="E9" s="1336">
        <v>0</v>
      </c>
      <c r="F9" s="1335">
        <v>-1</v>
      </c>
      <c r="G9" s="1336">
        <v>0</v>
      </c>
      <c r="H9" s="1336">
        <v>0</v>
      </c>
      <c r="I9" s="1336">
        <v>0</v>
      </c>
      <c r="J9" s="1336">
        <v>0</v>
      </c>
      <c r="K9" s="1336">
        <v>0</v>
      </c>
      <c r="L9" s="1336">
        <v>0</v>
      </c>
      <c r="M9" s="1336">
        <v>0</v>
      </c>
      <c r="N9" s="1335">
        <v>-1</v>
      </c>
    </row>
    <row r="10" spans="1:14" ht="15">
      <c r="A10" s="986" t="s">
        <v>756</v>
      </c>
      <c r="B10" s="1335">
        <v>-65.570999999999998</v>
      </c>
      <c r="C10" s="1335">
        <v>-20.003</v>
      </c>
      <c r="D10" s="1335">
        <v>-60.570999999999998</v>
      </c>
      <c r="E10" s="1335">
        <v>-94.271000000000001</v>
      </c>
      <c r="F10" s="1335">
        <v>-21.620999999999999</v>
      </c>
      <c r="G10" s="1335">
        <v>-129.62100000000001</v>
      </c>
      <c r="H10" s="1335">
        <v>-31.920999999999999</v>
      </c>
      <c r="I10" s="1335">
        <v>-94.271000000000001</v>
      </c>
      <c r="J10" s="1335">
        <v>-19.271000000000001</v>
      </c>
      <c r="K10" s="1335">
        <v>-11.771000000000001</v>
      </c>
      <c r="L10" s="1335">
        <v>-81.971000000000004</v>
      </c>
      <c r="M10" s="1335">
        <v>-22.971</v>
      </c>
      <c r="N10" s="1335">
        <v>-653.83699999999999</v>
      </c>
    </row>
    <row r="11" spans="1:14" ht="15">
      <c r="A11" s="986" t="s">
        <v>757</v>
      </c>
      <c r="B11" s="1335">
        <v>-65.570999999999998</v>
      </c>
      <c r="C11" s="1335">
        <v>-20.003</v>
      </c>
      <c r="D11" s="1335">
        <v>-60.570999999999998</v>
      </c>
      <c r="E11" s="1335">
        <v>-94.271000000000001</v>
      </c>
      <c r="F11" s="1335">
        <v>-22.620999999999999</v>
      </c>
      <c r="G11" s="1335">
        <v>-129.62100000000001</v>
      </c>
      <c r="H11" s="1335">
        <v>-31.920999999999999</v>
      </c>
      <c r="I11" s="1335">
        <v>-94.271000000000001</v>
      </c>
      <c r="J11" s="1335">
        <v>-19.271000000000001</v>
      </c>
      <c r="K11" s="1335">
        <v>-11.771000000000001</v>
      </c>
      <c r="L11" s="1335">
        <v>-81.971000000000004</v>
      </c>
      <c r="M11" s="1335">
        <v>-22.971</v>
      </c>
      <c r="N11" s="1335">
        <v>-654.83699999999999</v>
      </c>
    </row>
    <row r="12" spans="1:14" ht="15">
      <c r="A12" s="986" t="s">
        <v>716</v>
      </c>
      <c r="B12" s="1335">
        <v>-10726.262000000001</v>
      </c>
      <c r="C12" s="1335">
        <v>-10775.904</v>
      </c>
      <c r="D12" s="1335">
        <v>-10692.536</v>
      </c>
      <c r="E12" s="1335">
        <v>-10847.446</v>
      </c>
      <c r="F12" s="1335">
        <v>-10865.956</v>
      </c>
      <c r="G12" s="1335">
        <v>-10786.181</v>
      </c>
      <c r="H12" s="1335">
        <v>-10721.172</v>
      </c>
      <c r="I12" s="1335">
        <v>-10692.787</v>
      </c>
      <c r="J12" s="1335">
        <v>-10745.377</v>
      </c>
      <c r="K12" s="1335">
        <v>-10727.365</v>
      </c>
      <c r="L12" s="1335">
        <v>-10944.085999999999</v>
      </c>
      <c r="M12" s="1335">
        <v>-11117.125</v>
      </c>
      <c r="N12" s="1335">
        <v>-129642.19899999999</v>
      </c>
    </row>
    <row r="13" spans="1:14" ht="15">
      <c r="A13" s="986" t="s">
        <v>758</v>
      </c>
      <c r="B13" s="1336">
        <v>164.577</v>
      </c>
      <c r="C13" s="1336">
        <v>164.577</v>
      </c>
      <c r="D13" s="1336">
        <v>171.17400000000001</v>
      </c>
      <c r="E13" s="1336">
        <v>166.57599999999999</v>
      </c>
      <c r="F13" s="1336">
        <v>165.976</v>
      </c>
      <c r="G13" s="1336">
        <v>166.77600000000001</v>
      </c>
      <c r="H13" s="1336">
        <v>166.57599999999999</v>
      </c>
      <c r="I13" s="1336">
        <v>166.27600000000001</v>
      </c>
      <c r="J13" s="1336">
        <v>165.976</v>
      </c>
      <c r="K13" s="1336">
        <v>166.89</v>
      </c>
      <c r="L13" s="1336">
        <v>166.24</v>
      </c>
      <c r="M13" s="1336">
        <v>166.84</v>
      </c>
      <c r="N13" s="1336">
        <v>1998.4580000000001</v>
      </c>
    </row>
    <row r="14" spans="1:14" ht="15">
      <c r="A14" s="986" t="s">
        <v>759</v>
      </c>
      <c r="B14" s="1336">
        <v>281.66199999999998</v>
      </c>
      <c r="C14" s="1336">
        <v>281.66199999999998</v>
      </c>
      <c r="D14" s="1336">
        <v>282.59800000000001</v>
      </c>
      <c r="E14" s="1336">
        <v>281.66199999999998</v>
      </c>
      <c r="F14" s="1336">
        <v>281.66199999999998</v>
      </c>
      <c r="G14" s="1336">
        <v>281.66199999999998</v>
      </c>
      <c r="H14" s="1336">
        <v>281.66199999999998</v>
      </c>
      <c r="I14" s="1336">
        <v>282.65899999999999</v>
      </c>
      <c r="J14" s="1336">
        <v>282.59399999999999</v>
      </c>
      <c r="K14" s="1336">
        <v>281.66199999999998</v>
      </c>
      <c r="L14" s="1336">
        <v>281.66199999999998</v>
      </c>
      <c r="M14" s="1336">
        <v>281.66199999999998</v>
      </c>
      <c r="N14" s="1336">
        <v>3382.8110000000001</v>
      </c>
    </row>
    <row r="15" spans="1:14" ht="15">
      <c r="A15" s="986" t="s">
        <v>760</v>
      </c>
      <c r="B15" s="1336">
        <v>20.884</v>
      </c>
      <c r="C15" s="1336">
        <v>20.884</v>
      </c>
      <c r="D15" s="1336">
        <v>32.384</v>
      </c>
      <c r="E15" s="1336">
        <v>24.718</v>
      </c>
      <c r="F15" s="1336">
        <v>26.957000000000001</v>
      </c>
      <c r="G15" s="1336">
        <v>26.957000000000001</v>
      </c>
      <c r="H15" s="1336">
        <v>26.957000000000001</v>
      </c>
      <c r="I15" s="1336">
        <v>26.957000000000001</v>
      </c>
      <c r="J15" s="1336">
        <v>26.957000000000001</v>
      </c>
      <c r="K15" s="1336">
        <v>26.957000000000001</v>
      </c>
      <c r="L15" s="1336">
        <v>26.957000000000001</v>
      </c>
      <c r="M15" s="1336">
        <v>26.957000000000001</v>
      </c>
      <c r="N15" s="1336">
        <v>314.52699999999999</v>
      </c>
    </row>
    <row r="16" spans="1:14" ht="15">
      <c r="A16" s="986" t="s">
        <v>761</v>
      </c>
      <c r="B16" s="1336">
        <v>271.81900000000002</v>
      </c>
      <c r="C16" s="1336">
        <v>275.42599999999999</v>
      </c>
      <c r="D16" s="1336">
        <v>267.505</v>
      </c>
      <c r="E16" s="1336">
        <v>273.32299999999998</v>
      </c>
      <c r="F16" s="1336">
        <v>271.33300000000003</v>
      </c>
      <c r="G16" s="1336">
        <v>272.66300000000001</v>
      </c>
      <c r="H16" s="1336">
        <v>266.06299999999999</v>
      </c>
      <c r="I16" s="1336">
        <v>266.06299999999999</v>
      </c>
      <c r="J16" s="1336">
        <v>256.81299999999999</v>
      </c>
      <c r="K16" s="1336">
        <v>257.988</v>
      </c>
      <c r="L16" s="1336">
        <v>265.81299999999999</v>
      </c>
      <c r="M16" s="1336">
        <v>265.99900000000002</v>
      </c>
      <c r="N16" s="1336">
        <v>3210.81</v>
      </c>
    </row>
    <row r="17" spans="1:14" ht="15">
      <c r="A17" s="986" t="s">
        <v>762</v>
      </c>
      <c r="B17" s="1336">
        <v>175.822</v>
      </c>
      <c r="C17" s="1336">
        <v>175.822</v>
      </c>
      <c r="D17" s="1336">
        <v>179.084</v>
      </c>
      <c r="E17" s="1336">
        <v>176.90899999999999</v>
      </c>
      <c r="F17" s="1336">
        <v>176.90899999999999</v>
      </c>
      <c r="G17" s="1336">
        <v>176.90899999999999</v>
      </c>
      <c r="H17" s="1336">
        <v>176.90899999999999</v>
      </c>
      <c r="I17" s="1336">
        <v>176.90899999999999</v>
      </c>
      <c r="J17" s="1336">
        <v>176.90899999999999</v>
      </c>
      <c r="K17" s="1336">
        <v>176.90899999999999</v>
      </c>
      <c r="L17" s="1336">
        <v>176.90899999999999</v>
      </c>
      <c r="M17" s="1336">
        <v>176.917</v>
      </c>
      <c r="N17" s="1336">
        <v>2122.9209999999998</v>
      </c>
    </row>
    <row r="18" spans="1:14" ht="15">
      <c r="A18" s="986" t="s">
        <v>763</v>
      </c>
      <c r="B18" s="1336">
        <v>914.76499999999999</v>
      </c>
      <c r="C18" s="1336">
        <v>918.37199999999996</v>
      </c>
      <c r="D18" s="1336">
        <v>932.74699999999996</v>
      </c>
      <c r="E18" s="1336">
        <v>923.18899999999996</v>
      </c>
      <c r="F18" s="1336">
        <v>922.83799999999997</v>
      </c>
      <c r="G18" s="1336">
        <v>924.96799999999996</v>
      </c>
      <c r="H18" s="1336">
        <v>918.16800000000001</v>
      </c>
      <c r="I18" s="1336">
        <v>918.86599999999999</v>
      </c>
      <c r="J18" s="1336">
        <v>909.25</v>
      </c>
      <c r="K18" s="1336">
        <v>910.40700000000004</v>
      </c>
      <c r="L18" s="1336">
        <v>917.58199999999999</v>
      </c>
      <c r="M18" s="1336">
        <v>918.37599999999998</v>
      </c>
      <c r="N18" s="1336">
        <v>11029.528</v>
      </c>
    </row>
    <row r="19" spans="1:14" ht="15">
      <c r="A19" s="986" t="s">
        <v>764</v>
      </c>
      <c r="B19" s="1336">
        <v>8040.509</v>
      </c>
      <c r="C19" s="1336">
        <v>8150.9639999999999</v>
      </c>
      <c r="D19" s="1336">
        <v>8057.6549999999997</v>
      </c>
      <c r="E19" s="1336">
        <v>8127.6469999999999</v>
      </c>
      <c r="F19" s="1336">
        <v>8151.4949999999999</v>
      </c>
      <c r="G19" s="1336">
        <v>8018.4319999999998</v>
      </c>
      <c r="H19" s="1336">
        <v>8017.6319999999996</v>
      </c>
      <c r="I19" s="1336">
        <v>8024.8320000000003</v>
      </c>
      <c r="J19" s="1336">
        <v>7966.4920000000002</v>
      </c>
      <c r="K19" s="1336">
        <v>7966.7479999999996</v>
      </c>
      <c r="L19" s="1336">
        <v>7977.48</v>
      </c>
      <c r="M19" s="1336">
        <v>8144.5720000000001</v>
      </c>
      <c r="N19" s="1336">
        <v>96644.460999999996</v>
      </c>
    </row>
    <row r="20" spans="1:14" ht="15">
      <c r="A20" s="986" t="s">
        <v>765</v>
      </c>
      <c r="B20" s="1336">
        <v>2.86</v>
      </c>
      <c r="C20" s="1336">
        <v>2.86</v>
      </c>
      <c r="D20" s="1336">
        <v>2.86</v>
      </c>
      <c r="E20" s="1336">
        <v>2.86</v>
      </c>
      <c r="F20" s="1336">
        <v>2.86</v>
      </c>
      <c r="G20" s="1336">
        <v>2.86</v>
      </c>
      <c r="H20" s="1336">
        <v>2.86</v>
      </c>
      <c r="I20" s="1336">
        <v>2.86</v>
      </c>
      <c r="J20" s="1336">
        <v>2.86</v>
      </c>
      <c r="K20" s="1336">
        <v>2.86</v>
      </c>
      <c r="L20" s="1336">
        <v>2.86</v>
      </c>
      <c r="M20" s="1336">
        <v>2.86</v>
      </c>
      <c r="N20" s="1336">
        <v>34.32</v>
      </c>
    </row>
    <row r="21" spans="1:14" ht="15">
      <c r="A21" s="986" t="s">
        <v>766</v>
      </c>
      <c r="B21" s="1336">
        <v>143.11699999999999</v>
      </c>
      <c r="C21" s="1336">
        <v>106.666</v>
      </c>
      <c r="D21" s="1336">
        <v>76.620999999999995</v>
      </c>
      <c r="E21" s="1336">
        <v>92.724000000000004</v>
      </c>
      <c r="F21" s="1336">
        <v>162.66800000000001</v>
      </c>
      <c r="G21" s="1336">
        <v>138.64699999999999</v>
      </c>
      <c r="H21" s="1336">
        <v>142.02799999999999</v>
      </c>
      <c r="I21" s="1336">
        <v>98.248999999999995</v>
      </c>
      <c r="J21" s="1336">
        <v>135.47999999999999</v>
      </c>
      <c r="K21" s="1336">
        <v>129.637</v>
      </c>
      <c r="L21" s="1336">
        <v>291.56299999999999</v>
      </c>
      <c r="M21" s="1336">
        <v>188.31299999999999</v>
      </c>
      <c r="N21" s="1336">
        <v>1705.7149999999999</v>
      </c>
    </row>
    <row r="22" spans="1:14" ht="15">
      <c r="A22" s="986" t="s">
        <v>767</v>
      </c>
      <c r="B22" s="1336">
        <v>0.245</v>
      </c>
      <c r="C22" s="1336">
        <v>0.245</v>
      </c>
      <c r="D22" s="1336">
        <v>0.245</v>
      </c>
      <c r="E22" s="1336">
        <v>0.245</v>
      </c>
      <c r="F22" s="1336">
        <v>0.245</v>
      </c>
      <c r="G22" s="1336">
        <v>0.245</v>
      </c>
      <c r="H22" s="1336">
        <v>0.245</v>
      </c>
      <c r="I22" s="1336">
        <v>0.245</v>
      </c>
      <c r="J22" s="1336">
        <v>0.245</v>
      </c>
      <c r="K22" s="1336">
        <v>0.245</v>
      </c>
      <c r="L22" s="1336">
        <v>0.245</v>
      </c>
      <c r="M22" s="1336">
        <v>0.245</v>
      </c>
      <c r="N22" s="1336">
        <v>2.94</v>
      </c>
    </row>
    <row r="23" spans="1:14" ht="15">
      <c r="A23" s="986" t="s">
        <v>548</v>
      </c>
      <c r="B23" s="1336">
        <v>84.986000000000004</v>
      </c>
      <c r="C23" s="1336">
        <v>84.986000000000004</v>
      </c>
      <c r="D23" s="1336">
        <v>94.710999999999999</v>
      </c>
      <c r="E23" s="1336">
        <v>85.076999999999998</v>
      </c>
      <c r="F23" s="1336">
        <v>85.576999999999998</v>
      </c>
      <c r="G23" s="1336">
        <v>86.225999999999999</v>
      </c>
      <c r="H23" s="1336">
        <v>94.010999999999996</v>
      </c>
      <c r="I23" s="1336">
        <v>85.944999999999993</v>
      </c>
      <c r="J23" s="1336">
        <v>93.492999999999995</v>
      </c>
      <c r="K23" s="1336">
        <v>120.57</v>
      </c>
      <c r="L23" s="1336">
        <v>112.482</v>
      </c>
      <c r="M23" s="1336">
        <v>86.774000000000001</v>
      </c>
      <c r="N23" s="1336">
        <v>1114.8409999999999</v>
      </c>
    </row>
    <row r="24" spans="1:14" ht="15">
      <c r="A24" s="986" t="s">
        <v>768</v>
      </c>
      <c r="B24" s="1336">
        <v>643.471</v>
      </c>
      <c r="C24" s="1336">
        <v>614.50400000000002</v>
      </c>
      <c r="D24" s="1336">
        <v>635.51300000000003</v>
      </c>
      <c r="E24" s="1336">
        <v>722.76900000000001</v>
      </c>
      <c r="F24" s="1336">
        <v>626.80200000000002</v>
      </c>
      <c r="G24" s="1336">
        <v>726.86900000000003</v>
      </c>
      <c r="H24" s="1336">
        <v>652.29300000000001</v>
      </c>
      <c r="I24" s="1336">
        <v>673.85699999999997</v>
      </c>
      <c r="J24" s="1336">
        <v>749.62400000000002</v>
      </c>
      <c r="K24" s="1336">
        <v>704.98400000000004</v>
      </c>
      <c r="L24" s="1336">
        <v>749.72900000000004</v>
      </c>
      <c r="M24" s="1336">
        <v>873.18299999999999</v>
      </c>
      <c r="N24" s="1336">
        <v>8373.5959999999995</v>
      </c>
    </row>
    <row r="25" spans="1:14" ht="15">
      <c r="A25" s="986" t="s">
        <v>769</v>
      </c>
      <c r="B25" s="1336">
        <v>896.30899999999997</v>
      </c>
      <c r="C25" s="1336">
        <v>897.30799999999999</v>
      </c>
      <c r="D25" s="1336">
        <v>892.18299999999999</v>
      </c>
      <c r="E25" s="1336">
        <v>892.93399999999997</v>
      </c>
      <c r="F25" s="1336">
        <v>913.471</v>
      </c>
      <c r="G25" s="1336">
        <v>887.93299999999999</v>
      </c>
      <c r="H25" s="1336">
        <v>893.93399999999997</v>
      </c>
      <c r="I25" s="1336">
        <v>887.93299999999999</v>
      </c>
      <c r="J25" s="1336">
        <v>887.93299999999999</v>
      </c>
      <c r="K25" s="1336">
        <v>891.91300000000001</v>
      </c>
      <c r="L25" s="1336">
        <v>892.14400000000001</v>
      </c>
      <c r="M25" s="1336">
        <v>902.80200000000002</v>
      </c>
      <c r="N25" s="1336">
        <v>10736.796</v>
      </c>
    </row>
    <row r="26" spans="1:14" ht="15">
      <c r="A26" s="986" t="s">
        <v>770</v>
      </c>
      <c r="B26" s="1336">
        <v>9811.4969999999994</v>
      </c>
      <c r="C26" s="1336">
        <v>9857.5329999999994</v>
      </c>
      <c r="D26" s="1336">
        <v>9759.7890000000007</v>
      </c>
      <c r="E26" s="1336">
        <v>9924.2569999999996</v>
      </c>
      <c r="F26" s="1336">
        <v>9943.1180000000004</v>
      </c>
      <c r="G26" s="1336">
        <v>9861.2119999999995</v>
      </c>
      <c r="H26" s="1336">
        <v>9803.0040000000008</v>
      </c>
      <c r="I26" s="1336">
        <v>9773.9220000000005</v>
      </c>
      <c r="J26" s="1336">
        <v>9836.1270000000004</v>
      </c>
      <c r="K26" s="1336">
        <v>9816.9580000000005</v>
      </c>
      <c r="L26" s="1336">
        <v>10026.504000000001</v>
      </c>
      <c r="M26" s="1336">
        <v>10198.749</v>
      </c>
      <c r="N26" s="1336">
        <v>118612.67</v>
      </c>
    </row>
    <row r="27" spans="1:14" ht="15">
      <c r="A27" s="986" t="s">
        <v>717</v>
      </c>
      <c r="B27" s="1336">
        <v>10726.262000000001</v>
      </c>
      <c r="C27" s="1336">
        <v>10775.904</v>
      </c>
      <c r="D27" s="1336">
        <v>10692.535</v>
      </c>
      <c r="E27" s="1336">
        <v>10847.446</v>
      </c>
      <c r="F27" s="1336">
        <v>10865.956</v>
      </c>
      <c r="G27" s="1336">
        <v>10786.181</v>
      </c>
      <c r="H27" s="1336">
        <v>10721.172</v>
      </c>
      <c r="I27" s="1336">
        <v>10692.787</v>
      </c>
      <c r="J27" s="1336">
        <v>10745.377</v>
      </c>
      <c r="K27" s="1336">
        <v>10727.365</v>
      </c>
      <c r="L27" s="1336">
        <v>10944.085999999999</v>
      </c>
      <c r="M27" s="1336">
        <v>11117.125</v>
      </c>
      <c r="N27" s="1336">
        <v>129642.197</v>
      </c>
    </row>
    <row r="28" spans="1:14" ht="15">
      <c r="A28" s="986" t="s">
        <v>865</v>
      </c>
      <c r="B28" s="1335">
        <v>0</v>
      </c>
      <c r="C28" s="1335">
        <v>0</v>
      </c>
      <c r="D28" s="1335">
        <v>-1E-3</v>
      </c>
      <c r="E28" s="1335">
        <v>0</v>
      </c>
      <c r="F28" s="1335">
        <v>0</v>
      </c>
      <c r="G28" s="1335">
        <v>0</v>
      </c>
      <c r="H28" s="1335">
        <v>0</v>
      </c>
      <c r="I28" s="1335">
        <v>0</v>
      </c>
      <c r="J28" s="1335">
        <v>0</v>
      </c>
      <c r="K28" s="1335">
        <v>0</v>
      </c>
      <c r="L28" s="1335">
        <v>0</v>
      </c>
      <c r="M28" s="1336">
        <v>0</v>
      </c>
      <c r="N28" s="1335">
        <v>-1E-3</v>
      </c>
    </row>
    <row r="29" spans="1:14" ht="15">
      <c r="A29" s="986" t="s">
        <v>631</v>
      </c>
      <c r="B29" s="1335">
        <v>0</v>
      </c>
      <c r="C29" s="1335">
        <v>0</v>
      </c>
      <c r="D29" s="1335">
        <v>-1E-3</v>
      </c>
      <c r="E29" s="1335">
        <v>0</v>
      </c>
      <c r="F29" s="1335">
        <v>0</v>
      </c>
      <c r="G29" s="1335">
        <v>0</v>
      </c>
      <c r="H29" s="1335">
        <v>0</v>
      </c>
      <c r="I29" s="1335">
        <v>0</v>
      </c>
      <c r="J29" s="1335">
        <v>0</v>
      </c>
      <c r="K29" s="1335">
        <v>0</v>
      </c>
      <c r="L29" s="1335">
        <v>0</v>
      </c>
      <c r="M29" s="1336">
        <v>0</v>
      </c>
      <c r="N29" s="1335">
        <v>-1E-3</v>
      </c>
    </row>
  </sheetData>
  <phoneticPr fontId="1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
  <sheetViews>
    <sheetView workbookViewId="0">
      <selection activeCell="V49" sqref="V49"/>
    </sheetView>
  </sheetViews>
  <sheetFormatPr defaultRowHeight="13.2"/>
  <sheetData/>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E91"/>
  <sheetViews>
    <sheetView topLeftCell="A13" workbookViewId="0">
      <selection activeCell="I21" sqref="I21"/>
    </sheetView>
  </sheetViews>
  <sheetFormatPr defaultColWidth="9.109375" defaultRowHeight="13.2"/>
  <cols>
    <col min="1" max="1" width="3.44140625" style="1015" customWidth="1"/>
    <col min="2" max="2" width="22.44140625" style="1015" customWidth="1"/>
    <col min="3" max="3" width="16" style="1015" customWidth="1"/>
    <col min="4" max="4" width="35.88671875" style="1015" customWidth="1"/>
    <col min="5" max="5" width="10.109375" style="1015" customWidth="1"/>
    <col min="6" max="6" width="15.88671875" style="1015" customWidth="1"/>
    <col min="7" max="12" width="13.33203125" style="1015" customWidth="1"/>
    <col min="13" max="17" width="9.109375" style="1015"/>
    <col min="18" max="18" width="10.33203125" style="1015" customWidth="1"/>
    <col min="19" max="19" width="5.109375" style="1015" customWidth="1"/>
    <col min="20" max="20" width="10.33203125" style="1015" customWidth="1"/>
    <col min="21" max="21" width="7" style="1015" customWidth="1"/>
    <col min="22" max="78" width="2.44140625" style="1015" hidden="1" customWidth="1"/>
    <col min="79" max="16384" width="9.109375" style="1015"/>
  </cols>
  <sheetData>
    <row r="1" spans="1:81" ht="15.6">
      <c r="A1" s="1056" t="s">
        <v>225</v>
      </c>
      <c r="B1" s="1057" t="s">
        <v>225</v>
      </c>
      <c r="C1" s="1058"/>
      <c r="D1" s="1058"/>
      <c r="E1" s="1059"/>
    </row>
    <row r="2" spans="1:81">
      <c r="A2" s="1056" t="s">
        <v>226</v>
      </c>
      <c r="B2" s="1060" t="s">
        <v>227</v>
      </c>
      <c r="C2" s="1061"/>
      <c r="D2" s="1061"/>
      <c r="E2" s="1062"/>
    </row>
    <row r="3" spans="1:81">
      <c r="A3" s="1056" t="s">
        <v>228</v>
      </c>
      <c r="B3" s="1063" t="s">
        <v>229</v>
      </c>
      <c r="C3" s="1064"/>
      <c r="D3" s="1064"/>
      <c r="E3" s="1065"/>
    </row>
    <row r="5" spans="1:81">
      <c r="B5" s="1066" t="s">
        <v>230</v>
      </c>
      <c r="CC5" s="1015" t="s">
        <v>231</v>
      </c>
    </row>
    <row r="7" spans="1:81" ht="13.8" thickBot="1"/>
    <row r="8" spans="1:81" ht="27" thickTop="1">
      <c r="B8" s="1067" t="s">
        <v>232</v>
      </c>
      <c r="C8" s="1068" t="s">
        <v>233</v>
      </c>
      <c r="D8" s="1069"/>
      <c r="E8" s="1070" t="s">
        <v>234</v>
      </c>
      <c r="F8" s="1071" t="s">
        <v>235</v>
      </c>
      <c r="G8" s="1072"/>
      <c r="H8" s="1073" t="s">
        <v>236</v>
      </c>
      <c r="I8" s="1073"/>
      <c r="J8" s="1072"/>
      <c r="K8" s="1074" t="s">
        <v>237</v>
      </c>
      <c r="L8" s="1075"/>
    </row>
    <row r="9" spans="1:81">
      <c r="B9" s="1076"/>
      <c r="C9" s="1077"/>
      <c r="D9" s="1066"/>
      <c r="E9" s="1078"/>
      <c r="F9" s="1078"/>
      <c r="G9" s="1079" t="s">
        <v>721</v>
      </c>
      <c r="H9" s="1080" t="s">
        <v>722</v>
      </c>
      <c r="I9" s="1080" t="s">
        <v>723</v>
      </c>
      <c r="J9" s="1079" t="s">
        <v>721</v>
      </c>
      <c r="K9" s="1080" t="s">
        <v>834</v>
      </c>
      <c r="L9" s="1081" t="s">
        <v>723</v>
      </c>
      <c r="N9" s="1015" t="s">
        <v>238</v>
      </c>
    </row>
    <row r="10" spans="1:81">
      <c r="B10" s="1076"/>
      <c r="C10" s="1077"/>
      <c r="D10" s="1066"/>
      <c r="E10" s="1078" t="s">
        <v>239</v>
      </c>
      <c r="F10" s="1082" t="s">
        <v>240</v>
      </c>
      <c r="G10" s="1083" t="s">
        <v>241</v>
      </c>
      <c r="H10" s="1082" t="s">
        <v>242</v>
      </c>
      <c r="I10" s="1082" t="s">
        <v>243</v>
      </c>
      <c r="J10" s="1083" t="s">
        <v>244</v>
      </c>
      <c r="K10" s="1082" t="s">
        <v>245</v>
      </c>
      <c r="L10" s="1084" t="s">
        <v>246</v>
      </c>
    </row>
    <row r="11" spans="1:81" ht="13.8" thickBot="1">
      <c r="B11" s="1085"/>
      <c r="C11" s="1086"/>
      <c r="D11" s="1087"/>
      <c r="E11" s="1088"/>
      <c r="F11" s="1088" t="s">
        <v>247</v>
      </c>
      <c r="G11" s="1089" t="s">
        <v>247</v>
      </c>
      <c r="H11" s="1088" t="s">
        <v>247</v>
      </c>
      <c r="I11" s="1088" t="s">
        <v>247</v>
      </c>
      <c r="J11" s="1089" t="s">
        <v>247</v>
      </c>
      <c r="K11" s="1088" t="s">
        <v>247</v>
      </c>
      <c r="L11" s="1090" t="s">
        <v>247</v>
      </c>
    </row>
    <row r="12" spans="1:81">
      <c r="B12" s="1091"/>
      <c r="C12" s="1092" t="s">
        <v>248</v>
      </c>
      <c r="D12" s="1093"/>
      <c r="E12" s="1094">
        <v>100</v>
      </c>
      <c r="F12" s="1095">
        <v>31911</v>
      </c>
      <c r="G12" s="1096">
        <v>6336</v>
      </c>
      <c r="H12" s="1095">
        <v>6314.3679999999877</v>
      </c>
      <c r="I12" s="1097">
        <v>-21.63200000001234</v>
      </c>
      <c r="J12" s="1096">
        <v>36248</v>
      </c>
      <c r="K12" s="1095">
        <v>35717.573999999993</v>
      </c>
      <c r="L12" s="1098">
        <v>-530.42600000000675</v>
      </c>
      <c r="N12" s="1099" t="s">
        <v>842</v>
      </c>
      <c r="O12" s="1100"/>
      <c r="P12" s="1100"/>
      <c r="Q12" s="1101">
        <v>25</v>
      </c>
      <c r="R12" s="1102" t="s">
        <v>444</v>
      </c>
    </row>
    <row r="13" spans="1:81">
      <c r="B13" s="1076" t="s">
        <v>249</v>
      </c>
      <c r="C13" s="1103" t="s">
        <v>250</v>
      </c>
      <c r="D13" s="1104"/>
      <c r="E13" s="1105">
        <v>110</v>
      </c>
      <c r="F13" s="1106">
        <v>605349</v>
      </c>
      <c r="G13" s="1107">
        <v>149788</v>
      </c>
      <c r="H13" s="1106">
        <v>149585.58799999999</v>
      </c>
      <c r="I13" s="1108">
        <v>-202.41200000001118</v>
      </c>
      <c r="J13" s="1107">
        <v>598611</v>
      </c>
      <c r="K13" s="1106">
        <v>603602.03599999996</v>
      </c>
      <c r="L13" s="1109">
        <v>4991.0359999999637</v>
      </c>
      <c r="N13" s="1110"/>
      <c r="O13" s="1111"/>
      <c r="P13" s="1111"/>
      <c r="Q13" s="1111"/>
      <c r="R13" s="1112"/>
    </row>
    <row r="14" spans="1:81">
      <c r="B14" s="1076" t="s">
        <v>251</v>
      </c>
      <c r="C14" s="1103" t="s">
        <v>252</v>
      </c>
      <c r="D14" s="1113"/>
      <c r="E14" s="1105">
        <v>120</v>
      </c>
      <c r="F14" s="1114">
        <v>5.2715045370521798</v>
      </c>
      <c r="G14" s="1115">
        <v>4.2299783694287925</v>
      </c>
      <c r="H14" s="1114">
        <v>4.2212408858532466</v>
      </c>
      <c r="I14" s="1108">
        <v>-8.7374835755458236E-3</v>
      </c>
      <c r="J14" s="1116">
        <v>6.0553514719909929</v>
      </c>
      <c r="K14" s="1114">
        <v>5.9174044933142005</v>
      </c>
      <c r="L14" s="1117">
        <v>-0.1379469786767924</v>
      </c>
      <c r="N14" s="1118">
        <v>5</v>
      </c>
      <c r="O14" s="1119">
        <v>4</v>
      </c>
      <c r="P14" s="1119">
        <v>3</v>
      </c>
      <c r="Q14" s="1119">
        <v>2</v>
      </c>
      <c r="R14" s="1120">
        <v>1</v>
      </c>
    </row>
    <row r="15" spans="1:81" ht="13.8" thickBot="1">
      <c r="B15" s="1085"/>
      <c r="C15" s="1121" t="s">
        <v>253</v>
      </c>
      <c r="D15" s="1122"/>
      <c r="E15" s="1123">
        <v>130</v>
      </c>
      <c r="F15" s="1124">
        <v>3</v>
      </c>
      <c r="G15" s="1125">
        <v>2</v>
      </c>
      <c r="H15" s="1124">
        <v>2</v>
      </c>
      <c r="I15" s="1124">
        <v>0</v>
      </c>
      <c r="J15" s="1125">
        <v>3</v>
      </c>
      <c r="K15" s="1124">
        <v>3</v>
      </c>
      <c r="L15" s="1126">
        <v>0</v>
      </c>
      <c r="N15" s="1127">
        <v>0.11</v>
      </c>
      <c r="O15" s="1128">
        <v>0.09</v>
      </c>
      <c r="P15" s="1128">
        <v>0.05</v>
      </c>
      <c r="Q15" s="1128">
        <v>0.01</v>
      </c>
      <c r="R15" s="1129" t="s">
        <v>254</v>
      </c>
    </row>
    <row r="16" spans="1:81">
      <c r="B16" s="1091"/>
      <c r="C16" s="1092" t="s">
        <v>255</v>
      </c>
      <c r="D16" s="1093"/>
      <c r="E16" s="1094">
        <v>140</v>
      </c>
      <c r="F16" s="1097">
        <v>31911</v>
      </c>
      <c r="G16" s="1130"/>
      <c r="H16" s="1097">
        <v>6314.3679999999877</v>
      </c>
      <c r="I16" s="1131"/>
      <c r="J16" s="1130"/>
      <c r="K16" s="1132"/>
      <c r="L16" s="1133"/>
      <c r="N16" s="1110" t="s">
        <v>845</v>
      </c>
      <c r="O16" s="1111"/>
      <c r="P16" s="1111"/>
      <c r="Q16" s="1119">
        <v>10</v>
      </c>
      <c r="R16" s="1112" t="s">
        <v>444</v>
      </c>
    </row>
    <row r="17" spans="2:83">
      <c r="B17" s="1076" t="s">
        <v>845</v>
      </c>
      <c r="C17" s="1103" t="s">
        <v>256</v>
      </c>
      <c r="D17" s="1113"/>
      <c r="E17" s="1105">
        <v>150</v>
      </c>
      <c r="F17" s="1106">
        <v>33321</v>
      </c>
      <c r="G17" s="1134"/>
      <c r="H17" s="1108">
        <v>6336</v>
      </c>
      <c r="I17" s="1135"/>
      <c r="J17" s="1134"/>
      <c r="K17" s="1136"/>
      <c r="L17" s="1137"/>
      <c r="N17" s="1110"/>
      <c r="O17" s="1111"/>
      <c r="P17" s="1111"/>
      <c r="Q17" s="1111"/>
      <c r="R17" s="1112"/>
    </row>
    <row r="18" spans="2:83">
      <c r="B18" s="1076"/>
      <c r="C18" s="1103" t="s">
        <v>257</v>
      </c>
      <c r="D18" s="1113"/>
      <c r="E18" s="1105">
        <v>160</v>
      </c>
      <c r="F18" s="1114">
        <v>95.76843432069866</v>
      </c>
      <c r="G18" s="1115">
        <v>95.76843432069866</v>
      </c>
      <c r="H18" s="1114">
        <v>99.658585858585667</v>
      </c>
      <c r="I18" s="1108">
        <v>3.8901515378870073</v>
      </c>
      <c r="J18" s="1115">
        <v>95.76843432069866</v>
      </c>
      <c r="K18" s="1114">
        <v>99.658585858585667</v>
      </c>
      <c r="L18" s="1117">
        <v>3.8901515378870073</v>
      </c>
      <c r="N18" s="1118">
        <v>5</v>
      </c>
      <c r="O18" s="1119">
        <v>4</v>
      </c>
      <c r="P18" s="1119">
        <v>3</v>
      </c>
      <c r="Q18" s="1119">
        <v>2</v>
      </c>
      <c r="R18" s="1120">
        <v>1</v>
      </c>
    </row>
    <row r="19" spans="2:83" ht="13.8" thickBot="1">
      <c r="B19" s="1085"/>
      <c r="C19" s="1121" t="s">
        <v>258</v>
      </c>
      <c r="D19" s="1122"/>
      <c r="E19" s="1123">
        <v>170</v>
      </c>
      <c r="F19" s="1124">
        <v>4</v>
      </c>
      <c r="G19" s="1125">
        <v>4</v>
      </c>
      <c r="H19" s="1124">
        <v>4</v>
      </c>
      <c r="I19" s="1124">
        <v>0</v>
      </c>
      <c r="J19" s="1125">
        <v>4</v>
      </c>
      <c r="K19" s="1124">
        <v>4</v>
      </c>
      <c r="L19" s="1126">
        <v>0</v>
      </c>
      <c r="N19" s="1138">
        <v>1</v>
      </c>
      <c r="O19" s="1139">
        <v>0.85</v>
      </c>
      <c r="P19" s="1139">
        <v>0.7</v>
      </c>
      <c r="Q19" s="1139">
        <v>0.5</v>
      </c>
      <c r="R19" s="1140" t="s">
        <v>259</v>
      </c>
    </row>
    <row r="20" spans="2:83">
      <c r="B20" s="1091"/>
      <c r="C20" s="1092" t="s">
        <v>260</v>
      </c>
      <c r="D20" s="1093"/>
      <c r="E20" s="1094">
        <v>180</v>
      </c>
      <c r="F20" s="1095">
        <v>2037</v>
      </c>
      <c r="G20" s="1096">
        <v>-1406</v>
      </c>
      <c r="H20" s="1095">
        <v>-1403.3860000000127</v>
      </c>
      <c r="I20" s="1097">
        <v>2.6139999999872998</v>
      </c>
      <c r="J20" s="1096">
        <v>4070</v>
      </c>
      <c r="K20" s="1095">
        <v>3615.6849999999927</v>
      </c>
      <c r="L20" s="1098">
        <v>-454.31500000000733</v>
      </c>
    </row>
    <row r="21" spans="2:83">
      <c r="B21" s="1076" t="s">
        <v>848</v>
      </c>
      <c r="C21" s="1103" t="s">
        <v>261</v>
      </c>
      <c r="D21" s="1113"/>
      <c r="E21" s="1105">
        <v>190</v>
      </c>
      <c r="F21" s="1106">
        <v>291727</v>
      </c>
      <c r="G21" s="1141">
        <v>298663</v>
      </c>
      <c r="H21" s="1108">
        <v>298663</v>
      </c>
      <c r="I21" s="1108">
        <v>0</v>
      </c>
      <c r="J21" s="1141">
        <v>298663</v>
      </c>
      <c r="K21" s="1108">
        <v>298663</v>
      </c>
      <c r="L21" s="1109">
        <v>0</v>
      </c>
      <c r="N21" s="1099"/>
      <c r="O21" s="1100"/>
      <c r="P21" s="1100"/>
      <c r="Q21" s="1100"/>
      <c r="R21" s="1102"/>
    </row>
    <row r="22" spans="2:83">
      <c r="B22" s="1076" t="s">
        <v>262</v>
      </c>
      <c r="C22" s="1103" t="s">
        <v>263</v>
      </c>
      <c r="D22" s="1104"/>
      <c r="E22" s="1105">
        <v>200</v>
      </c>
      <c r="F22" s="1106">
        <v>298663</v>
      </c>
      <c r="G22" s="1107">
        <v>300525</v>
      </c>
      <c r="H22" s="1106">
        <v>297210</v>
      </c>
      <c r="I22" s="1108">
        <v>-3315</v>
      </c>
      <c r="J22" s="1107">
        <v>318784</v>
      </c>
      <c r="K22" s="1106">
        <v>309404</v>
      </c>
      <c r="L22" s="1109">
        <v>-9380</v>
      </c>
      <c r="N22" s="1110" t="s">
        <v>264</v>
      </c>
      <c r="O22" s="1111"/>
      <c r="P22" s="1111"/>
      <c r="Q22" s="1119">
        <v>20</v>
      </c>
      <c r="R22" s="1112" t="s">
        <v>444</v>
      </c>
    </row>
    <row r="23" spans="2:83">
      <c r="B23" s="1076"/>
      <c r="C23" s="1142" t="s">
        <v>265</v>
      </c>
      <c r="D23" s="1113"/>
      <c r="E23" s="1105">
        <v>210</v>
      </c>
      <c r="F23" s="1143">
        <v>0.69005233828486257</v>
      </c>
      <c r="G23" s="1144">
        <v>-1.8772071536813155</v>
      </c>
      <c r="H23" s="1143">
        <v>-1.8841410837544412</v>
      </c>
      <c r="I23" s="1145">
        <v>-6.9339300731257048E-3</v>
      </c>
      <c r="J23" s="1144">
        <v>1.3183317758447284</v>
      </c>
      <c r="K23" s="1143">
        <v>1.189239014779619</v>
      </c>
      <c r="L23" s="1146">
        <v>-0.12909276106510936</v>
      </c>
      <c r="N23" s="1118">
        <v>5</v>
      </c>
      <c r="O23" s="1119">
        <v>4</v>
      </c>
      <c r="P23" s="1119">
        <v>3</v>
      </c>
      <c r="Q23" s="1119">
        <v>2</v>
      </c>
      <c r="R23" s="1120">
        <v>1</v>
      </c>
    </row>
    <row r="24" spans="2:83" ht="13.8" thickBot="1">
      <c r="B24" s="1085"/>
      <c r="C24" s="1121" t="s">
        <v>266</v>
      </c>
      <c r="D24" s="1147"/>
      <c r="E24" s="1123">
        <v>220</v>
      </c>
      <c r="F24" s="1124">
        <v>3</v>
      </c>
      <c r="G24" s="1125">
        <v>2</v>
      </c>
      <c r="H24" s="1124">
        <v>2</v>
      </c>
      <c r="I24" s="1124">
        <v>0</v>
      </c>
      <c r="J24" s="1125">
        <v>3</v>
      </c>
      <c r="K24" s="1124">
        <v>3</v>
      </c>
      <c r="L24" s="1126">
        <v>0</v>
      </c>
      <c r="N24" s="1138">
        <v>0.03</v>
      </c>
      <c r="O24" s="1139">
        <v>0.02</v>
      </c>
      <c r="P24" s="1148">
        <v>-5.0000000000000001E-3</v>
      </c>
      <c r="Q24" s="1139">
        <v>-0.05</v>
      </c>
      <c r="R24" s="1140" t="s">
        <v>267</v>
      </c>
    </row>
    <row r="25" spans="2:83">
      <c r="B25" s="1091"/>
      <c r="C25" s="1092" t="s">
        <v>268</v>
      </c>
      <c r="D25" s="1093"/>
      <c r="E25" s="1094">
        <v>230</v>
      </c>
      <c r="F25" s="1095">
        <v>-22</v>
      </c>
      <c r="G25" s="1096">
        <v>-1344</v>
      </c>
      <c r="H25" s="1095">
        <v>-1216.0090000000127</v>
      </c>
      <c r="I25" s="1097">
        <v>127.99099999998725</v>
      </c>
      <c r="J25" s="1096">
        <v>751</v>
      </c>
      <c r="K25" s="1095">
        <v>750.99999999999272</v>
      </c>
      <c r="L25" s="1098">
        <v>-7.2759576141834259E-12</v>
      </c>
    </row>
    <row r="26" spans="2:83">
      <c r="B26" s="1076"/>
      <c r="C26" s="1103" t="s">
        <v>269</v>
      </c>
      <c r="D26" s="1113"/>
      <c r="E26" s="1105">
        <v>240</v>
      </c>
      <c r="F26" s="1106">
        <v>-429</v>
      </c>
      <c r="G26" s="1107">
        <v>0</v>
      </c>
      <c r="H26" s="1106">
        <v>-130</v>
      </c>
      <c r="I26" s="1108">
        <v>-130</v>
      </c>
      <c r="J26" s="1107">
        <v>-300</v>
      </c>
      <c r="K26" s="1106">
        <v>-754</v>
      </c>
      <c r="L26" s="1109">
        <v>-454</v>
      </c>
    </row>
    <row r="27" spans="2:83">
      <c r="B27" s="1076" t="s">
        <v>848</v>
      </c>
      <c r="C27" s="1103" t="s">
        <v>270</v>
      </c>
      <c r="D27" s="1113"/>
      <c r="E27" s="1105">
        <v>250</v>
      </c>
      <c r="F27" s="1106">
        <v>-3213</v>
      </c>
      <c r="G27" s="1107">
        <v>0</v>
      </c>
      <c r="H27" s="1106">
        <v>0</v>
      </c>
      <c r="I27" s="1108">
        <v>0</v>
      </c>
      <c r="J27" s="1107">
        <v>-7000</v>
      </c>
      <c r="K27" s="1106">
        <v>-7000</v>
      </c>
      <c r="L27" s="1109">
        <v>0</v>
      </c>
      <c r="N27" s="1099"/>
      <c r="O27" s="1100"/>
      <c r="P27" s="1100"/>
      <c r="Q27" s="1100"/>
      <c r="R27" s="1102"/>
    </row>
    <row r="28" spans="2:83">
      <c r="B28" s="1076" t="s">
        <v>820</v>
      </c>
      <c r="C28" s="1103" t="s">
        <v>271</v>
      </c>
      <c r="D28" s="1113"/>
      <c r="E28" s="1105">
        <v>260</v>
      </c>
      <c r="F28" s="1108">
        <v>605349</v>
      </c>
      <c r="G28" s="1141">
        <v>149788</v>
      </c>
      <c r="H28" s="1108">
        <v>149585.58799999999</v>
      </c>
      <c r="I28" s="1108">
        <v>-202.41200000001118</v>
      </c>
      <c r="J28" s="1107">
        <v>598611</v>
      </c>
      <c r="K28" s="1108">
        <v>603602.03599999996</v>
      </c>
      <c r="L28" s="1109">
        <v>4991.0359999999637</v>
      </c>
      <c r="N28" s="1110" t="s">
        <v>272</v>
      </c>
      <c r="O28" s="1111"/>
      <c r="P28" s="1111"/>
      <c r="Q28" s="1119">
        <v>20</v>
      </c>
      <c r="R28" s="1112" t="s">
        <v>444</v>
      </c>
    </row>
    <row r="29" spans="2:83">
      <c r="B29" s="1076"/>
      <c r="C29" s="1103" t="s">
        <v>273</v>
      </c>
      <c r="D29" s="1113"/>
      <c r="E29" s="1105">
        <v>270</v>
      </c>
      <c r="F29" s="1114">
        <v>0.59800214421763309</v>
      </c>
      <c r="G29" s="1115">
        <v>-0.89726813896974389</v>
      </c>
      <c r="H29" s="1143">
        <v>-0.72601178664351862</v>
      </c>
      <c r="I29" s="1108">
        <v>0.17125635232622527</v>
      </c>
      <c r="J29" s="1116">
        <v>1.3449468853729718</v>
      </c>
      <c r="K29" s="1149">
        <v>1.4090409728173934</v>
      </c>
      <c r="L29" s="1117">
        <v>6.4094087444421577E-2</v>
      </c>
      <c r="N29" s="1110"/>
      <c r="O29" s="1111"/>
      <c r="P29" s="1111"/>
      <c r="Q29" s="1111"/>
      <c r="R29" s="1112"/>
    </row>
    <row r="30" spans="2:83">
      <c r="B30" s="1076"/>
      <c r="C30" s="1150" t="s">
        <v>274</v>
      </c>
      <c r="D30" s="1113"/>
      <c r="E30" s="1105">
        <v>280</v>
      </c>
      <c r="F30" s="1151">
        <v>2</v>
      </c>
      <c r="G30" s="1152">
        <v>2</v>
      </c>
      <c r="H30" s="1151">
        <v>2</v>
      </c>
      <c r="I30" s="1151">
        <v>0</v>
      </c>
      <c r="J30" s="1153">
        <v>3</v>
      </c>
      <c r="K30" s="1151">
        <v>3</v>
      </c>
      <c r="L30" s="1154">
        <v>0</v>
      </c>
      <c r="N30" s="1118">
        <v>5</v>
      </c>
      <c r="O30" s="1119">
        <v>4</v>
      </c>
      <c r="P30" s="1119">
        <v>3</v>
      </c>
      <c r="Q30" s="1119">
        <v>2</v>
      </c>
      <c r="R30" s="1120">
        <v>1</v>
      </c>
    </row>
    <row r="31" spans="2:83" ht="13.8" thickBot="1">
      <c r="B31" s="1085"/>
      <c r="C31" s="1121" t="s">
        <v>275</v>
      </c>
      <c r="D31" s="1122"/>
      <c r="E31" s="1123">
        <v>290</v>
      </c>
      <c r="F31" s="1124">
        <v>3</v>
      </c>
      <c r="G31" s="1125">
        <v>2</v>
      </c>
      <c r="H31" s="1124">
        <v>2</v>
      </c>
      <c r="I31" s="1124">
        <v>0</v>
      </c>
      <c r="J31" s="1155">
        <v>3</v>
      </c>
      <c r="K31" s="1124">
        <v>3</v>
      </c>
      <c r="L31" s="1126">
        <v>0</v>
      </c>
      <c r="N31" s="1138">
        <v>0.03</v>
      </c>
      <c r="O31" s="1139">
        <v>0.02</v>
      </c>
      <c r="P31" s="1139">
        <v>0.01</v>
      </c>
      <c r="Q31" s="1139">
        <v>-0.02</v>
      </c>
      <c r="R31" s="1140" t="s">
        <v>276</v>
      </c>
    </row>
    <row r="32" spans="2:83">
      <c r="B32" s="1091"/>
      <c r="C32" s="1092" t="s">
        <v>277</v>
      </c>
      <c r="D32" s="1093"/>
      <c r="E32" s="1094">
        <v>300</v>
      </c>
      <c r="F32" s="1097">
        <v>42733.890410958906</v>
      </c>
      <c r="G32" s="1156">
        <v>33609.301369863017</v>
      </c>
      <c r="H32" s="1097">
        <v>39972.990794520549</v>
      </c>
      <c r="I32" s="1097">
        <v>6363.6894246575321</v>
      </c>
      <c r="J32" s="1096">
        <v>28336.616438356199</v>
      </c>
      <c r="K32" s="1097">
        <v>30841.46112328767</v>
      </c>
      <c r="L32" s="1098">
        <v>2504.8446849314714</v>
      </c>
      <c r="CC32" s="1157">
        <v>-4398</v>
      </c>
      <c r="CD32" s="1157">
        <v>-13553</v>
      </c>
      <c r="CE32" s="1157">
        <v>-7130</v>
      </c>
    </row>
    <row r="33" spans="2:18">
      <c r="B33" s="1076"/>
      <c r="C33" s="1103" t="s">
        <v>278</v>
      </c>
      <c r="D33" s="1113"/>
      <c r="E33" s="1105">
        <v>310</v>
      </c>
      <c r="F33" s="1106">
        <v>573438</v>
      </c>
      <c r="G33" s="1107">
        <v>143452</v>
      </c>
      <c r="H33" s="1106">
        <v>143271.59700000001</v>
      </c>
      <c r="I33" s="1108">
        <v>-180.40299999999115</v>
      </c>
      <c r="J33" s="1107">
        <v>562363</v>
      </c>
      <c r="K33" s="1106">
        <v>567884.777</v>
      </c>
      <c r="L33" s="1109">
        <v>5521.7770000000019</v>
      </c>
    </row>
    <row r="34" spans="2:18">
      <c r="B34" s="1076" t="s">
        <v>856</v>
      </c>
      <c r="C34" s="1103" t="s">
        <v>279</v>
      </c>
      <c r="D34" s="1113"/>
      <c r="E34" s="1105">
        <v>322</v>
      </c>
      <c r="F34" s="1145">
        <v>47131.890410958906</v>
      </c>
      <c r="G34" s="1158">
        <v>47162.301369863017</v>
      </c>
      <c r="H34" s="1145">
        <v>47102.990794520549</v>
      </c>
      <c r="I34" s="1108">
        <v>-59.310575342467928</v>
      </c>
      <c r="J34" s="1107">
        <v>46221.616438356163</v>
      </c>
      <c r="K34" s="1145">
        <v>46675.46112328767</v>
      </c>
      <c r="L34" s="1109">
        <v>453.8446849315078</v>
      </c>
    </row>
    <row r="35" spans="2:18">
      <c r="B35" s="1076"/>
      <c r="C35" s="1103" t="s">
        <v>280</v>
      </c>
      <c r="D35" s="1113"/>
      <c r="E35" s="1105">
        <v>325</v>
      </c>
      <c r="F35" s="1145">
        <v>29.589041095890416</v>
      </c>
      <c r="G35" s="1158">
        <v>29.589041095890416</v>
      </c>
      <c r="H35" s="1145">
        <v>29.589041095890408</v>
      </c>
      <c r="I35" s="1108">
        <v>0</v>
      </c>
      <c r="J35" s="1107">
        <v>29.589041095890408</v>
      </c>
      <c r="K35" s="1145">
        <v>29.589041095890408</v>
      </c>
      <c r="L35" s="1109">
        <v>0</v>
      </c>
      <c r="N35" s="1099"/>
      <c r="O35" s="1100"/>
      <c r="P35" s="1100"/>
      <c r="Q35" s="1100"/>
      <c r="R35" s="1102"/>
    </row>
    <row r="36" spans="2:18">
      <c r="B36" s="1076"/>
      <c r="C36" s="1150" t="s">
        <v>281</v>
      </c>
      <c r="D36" s="1113"/>
      <c r="E36" s="1105">
        <v>330</v>
      </c>
      <c r="F36" s="1151">
        <v>26.828010260821927</v>
      </c>
      <c r="G36" s="1152">
        <v>21.086057519502493</v>
      </c>
      <c r="H36" s="1151">
        <v>25.110135203608078</v>
      </c>
      <c r="I36" s="1151">
        <v>4.0240776841055848</v>
      </c>
      <c r="J36" s="1153">
        <v>18.139852582421376</v>
      </c>
      <c r="K36" s="1151">
        <v>19.551371077488067</v>
      </c>
      <c r="L36" s="1154">
        <v>1.4115184950666908</v>
      </c>
      <c r="N36" s="1110" t="s">
        <v>282</v>
      </c>
      <c r="O36" s="1111"/>
      <c r="P36" s="1111"/>
      <c r="Q36" s="1119">
        <v>25</v>
      </c>
      <c r="R36" s="1112" t="s">
        <v>444</v>
      </c>
    </row>
    <row r="37" spans="2:18" ht="13.8" thickBot="1">
      <c r="B37" s="1085"/>
      <c r="C37" s="1121" t="s">
        <v>283</v>
      </c>
      <c r="D37" s="1122"/>
      <c r="E37" s="1123">
        <v>340</v>
      </c>
      <c r="F37" s="1124">
        <v>4</v>
      </c>
      <c r="G37" s="1125">
        <v>3</v>
      </c>
      <c r="H37" s="1124">
        <v>4</v>
      </c>
      <c r="I37" s="1124">
        <v>1</v>
      </c>
      <c r="J37" s="1155">
        <v>3</v>
      </c>
      <c r="K37" s="1124">
        <v>3</v>
      </c>
      <c r="L37" s="1126">
        <v>0</v>
      </c>
      <c r="N37" s="1118">
        <v>5</v>
      </c>
      <c r="O37" s="1119">
        <v>4</v>
      </c>
      <c r="P37" s="1119">
        <v>3</v>
      </c>
      <c r="Q37" s="1119">
        <v>2</v>
      </c>
      <c r="R37" s="1120">
        <v>1</v>
      </c>
    </row>
    <row r="38" spans="2:18">
      <c r="B38" s="1091" t="s">
        <v>284</v>
      </c>
      <c r="C38" s="1159" t="s">
        <v>285</v>
      </c>
      <c r="D38" s="1093"/>
      <c r="E38" s="1094">
        <v>350</v>
      </c>
      <c r="F38" s="1160">
        <v>3.15</v>
      </c>
      <c r="G38" s="1161">
        <v>2.4500000000000002</v>
      </c>
      <c r="H38" s="1160">
        <v>2.7</v>
      </c>
      <c r="I38" s="1160">
        <v>0.25</v>
      </c>
      <c r="J38" s="1162">
        <v>3.1</v>
      </c>
      <c r="K38" s="1160">
        <v>3.1</v>
      </c>
      <c r="L38" s="1163">
        <v>0</v>
      </c>
      <c r="N38" s="1164">
        <v>60</v>
      </c>
      <c r="O38" s="1165">
        <v>25</v>
      </c>
      <c r="P38" s="1165">
        <v>15</v>
      </c>
      <c r="Q38" s="1165">
        <v>10</v>
      </c>
      <c r="R38" s="1140" t="s">
        <v>858</v>
      </c>
    </row>
    <row r="39" spans="2:18">
      <c r="B39" s="1076" t="s">
        <v>286</v>
      </c>
      <c r="C39" s="1150" t="s">
        <v>287</v>
      </c>
      <c r="D39" s="1113"/>
      <c r="E39" s="1105">
        <v>360</v>
      </c>
      <c r="F39" s="1166">
        <v>0</v>
      </c>
      <c r="G39" s="1152">
        <v>2</v>
      </c>
      <c r="H39" s="1151">
        <v>2</v>
      </c>
      <c r="I39" s="1151">
        <v>0</v>
      </c>
      <c r="J39" s="1153">
        <v>0</v>
      </c>
      <c r="K39" s="1151">
        <v>0</v>
      </c>
      <c r="L39" s="1154">
        <v>0</v>
      </c>
    </row>
    <row r="40" spans="2:18" ht="13.8" thickBot="1">
      <c r="B40" s="1085"/>
      <c r="C40" s="1121" t="s">
        <v>288</v>
      </c>
      <c r="D40" s="1122"/>
      <c r="E40" s="1123">
        <v>370</v>
      </c>
      <c r="F40" s="1167">
        <v>3.15</v>
      </c>
      <c r="G40" s="1125">
        <v>2</v>
      </c>
      <c r="H40" s="1124">
        <v>2</v>
      </c>
      <c r="I40" s="1124">
        <v>0</v>
      </c>
      <c r="J40" s="1155">
        <v>3.1</v>
      </c>
      <c r="K40" s="1124">
        <v>3.1</v>
      </c>
      <c r="L40" s="1126">
        <v>0</v>
      </c>
    </row>
    <row r="41" spans="2:18">
      <c r="B41" s="1091" t="s">
        <v>289</v>
      </c>
      <c r="C41" s="1092" t="s">
        <v>290</v>
      </c>
      <c r="D41" s="1093"/>
      <c r="E41" s="1094">
        <v>371</v>
      </c>
      <c r="F41" s="1095">
        <v>-4398</v>
      </c>
      <c r="G41" s="1096">
        <v>-13553</v>
      </c>
      <c r="H41" s="1095">
        <v>-7130</v>
      </c>
      <c r="I41" s="1160">
        <v>6423</v>
      </c>
      <c r="J41" s="1096">
        <v>-17885</v>
      </c>
      <c r="K41" s="1095">
        <v>-15834</v>
      </c>
      <c r="L41" s="1098">
        <v>2051</v>
      </c>
      <c r="N41" s="1050"/>
      <c r="O41" s="1020"/>
      <c r="P41" s="1020"/>
      <c r="Q41" s="1020"/>
      <c r="R41" s="1051"/>
    </row>
    <row r="42" spans="2:18">
      <c r="B42" s="1076"/>
      <c r="C42" s="1103" t="s">
        <v>291</v>
      </c>
      <c r="D42" s="1113"/>
      <c r="E42" s="1105">
        <v>372</v>
      </c>
      <c r="F42" s="1106">
        <v>572770</v>
      </c>
      <c r="G42" s="1107">
        <v>143452</v>
      </c>
      <c r="H42" s="1106">
        <v>143271.59700000001</v>
      </c>
      <c r="I42" s="1151">
        <v>-180.40299999999115</v>
      </c>
      <c r="J42" s="1107">
        <v>562363</v>
      </c>
      <c r="K42" s="1106">
        <v>567884.777</v>
      </c>
      <c r="L42" s="1109">
        <v>5521.7770000000019</v>
      </c>
      <c r="N42" s="1052" t="s">
        <v>857</v>
      </c>
      <c r="Q42" s="1168">
        <v>50</v>
      </c>
      <c r="R42" s="1053" t="s">
        <v>444</v>
      </c>
    </row>
    <row r="43" spans="2:18">
      <c r="B43" s="1076"/>
      <c r="C43" s="1103" t="s">
        <v>292</v>
      </c>
      <c r="D43" s="1113"/>
      <c r="E43" s="1105">
        <v>373</v>
      </c>
      <c r="F43" s="1145">
        <v>-2.7642509209630393</v>
      </c>
      <c r="G43" s="1158">
        <v>-8.5029835763879209</v>
      </c>
      <c r="H43" s="1145">
        <v>-4.4789058922823344</v>
      </c>
      <c r="I43" s="1151">
        <v>4.0240776841055865</v>
      </c>
      <c r="J43" s="1158">
        <v>-11.449188513469057</v>
      </c>
      <c r="K43" s="1145">
        <v>-10.037670018402341</v>
      </c>
      <c r="L43" s="1109">
        <v>1.4115184950667157</v>
      </c>
      <c r="N43" s="1169">
        <v>4</v>
      </c>
      <c r="O43" s="1168">
        <v>3</v>
      </c>
      <c r="P43" s="1168">
        <v>2</v>
      </c>
      <c r="Q43" s="1168">
        <v>1</v>
      </c>
      <c r="R43" s="1053"/>
    </row>
    <row r="44" spans="2:18" ht="13.8" thickBot="1">
      <c r="B44" s="1085"/>
      <c r="C44" s="1121" t="s">
        <v>293</v>
      </c>
      <c r="D44" s="1122"/>
      <c r="E44" s="1123">
        <v>374</v>
      </c>
      <c r="F44" s="1124">
        <v>3</v>
      </c>
      <c r="G44" s="1125">
        <v>2</v>
      </c>
      <c r="H44" s="1124">
        <v>3</v>
      </c>
      <c r="I44" s="1124">
        <v>1</v>
      </c>
      <c r="J44" s="1155">
        <v>2</v>
      </c>
      <c r="K44" s="1124">
        <v>2</v>
      </c>
      <c r="L44" s="1126">
        <v>0</v>
      </c>
      <c r="N44" s="1170">
        <v>-2</v>
      </c>
      <c r="O44" s="1171">
        <v>-7</v>
      </c>
      <c r="P44" s="1171">
        <v>-12</v>
      </c>
      <c r="Q44" s="1172" t="s">
        <v>294</v>
      </c>
      <c r="R44" s="1055"/>
    </row>
    <row r="45" spans="2:18" ht="26.4">
      <c r="B45" s="1091" t="s">
        <v>295</v>
      </c>
      <c r="C45" s="1092" t="s">
        <v>296</v>
      </c>
      <c r="D45" s="1093"/>
      <c r="E45" s="1094">
        <v>375</v>
      </c>
      <c r="F45" s="1095">
        <v>31911</v>
      </c>
      <c r="G45" s="1096">
        <v>6336</v>
      </c>
      <c r="H45" s="1095">
        <v>6314.3679999999877</v>
      </c>
      <c r="I45" s="1160">
        <v>-21.63200000001234</v>
      </c>
      <c r="J45" s="1096">
        <v>36248</v>
      </c>
      <c r="K45" s="1095">
        <v>35717.573999999993</v>
      </c>
      <c r="L45" s="1098">
        <v>-530.42600000000675</v>
      </c>
      <c r="N45" s="1050"/>
      <c r="O45" s="1020"/>
      <c r="P45" s="1020"/>
      <c r="Q45" s="1020"/>
      <c r="R45" s="1051"/>
    </row>
    <row r="46" spans="2:18">
      <c r="B46" s="1076"/>
      <c r="C46" s="1103" t="s">
        <v>297</v>
      </c>
      <c r="D46" s="1113"/>
      <c r="E46" s="1105">
        <v>376</v>
      </c>
      <c r="F46" s="1106">
        <v>14933</v>
      </c>
      <c r="G46" s="1107">
        <v>2990</v>
      </c>
      <c r="H46" s="1106">
        <v>2978.2020000000002</v>
      </c>
      <c r="I46" s="1151">
        <v>-11.797999999999774</v>
      </c>
      <c r="J46" s="1107">
        <v>9235</v>
      </c>
      <c r="K46" s="1106">
        <v>16086.398999999999</v>
      </c>
      <c r="L46" s="1109">
        <v>6851.3989999999994</v>
      </c>
      <c r="N46" s="1052" t="s">
        <v>298</v>
      </c>
      <c r="Q46" s="1168">
        <v>50</v>
      </c>
      <c r="R46" s="1053" t="s">
        <v>444</v>
      </c>
    </row>
    <row r="47" spans="2:18">
      <c r="B47" s="1076"/>
      <c r="C47" s="1150" t="s">
        <v>295</v>
      </c>
      <c r="D47" s="1113"/>
      <c r="E47" s="1105">
        <v>377</v>
      </c>
      <c r="F47" s="1151">
        <v>2.1369450210942209</v>
      </c>
      <c r="G47" s="1152">
        <v>2.1190635451505018</v>
      </c>
      <c r="H47" s="1151">
        <v>2.1201946677894874</v>
      </c>
      <c r="I47" s="1151">
        <v>1.1311226389856266E-3</v>
      </c>
      <c r="J47" s="1153">
        <v>3.9250676773145643</v>
      </c>
      <c r="K47" s="1151">
        <v>2.2203585774541583</v>
      </c>
      <c r="L47" s="1154">
        <v>-1.704709099860406</v>
      </c>
      <c r="N47" s="1169">
        <v>4</v>
      </c>
      <c r="O47" s="1168">
        <v>3</v>
      </c>
      <c r="P47" s="1168">
        <v>2</v>
      </c>
      <c r="Q47" s="1168">
        <v>1</v>
      </c>
      <c r="R47" s="1053"/>
    </row>
    <row r="48" spans="2:18" ht="13.8" thickBot="1">
      <c r="B48" s="1085"/>
      <c r="C48" s="1121" t="s">
        <v>299</v>
      </c>
      <c r="D48" s="1122"/>
      <c r="E48" s="1123">
        <v>378</v>
      </c>
      <c r="F48" s="1124">
        <v>3</v>
      </c>
      <c r="G48" s="1125">
        <v>3</v>
      </c>
      <c r="H48" s="1124">
        <v>3</v>
      </c>
      <c r="I48" s="1124">
        <v>0</v>
      </c>
      <c r="J48" s="1125">
        <v>4</v>
      </c>
      <c r="K48" s="1124">
        <v>3</v>
      </c>
      <c r="L48" s="1126">
        <v>-1</v>
      </c>
      <c r="N48" s="1170">
        <v>2.5</v>
      </c>
      <c r="O48" s="1171">
        <v>1.75</v>
      </c>
      <c r="P48" s="1171">
        <v>1.25</v>
      </c>
      <c r="Q48" s="1172" t="s">
        <v>300</v>
      </c>
      <c r="R48" s="1055"/>
    </row>
    <row r="49" spans="2:21" ht="27" thickBot="1">
      <c r="B49" s="1173" t="s">
        <v>301</v>
      </c>
      <c r="C49" s="1174" t="s">
        <v>302</v>
      </c>
      <c r="D49" s="1175"/>
      <c r="E49" s="1176">
        <v>379</v>
      </c>
      <c r="F49" s="1177">
        <v>3</v>
      </c>
      <c r="G49" s="1178">
        <v>2.5</v>
      </c>
      <c r="H49" s="1177">
        <v>3</v>
      </c>
      <c r="I49" s="1177">
        <v>0.5</v>
      </c>
      <c r="J49" s="1179">
        <v>3</v>
      </c>
      <c r="K49" s="1177">
        <v>2.5</v>
      </c>
      <c r="L49" s="1180">
        <v>-0.5</v>
      </c>
    </row>
    <row r="50" spans="2:21" ht="14.4" thickTop="1" thickBot="1"/>
    <row r="51" spans="2:21" ht="13.8" thickTop="1">
      <c r="B51" s="1181"/>
      <c r="C51" s="1182" t="s">
        <v>303</v>
      </c>
      <c r="D51" s="1182" t="s">
        <v>304</v>
      </c>
      <c r="E51" s="1183"/>
      <c r="F51" s="1184" t="s">
        <v>240</v>
      </c>
      <c r="G51" s="1184" t="s">
        <v>241</v>
      </c>
      <c r="H51" s="1184" t="s">
        <v>242</v>
      </c>
      <c r="I51" s="1184" t="s">
        <v>243</v>
      </c>
      <c r="J51" s="1184" t="s">
        <v>244</v>
      </c>
      <c r="K51" s="1184" t="s">
        <v>245</v>
      </c>
      <c r="L51" s="1185" t="s">
        <v>246</v>
      </c>
    </row>
    <row r="52" spans="2:21">
      <c r="B52" s="1186"/>
      <c r="C52" s="1103">
        <v>3</v>
      </c>
      <c r="D52" s="1103" t="s">
        <v>305</v>
      </c>
      <c r="E52" s="1187" t="s">
        <v>887</v>
      </c>
      <c r="F52" s="1136"/>
      <c r="G52" s="1136"/>
      <c r="H52" s="1108" t="s">
        <v>306</v>
      </c>
      <c r="I52" s="1136"/>
      <c r="J52" s="1136"/>
      <c r="K52" s="1108" t="s">
        <v>306</v>
      </c>
      <c r="L52" s="1188"/>
    </row>
    <row r="53" spans="2:21">
      <c r="B53" s="1186"/>
      <c r="C53" s="1103">
        <v>3</v>
      </c>
      <c r="D53" s="1103" t="s">
        <v>307</v>
      </c>
      <c r="E53" s="1187" t="s">
        <v>887</v>
      </c>
      <c r="F53" s="1136"/>
      <c r="G53" s="1136"/>
      <c r="H53" s="1108" t="s">
        <v>306</v>
      </c>
      <c r="I53" s="1136"/>
      <c r="J53" s="1136"/>
      <c r="K53" s="1108" t="s">
        <v>306</v>
      </c>
      <c r="L53" s="1188"/>
    </row>
    <row r="54" spans="2:21">
      <c r="B54" s="1189" t="s">
        <v>308</v>
      </c>
      <c r="C54" s="1103">
        <v>2</v>
      </c>
      <c r="D54" s="1103" t="s">
        <v>309</v>
      </c>
      <c r="E54" s="1187" t="s">
        <v>887</v>
      </c>
      <c r="F54" s="1136"/>
      <c r="G54" s="1136"/>
      <c r="H54" s="1108" t="s">
        <v>306</v>
      </c>
      <c r="I54" s="1136"/>
      <c r="J54" s="1136"/>
      <c r="K54" s="1108" t="s">
        <v>306</v>
      </c>
      <c r="L54" s="1188"/>
    </row>
    <row r="55" spans="2:21">
      <c r="B55" s="1186"/>
      <c r="C55" s="1103">
        <v>2</v>
      </c>
      <c r="D55" s="1103" t="s">
        <v>310</v>
      </c>
      <c r="E55" s="1113"/>
      <c r="F55" s="1108" t="s">
        <v>306</v>
      </c>
      <c r="G55" s="1108" t="s">
        <v>306</v>
      </c>
      <c r="H55" s="1108" t="s">
        <v>306</v>
      </c>
      <c r="I55" s="1136"/>
      <c r="J55" s="1108" t="s">
        <v>306</v>
      </c>
      <c r="K55" s="1108" t="s">
        <v>306</v>
      </c>
      <c r="L55" s="1188"/>
    </row>
    <row r="56" spans="2:21">
      <c r="B56" s="1186"/>
      <c r="C56" s="1103">
        <v>3</v>
      </c>
      <c r="D56" s="1103" t="s">
        <v>311</v>
      </c>
      <c r="E56" s="1113"/>
      <c r="F56" s="1108" t="s">
        <v>306</v>
      </c>
      <c r="G56" s="1108" t="s">
        <v>306</v>
      </c>
      <c r="H56" s="1108" t="s">
        <v>306</v>
      </c>
      <c r="I56" s="1136"/>
      <c r="J56" s="1108" t="s">
        <v>306</v>
      </c>
      <c r="K56" s="1108" t="s">
        <v>306</v>
      </c>
      <c r="L56" s="1188"/>
    </row>
    <row r="57" spans="2:21">
      <c r="B57" s="1186"/>
      <c r="C57" s="1103">
        <v>2</v>
      </c>
      <c r="D57" s="1103" t="s">
        <v>312</v>
      </c>
      <c r="E57" s="1113"/>
      <c r="F57" s="1108" t="s">
        <v>306</v>
      </c>
      <c r="G57" s="1108">
        <v>2</v>
      </c>
      <c r="H57" s="1108">
        <v>2</v>
      </c>
      <c r="I57" s="1136"/>
      <c r="J57" s="1108" t="s">
        <v>306</v>
      </c>
      <c r="K57" s="1108" t="s">
        <v>306</v>
      </c>
      <c r="L57" s="1188"/>
    </row>
    <row r="58" spans="2:21" ht="13.8" thickBot="1">
      <c r="B58" s="1190"/>
      <c r="C58" s="1191">
        <v>1</v>
      </c>
      <c r="D58" s="1191" t="s">
        <v>313</v>
      </c>
      <c r="E58" s="1192"/>
      <c r="F58" s="1193" t="s">
        <v>306</v>
      </c>
      <c r="G58" s="1193" t="s">
        <v>306</v>
      </c>
      <c r="H58" s="1193" t="s">
        <v>306</v>
      </c>
      <c r="I58" s="1194"/>
      <c r="J58" s="1193" t="s">
        <v>306</v>
      </c>
      <c r="K58" s="1193" t="s">
        <v>306</v>
      </c>
      <c r="L58" s="1195"/>
    </row>
    <row r="59" spans="2:21" ht="14.4" thickTop="1" thickBot="1"/>
    <row r="60" spans="2:21" ht="13.8" thickTop="1">
      <c r="B60" s="1181" t="s">
        <v>314</v>
      </c>
      <c r="C60" s="1196"/>
      <c r="D60" s="1196"/>
      <c r="E60" s="1196"/>
      <c r="F60" s="1196"/>
      <c r="G60" s="1196"/>
      <c r="H60" s="1196"/>
      <c r="I60" s="1070" t="s">
        <v>234</v>
      </c>
      <c r="J60" s="1197" t="s">
        <v>315</v>
      </c>
      <c r="T60" s="1015" t="s">
        <v>671</v>
      </c>
      <c r="U60" s="1015">
        <v>0</v>
      </c>
    </row>
    <row r="61" spans="2:21" ht="13.8" thickBot="1">
      <c r="B61" s="1198"/>
      <c r="C61" s="1199"/>
      <c r="D61" s="1199"/>
      <c r="E61" s="1199"/>
      <c r="F61" s="1199"/>
      <c r="G61" s="1199"/>
      <c r="H61" s="1199"/>
      <c r="I61" s="1088" t="s">
        <v>239</v>
      </c>
      <c r="J61" s="1090"/>
      <c r="T61" s="1015">
        <v>0</v>
      </c>
    </row>
    <row r="62" spans="2:21">
      <c r="B62" s="1200" t="s">
        <v>316</v>
      </c>
      <c r="I62" s="1201"/>
      <c r="J62" s="1202"/>
    </row>
    <row r="63" spans="2:21">
      <c r="B63" s="1203"/>
      <c r="C63" s="1017"/>
      <c r="D63" s="1017"/>
      <c r="E63" s="1017"/>
      <c r="F63" s="1017"/>
      <c r="G63" s="1017"/>
      <c r="H63" s="1017"/>
      <c r="I63" s="1204"/>
      <c r="J63" s="1205"/>
    </row>
    <row r="64" spans="2:21">
      <c r="B64" s="1206" t="s">
        <v>317</v>
      </c>
      <c r="C64" s="1113"/>
      <c r="D64" s="1113"/>
      <c r="E64" s="1113"/>
      <c r="F64" s="1113"/>
      <c r="G64" s="1113"/>
      <c r="H64" s="1113"/>
      <c r="I64" s="1105">
        <v>380</v>
      </c>
      <c r="J64" s="1207" t="b">
        <v>0</v>
      </c>
      <c r="T64" s="1015">
        <v>0</v>
      </c>
    </row>
    <row r="65" spans="2:20">
      <c r="B65" s="1206" t="s">
        <v>318</v>
      </c>
      <c r="C65" s="1113"/>
      <c r="D65" s="1113"/>
      <c r="E65" s="1113"/>
      <c r="F65" s="1113"/>
      <c r="G65" s="1113"/>
      <c r="H65" s="1113"/>
      <c r="I65" s="1105">
        <v>390</v>
      </c>
      <c r="J65" s="1207" t="b">
        <v>1</v>
      </c>
      <c r="T65" s="1015">
        <v>0</v>
      </c>
    </row>
    <row r="66" spans="2:20">
      <c r="B66" s="1206" t="s">
        <v>319</v>
      </c>
      <c r="C66" s="1113"/>
      <c r="D66" s="1113"/>
      <c r="E66" s="1113"/>
      <c r="F66" s="1113"/>
      <c r="G66" s="1113"/>
      <c r="H66" s="1113"/>
      <c r="I66" s="1105">
        <v>420</v>
      </c>
      <c r="J66" s="1207" t="b">
        <v>0</v>
      </c>
      <c r="T66" s="1015">
        <v>0</v>
      </c>
    </row>
    <row r="67" spans="2:20">
      <c r="B67" s="1206" t="s">
        <v>320</v>
      </c>
      <c r="C67" s="1113"/>
      <c r="D67" s="1113"/>
      <c r="E67" s="1113"/>
      <c r="F67" s="1113"/>
      <c r="G67" s="1113"/>
      <c r="H67" s="1113"/>
      <c r="I67" s="1105">
        <v>430</v>
      </c>
      <c r="J67" s="1207" t="b">
        <v>0</v>
      </c>
      <c r="T67" s="1015">
        <v>0</v>
      </c>
    </row>
    <row r="68" spans="2:20">
      <c r="B68" s="1206" t="s">
        <v>321</v>
      </c>
      <c r="C68" s="1113"/>
      <c r="D68" s="1113"/>
      <c r="E68" s="1113"/>
      <c r="F68" s="1113"/>
      <c r="G68" s="1113"/>
      <c r="H68" s="1113"/>
      <c r="I68" s="1105">
        <v>440</v>
      </c>
      <c r="J68" s="1207" t="b">
        <v>0</v>
      </c>
      <c r="T68" s="1015">
        <v>0</v>
      </c>
    </row>
    <row r="69" spans="2:20">
      <c r="B69" s="1206" t="s">
        <v>322</v>
      </c>
      <c r="C69" s="1113"/>
      <c r="D69" s="1113"/>
      <c r="E69" s="1113"/>
      <c r="F69" s="1113"/>
      <c r="G69" s="1113"/>
      <c r="H69" s="1113"/>
      <c r="I69" s="1105">
        <v>450</v>
      </c>
      <c r="J69" s="1207" t="b">
        <v>1</v>
      </c>
      <c r="T69" s="1015">
        <v>0</v>
      </c>
    </row>
    <row r="70" spans="2:20" ht="13.8" thickBot="1">
      <c r="B70" s="1208" t="s">
        <v>323</v>
      </c>
      <c r="C70" s="1122"/>
      <c r="D70" s="1122"/>
      <c r="E70" s="1122"/>
      <c r="F70" s="1122"/>
      <c r="G70" s="1122"/>
      <c r="H70" s="1122"/>
      <c r="I70" s="1123">
        <v>460</v>
      </c>
      <c r="J70" s="1209" t="b">
        <v>0</v>
      </c>
      <c r="T70" s="1015">
        <v>0</v>
      </c>
    </row>
    <row r="71" spans="2:20">
      <c r="B71" s="1200" t="s">
        <v>324</v>
      </c>
      <c r="I71" s="1201"/>
      <c r="J71" s="1210" t="s">
        <v>315</v>
      </c>
    </row>
    <row r="72" spans="2:20">
      <c r="B72" s="1203"/>
      <c r="C72" s="1017"/>
      <c r="D72" s="1017"/>
      <c r="E72" s="1017"/>
      <c r="F72" s="1017"/>
      <c r="G72" s="1017"/>
      <c r="H72" s="1017"/>
      <c r="I72" s="1204"/>
      <c r="J72" s="1211"/>
    </row>
    <row r="73" spans="2:20">
      <c r="B73" s="1206" t="s">
        <v>325</v>
      </c>
      <c r="C73" s="1113"/>
      <c r="D73" s="1113"/>
      <c r="E73" s="1113"/>
      <c r="F73" s="1113"/>
      <c r="G73" s="1113"/>
      <c r="H73" s="1113"/>
      <c r="I73" s="1105">
        <v>470</v>
      </c>
      <c r="J73" s="1212">
        <v>1</v>
      </c>
      <c r="T73" s="1015">
        <v>0</v>
      </c>
    </row>
    <row r="74" spans="2:20">
      <c r="B74" s="1206" t="s">
        <v>326</v>
      </c>
      <c r="C74" s="1113"/>
      <c r="D74" s="1113"/>
      <c r="E74" s="1113"/>
      <c r="F74" s="1113"/>
      <c r="G74" s="1113"/>
      <c r="H74" s="1113"/>
      <c r="I74" s="1105">
        <v>480</v>
      </c>
      <c r="J74" s="1212">
        <v>0</v>
      </c>
      <c r="T74" s="1015">
        <v>0</v>
      </c>
    </row>
    <row r="75" spans="2:20">
      <c r="B75" s="1206" t="s">
        <v>327</v>
      </c>
      <c r="C75" s="1113"/>
      <c r="D75" s="1113"/>
      <c r="E75" s="1113"/>
      <c r="F75" s="1113"/>
      <c r="G75" s="1113"/>
      <c r="H75" s="1113"/>
      <c r="I75" s="1105">
        <v>490</v>
      </c>
      <c r="J75" s="1212">
        <v>1</v>
      </c>
      <c r="T75" s="1015">
        <v>0</v>
      </c>
    </row>
    <row r="76" spans="2:20" ht="13.8" thickBot="1">
      <c r="B76" s="1213" t="s">
        <v>328</v>
      </c>
      <c r="C76" s="1192"/>
      <c r="D76" s="1192"/>
      <c r="E76" s="1192"/>
      <c r="F76" s="1192"/>
      <c r="G76" s="1192"/>
      <c r="H76" s="1192"/>
      <c r="I76" s="1214">
        <v>500</v>
      </c>
      <c r="J76" s="1215">
        <v>0</v>
      </c>
      <c r="T76" s="1015">
        <v>0</v>
      </c>
    </row>
    <row r="77" spans="2:20" ht="13.8" thickTop="1"/>
    <row r="80" spans="2:20">
      <c r="D80" s="1216" t="s">
        <v>329</v>
      </c>
      <c r="E80" s="1217"/>
      <c r="F80" s="1217"/>
      <c r="G80" s="1217"/>
      <c r="H80" s="1217"/>
      <c r="I80" s="1217"/>
      <c r="J80" s="1217"/>
      <c r="K80" s="1217"/>
      <c r="L80" s="1217"/>
    </row>
    <row r="81" spans="4:12">
      <c r="D81" s="1216" t="s">
        <v>330</v>
      </c>
      <c r="E81" s="1217"/>
      <c r="F81" s="1217"/>
      <c r="G81" s="1217"/>
      <c r="H81" s="1217"/>
      <c r="I81" s="1217"/>
      <c r="J81" s="1217"/>
      <c r="K81" s="1217"/>
      <c r="L81" s="1217"/>
    </row>
    <row r="82" spans="4:12">
      <c r="D82" s="1216" t="s">
        <v>724</v>
      </c>
      <c r="E82" s="1217"/>
      <c r="F82" s="1218">
        <v>3</v>
      </c>
      <c r="G82" s="1218">
        <v>2</v>
      </c>
      <c r="H82" s="1218">
        <v>2</v>
      </c>
      <c r="I82" s="1217"/>
      <c r="J82" s="1218">
        <v>3</v>
      </c>
      <c r="K82" s="1218">
        <v>3</v>
      </c>
      <c r="L82" s="1217"/>
    </row>
    <row r="83" spans="4:12">
      <c r="D83" s="1216" t="s">
        <v>727</v>
      </c>
      <c r="E83" s="1217"/>
      <c r="F83" s="1218">
        <v>4</v>
      </c>
      <c r="G83" s="1218">
        <v>4</v>
      </c>
      <c r="H83" s="1218">
        <v>4</v>
      </c>
      <c r="I83" s="1217"/>
      <c r="J83" s="1218">
        <v>4</v>
      </c>
      <c r="K83" s="1218">
        <v>4</v>
      </c>
      <c r="L83" s="1217"/>
    </row>
    <row r="84" spans="4:12">
      <c r="D84" s="1216" t="s">
        <v>848</v>
      </c>
      <c r="E84" s="1217"/>
      <c r="F84" s="1218">
        <v>3</v>
      </c>
      <c r="G84" s="1218">
        <v>2</v>
      </c>
      <c r="H84" s="1218">
        <v>2</v>
      </c>
      <c r="I84" s="1217"/>
      <c r="J84" s="1218">
        <v>3</v>
      </c>
      <c r="K84" s="1218">
        <v>3</v>
      </c>
      <c r="L84" s="1217"/>
    </row>
    <row r="85" spans="4:12">
      <c r="D85" s="1216" t="s">
        <v>331</v>
      </c>
      <c r="E85" s="1217"/>
      <c r="F85" s="1218">
        <v>4</v>
      </c>
      <c r="G85" s="1218">
        <v>3</v>
      </c>
      <c r="H85" s="1218">
        <v>4</v>
      </c>
      <c r="I85" s="1217"/>
      <c r="J85" s="1218">
        <v>3</v>
      </c>
      <c r="K85" s="1218">
        <v>3</v>
      </c>
      <c r="L85" s="1217"/>
    </row>
    <row r="86" spans="4:12">
      <c r="D86" s="1216" t="s">
        <v>332</v>
      </c>
      <c r="E86" s="1217"/>
      <c r="F86" s="1218">
        <v>3</v>
      </c>
      <c r="G86" s="1218">
        <v>2</v>
      </c>
      <c r="H86" s="1218">
        <v>2</v>
      </c>
      <c r="I86" s="1217"/>
      <c r="J86" s="1218">
        <v>3</v>
      </c>
      <c r="K86" s="1218">
        <v>3</v>
      </c>
      <c r="L86" s="1217"/>
    </row>
    <row r="87" spans="4:12">
      <c r="D87" s="1216" t="s">
        <v>333</v>
      </c>
      <c r="E87" s="1217"/>
      <c r="F87" s="1217"/>
      <c r="G87" s="1217"/>
      <c r="H87" s="1217"/>
      <c r="I87" s="1217"/>
      <c r="J87" s="1217"/>
      <c r="K87" s="1217"/>
      <c r="L87" s="1217"/>
    </row>
    <row r="88" spans="4:12">
      <c r="D88" s="1216" t="s">
        <v>334</v>
      </c>
      <c r="E88" s="1217"/>
      <c r="F88" s="1218">
        <v>0</v>
      </c>
      <c r="G88" s="1218">
        <v>0</v>
      </c>
      <c r="H88" s="1218">
        <v>0</v>
      </c>
      <c r="I88" s="1217"/>
      <c r="J88" s="1218">
        <v>0</v>
      </c>
      <c r="K88" s="1218">
        <v>0</v>
      </c>
      <c r="L88" s="1217"/>
    </row>
    <row r="89" spans="4:12">
      <c r="D89" s="1216" t="s">
        <v>335</v>
      </c>
      <c r="E89" s="1217"/>
      <c r="F89" s="1218">
        <v>0</v>
      </c>
      <c r="G89" s="1218">
        <v>2</v>
      </c>
      <c r="H89" s="1218">
        <v>2</v>
      </c>
      <c r="I89" s="1217"/>
      <c r="J89" s="1218">
        <v>0</v>
      </c>
      <c r="K89" s="1218">
        <v>0</v>
      </c>
      <c r="L89" s="1217"/>
    </row>
    <row r="90" spans="4:12">
      <c r="D90" s="1217"/>
      <c r="E90" s="1217"/>
      <c r="F90" s="1218">
        <v>0</v>
      </c>
      <c r="G90" s="1218">
        <v>2</v>
      </c>
      <c r="H90" s="1218">
        <v>2</v>
      </c>
      <c r="I90" s="1217"/>
      <c r="J90" s="1218">
        <v>0</v>
      </c>
      <c r="K90" s="1218">
        <v>0</v>
      </c>
      <c r="L90" s="1217"/>
    </row>
    <row r="91" spans="4:12">
      <c r="D91" s="1217"/>
      <c r="E91" s="1217"/>
      <c r="F91" s="1217"/>
      <c r="G91" s="1217"/>
      <c r="H91" s="1217"/>
      <c r="I91" s="1217"/>
      <c r="J91" s="1217"/>
      <c r="K91" s="1217"/>
      <c r="L91" s="1217"/>
    </row>
  </sheetData>
  <phoneticPr fontId="12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2"/>
    <pageSetUpPr fitToPage="1"/>
  </sheetPr>
  <dimension ref="A1:M70"/>
  <sheetViews>
    <sheetView showGridLines="0" workbookViewId="0">
      <selection activeCell="B20" sqref="B20"/>
    </sheetView>
  </sheetViews>
  <sheetFormatPr defaultRowHeight="13.2"/>
  <cols>
    <col min="1" max="1" width="33.6640625" customWidth="1"/>
    <col min="2" max="3" width="14.33203125" customWidth="1"/>
    <col min="4" max="4" width="12.6640625" bestFit="1" customWidth="1"/>
    <col min="5" max="5" width="12.6640625" customWidth="1"/>
    <col min="6" max="6" width="14.33203125" customWidth="1"/>
    <col min="7" max="7" width="0.6640625" customWidth="1"/>
    <col min="8" max="8" width="33.6640625" customWidth="1"/>
    <col min="9" max="13" width="14.33203125" customWidth="1"/>
  </cols>
  <sheetData>
    <row r="1" spans="1:13" ht="21.6" thickBot="1">
      <c r="A1" s="599" t="s">
        <v>1286</v>
      </c>
      <c r="B1" s="600"/>
      <c r="C1" s="600"/>
      <c r="D1" s="600"/>
      <c r="E1" s="601"/>
      <c r="F1" s="745"/>
      <c r="G1" s="753" t="s">
        <v>720</v>
      </c>
      <c r="H1" s="754"/>
      <c r="I1" s="755"/>
      <c r="J1" s="745"/>
      <c r="K1" s="745"/>
      <c r="L1" s="745"/>
      <c r="M1" s="1222" t="s">
        <v>31</v>
      </c>
    </row>
    <row r="2" spans="1:13" ht="7.5" customHeight="1">
      <c r="A2" s="295"/>
      <c r="B2" s="41"/>
      <c r="C2" s="41"/>
      <c r="D2" s="41"/>
      <c r="E2" s="41"/>
      <c r="F2" s="41"/>
      <c r="G2" s="41"/>
      <c r="H2" s="41"/>
      <c r="I2" s="41"/>
      <c r="J2" s="41"/>
      <c r="K2" s="41"/>
      <c r="L2" s="41"/>
      <c r="M2" s="41"/>
    </row>
    <row r="3" spans="1:13" ht="12.75" customHeight="1">
      <c r="A3" s="2129" t="s">
        <v>337</v>
      </c>
      <c r="B3" s="2177"/>
      <c r="C3" s="2177"/>
      <c r="D3" s="2177"/>
      <c r="E3" s="2177"/>
      <c r="F3" s="2177"/>
      <c r="G3" s="2177"/>
      <c r="H3" s="2177"/>
      <c r="I3" s="2177"/>
      <c r="J3" s="2177"/>
      <c r="K3" s="2177"/>
      <c r="L3" s="2177"/>
      <c r="M3" s="2178"/>
    </row>
    <row r="4" spans="1:13">
      <c r="A4" s="2179"/>
      <c r="B4" s="2180"/>
      <c r="C4" s="2180"/>
      <c r="D4" s="2180"/>
      <c r="E4" s="2180"/>
      <c r="F4" s="2180"/>
      <c r="G4" s="2180"/>
      <c r="H4" s="2180"/>
      <c r="I4" s="2180"/>
      <c r="J4" s="2180"/>
      <c r="K4" s="2180"/>
      <c r="L4" s="2180"/>
      <c r="M4" s="2181"/>
    </row>
    <row r="5" spans="1:13" ht="21.75" customHeight="1">
      <c r="A5" s="2182"/>
      <c r="B5" s="2183"/>
      <c r="C5" s="2183"/>
      <c r="D5" s="2183"/>
      <c r="E5" s="2183"/>
      <c r="F5" s="2183"/>
      <c r="G5" s="2183"/>
      <c r="H5" s="2183"/>
      <c r="I5" s="2183"/>
      <c r="J5" s="2183"/>
      <c r="K5" s="2183"/>
      <c r="L5" s="2183"/>
      <c r="M5" s="2184"/>
    </row>
    <row r="6" spans="1:13" ht="4.5" customHeight="1"/>
    <row r="7" spans="1:13">
      <c r="A7" s="69" t="s">
        <v>930</v>
      </c>
      <c r="B7" s="64"/>
      <c r="C7" s="40"/>
      <c r="D7" s="64"/>
      <c r="E7" s="2190" t="s">
        <v>606</v>
      </c>
      <c r="F7" s="2191"/>
      <c r="H7" s="69" t="s">
        <v>944</v>
      </c>
      <c r="I7" s="64"/>
      <c r="J7" s="40"/>
      <c r="K7" s="64"/>
      <c r="L7" s="2190" t="s">
        <v>606</v>
      </c>
      <c r="M7" s="2191"/>
    </row>
    <row r="8" spans="1:13">
      <c r="A8" s="1223"/>
      <c r="B8" s="30"/>
      <c r="C8" s="50" t="s">
        <v>721</v>
      </c>
      <c r="D8" s="50" t="s">
        <v>722</v>
      </c>
      <c r="E8" s="2201" t="s">
        <v>722</v>
      </c>
      <c r="F8" s="2202"/>
      <c r="H8" s="1224"/>
      <c r="I8" s="30"/>
      <c r="J8" s="50" t="s">
        <v>721</v>
      </c>
      <c r="K8" s="50" t="s">
        <v>834</v>
      </c>
      <c r="L8" s="2201" t="s">
        <v>834</v>
      </c>
      <c r="M8" s="2202"/>
    </row>
    <row r="9" spans="1:13" ht="12.75" customHeight="1">
      <c r="A9" s="1225" t="s">
        <v>720</v>
      </c>
      <c r="B9" s="30"/>
      <c r="C9" s="1226">
        <f>C23</f>
        <v>2.75</v>
      </c>
      <c r="D9" s="1226">
        <v>3</v>
      </c>
      <c r="E9" s="2203">
        <f>F23</f>
        <v>3</v>
      </c>
      <c r="F9" s="2204"/>
      <c r="H9" s="1225" t="s">
        <v>720</v>
      </c>
      <c r="I9" s="30"/>
      <c r="J9" s="1226">
        <f>J23</f>
        <v>3</v>
      </c>
      <c r="K9" s="1226">
        <f>L23</f>
        <v>3</v>
      </c>
      <c r="L9" s="2203">
        <f>M23</f>
        <v>3</v>
      </c>
      <c r="M9" s="2204"/>
    </row>
    <row r="10" spans="1:13" ht="12.75" customHeight="1">
      <c r="A10" s="142"/>
      <c r="B10" s="41"/>
      <c r="C10" s="143"/>
      <c r="D10" s="41"/>
      <c r="E10" s="41"/>
      <c r="F10" s="1227"/>
      <c r="H10" s="142"/>
      <c r="I10" s="41"/>
      <c r="J10" s="143"/>
      <c r="K10" s="41"/>
      <c r="L10" s="41"/>
      <c r="M10" s="1227"/>
    </row>
    <row r="11" spans="1:13" ht="4.5" customHeight="1">
      <c r="A11" s="1228"/>
      <c r="C11" s="1229"/>
      <c r="D11" s="29"/>
      <c r="E11" s="29"/>
      <c r="F11" s="1229"/>
      <c r="H11" s="1228"/>
      <c r="J11" s="1229"/>
      <c r="K11" s="29"/>
      <c r="L11" s="29"/>
      <c r="M11" s="1229"/>
    </row>
    <row r="12" spans="1:13" ht="12.75" hidden="1" customHeight="1">
      <c r="A12" s="2129"/>
      <c r="B12" s="2196"/>
      <c r="C12" s="2196"/>
      <c r="D12" s="2196"/>
      <c r="E12" s="2196"/>
      <c r="F12" s="2197"/>
      <c r="H12" s="2129"/>
      <c r="I12" s="2196"/>
      <c r="J12" s="2196"/>
      <c r="K12" s="2196"/>
      <c r="L12" s="2196"/>
      <c r="M12" s="2197"/>
    </row>
    <row r="13" spans="1:13" ht="66" hidden="1" customHeight="1">
      <c r="A13" s="2198"/>
      <c r="B13" s="2199"/>
      <c r="C13" s="2199"/>
      <c r="D13" s="2199"/>
      <c r="E13" s="2199"/>
      <c r="F13" s="2200"/>
      <c r="H13" s="2198"/>
      <c r="I13" s="2199"/>
      <c r="J13" s="2199"/>
      <c r="K13" s="2199"/>
      <c r="L13" s="2199"/>
      <c r="M13" s="2200"/>
    </row>
    <row r="14" spans="1:13" ht="4.5" hidden="1" customHeight="1">
      <c r="A14" s="1230"/>
      <c r="B14" s="1230"/>
      <c r="C14" s="1230"/>
      <c r="D14" s="1230"/>
      <c r="E14" s="1230"/>
      <c r="F14" s="1230"/>
      <c r="H14" s="1230"/>
      <c r="I14" s="1230"/>
      <c r="J14" s="1230"/>
      <c r="K14" s="1230"/>
      <c r="L14" s="1230"/>
      <c r="M14" s="1230"/>
    </row>
    <row r="15" spans="1:13" ht="12.75" customHeight="1">
      <c r="A15" s="69" t="s">
        <v>930</v>
      </c>
      <c r="B15" s="64" t="s">
        <v>721</v>
      </c>
      <c r="C15" s="64" t="s">
        <v>721</v>
      </c>
      <c r="D15" s="64" t="s">
        <v>722</v>
      </c>
      <c r="E15" s="64" t="s">
        <v>722</v>
      </c>
      <c r="F15" s="1006" t="s">
        <v>607</v>
      </c>
      <c r="H15" s="69" t="s">
        <v>944</v>
      </c>
      <c r="I15" s="64" t="s">
        <v>721</v>
      </c>
      <c r="J15" s="64" t="s">
        <v>721</v>
      </c>
      <c r="K15" s="64" t="s">
        <v>834</v>
      </c>
      <c r="L15" s="64" t="s">
        <v>834</v>
      </c>
      <c r="M15" s="1006" t="s">
        <v>607</v>
      </c>
    </row>
    <row r="16" spans="1:13">
      <c r="A16" s="1224"/>
      <c r="B16" s="50" t="s">
        <v>860</v>
      </c>
      <c r="C16" s="50" t="s">
        <v>861</v>
      </c>
      <c r="D16" s="71" t="s">
        <v>860</v>
      </c>
      <c r="E16" s="71" t="s">
        <v>861</v>
      </c>
      <c r="F16" s="562" t="s">
        <v>722</v>
      </c>
      <c r="H16" s="1224"/>
      <c r="I16" s="50" t="s">
        <v>860</v>
      </c>
      <c r="J16" s="50" t="s">
        <v>861</v>
      </c>
      <c r="K16" s="71" t="s">
        <v>860</v>
      </c>
      <c r="L16" s="71" t="s">
        <v>861</v>
      </c>
      <c r="M16" s="562" t="s">
        <v>834</v>
      </c>
    </row>
    <row r="17" spans="1:13">
      <c r="A17" s="1035" t="s">
        <v>724</v>
      </c>
      <c r="B17" s="1231">
        <v>4.2294371151488083E-2</v>
      </c>
      <c r="C17" s="1232">
        <v>2</v>
      </c>
      <c r="D17" s="1036">
        <v>4.3574226342570507E-2</v>
      </c>
      <c r="E17" s="1232">
        <v>2</v>
      </c>
      <c r="F17" s="1233">
        <f t="shared" ref="F17:F23" si="0">E17</f>
        <v>2</v>
      </c>
      <c r="H17" s="1035" t="s">
        <v>724</v>
      </c>
      <c r="I17" s="1234">
        <v>6.0999999999999999E-2</v>
      </c>
      <c r="J17" s="1235">
        <v>3</v>
      </c>
      <c r="K17" s="1236">
        <f t="shared" ref="K17:L21" si="1">I17</f>
        <v>6.0999999999999999E-2</v>
      </c>
      <c r="L17" s="1232">
        <f t="shared" si="1"/>
        <v>3</v>
      </c>
      <c r="M17" s="1233">
        <f t="shared" ref="M17:M23" si="2">L17</f>
        <v>3</v>
      </c>
    </row>
    <row r="18" spans="1:13">
      <c r="A18" s="1035" t="s">
        <v>727</v>
      </c>
      <c r="B18" s="1231">
        <v>1</v>
      </c>
      <c r="C18" s="1232">
        <v>4</v>
      </c>
      <c r="D18" s="1040">
        <v>1.0293891245475577</v>
      </c>
      <c r="E18" s="1232">
        <v>4</v>
      </c>
      <c r="F18" s="1233">
        <f t="shared" si="0"/>
        <v>4</v>
      </c>
      <c r="H18" s="1035" t="s">
        <v>727</v>
      </c>
      <c r="I18" s="1234">
        <v>0.95799999999999996</v>
      </c>
      <c r="J18" s="1235">
        <v>4</v>
      </c>
      <c r="K18" s="1236">
        <f t="shared" si="1"/>
        <v>0.95799999999999996</v>
      </c>
      <c r="L18" s="1232">
        <f t="shared" si="1"/>
        <v>4</v>
      </c>
      <c r="M18" s="1233">
        <f t="shared" si="2"/>
        <v>4</v>
      </c>
    </row>
    <row r="19" spans="1:13">
      <c r="A19" s="1035" t="s">
        <v>829</v>
      </c>
      <c r="B19" s="1231">
        <v>-4.5629989255711479E-3</v>
      </c>
      <c r="C19" s="1232">
        <v>3</v>
      </c>
      <c r="D19" s="1036">
        <v>-4.0170136354100213E-3</v>
      </c>
      <c r="E19" s="1232">
        <v>3</v>
      </c>
      <c r="F19" s="1233">
        <f t="shared" si="0"/>
        <v>3</v>
      </c>
      <c r="H19" s="1035" t="s">
        <v>829</v>
      </c>
      <c r="I19" s="1234">
        <v>1.2999999999999999E-2</v>
      </c>
      <c r="J19" s="1235">
        <v>3</v>
      </c>
      <c r="K19" s="1236">
        <f t="shared" si="1"/>
        <v>1.2999999999999999E-2</v>
      </c>
      <c r="L19" s="1232">
        <f t="shared" si="1"/>
        <v>3</v>
      </c>
      <c r="M19" s="1233">
        <f t="shared" si="2"/>
        <v>3</v>
      </c>
    </row>
    <row r="20" spans="1:13">
      <c r="A20" s="1035" t="s">
        <v>820</v>
      </c>
      <c r="B20" s="1231">
        <v>-9.1307334971407611E-3</v>
      </c>
      <c r="C20" s="1232">
        <v>2</v>
      </c>
      <c r="D20" s="1036">
        <v>-7.9978501842000536E-3</v>
      </c>
      <c r="E20" s="1232">
        <v>2</v>
      </c>
      <c r="F20" s="1233">
        <f t="shared" si="0"/>
        <v>2</v>
      </c>
      <c r="H20" s="1035" t="s">
        <v>820</v>
      </c>
      <c r="I20" s="1234">
        <v>1.2999999999999999E-2</v>
      </c>
      <c r="J20" s="1235">
        <v>3</v>
      </c>
      <c r="K20" s="1236">
        <f t="shared" si="1"/>
        <v>1.2999999999999999E-2</v>
      </c>
      <c r="L20" s="1232">
        <f t="shared" si="1"/>
        <v>3</v>
      </c>
      <c r="M20" s="1233">
        <f t="shared" si="2"/>
        <v>3</v>
      </c>
    </row>
    <row r="21" spans="1:13">
      <c r="A21" s="1035" t="s">
        <v>354</v>
      </c>
      <c r="B21" s="1232">
        <v>17.771457771737033</v>
      </c>
      <c r="C21" s="1232">
        <v>3</v>
      </c>
      <c r="D21" s="1232">
        <v>20.517658588959033</v>
      </c>
      <c r="E21" s="1232">
        <v>3</v>
      </c>
      <c r="F21" s="1233">
        <f t="shared" si="0"/>
        <v>3</v>
      </c>
      <c r="H21" s="1035" t="s">
        <v>354</v>
      </c>
      <c r="I21" s="1232">
        <v>18</v>
      </c>
      <c r="J21" s="1235">
        <v>3</v>
      </c>
      <c r="K21" s="1232">
        <f t="shared" si="1"/>
        <v>18</v>
      </c>
      <c r="L21" s="1232">
        <f t="shared" si="1"/>
        <v>3</v>
      </c>
      <c r="M21" s="1233">
        <f t="shared" si="2"/>
        <v>3</v>
      </c>
    </row>
    <row r="22" spans="1:13">
      <c r="A22" s="1041" t="s">
        <v>835</v>
      </c>
      <c r="B22" s="1237"/>
      <c r="C22" s="1238">
        <v>2.75</v>
      </c>
      <c r="D22" s="1044"/>
      <c r="E22" s="1239">
        <v>3</v>
      </c>
      <c r="F22" s="1240">
        <f t="shared" si="0"/>
        <v>3</v>
      </c>
      <c r="H22" s="1041" t="s">
        <v>835</v>
      </c>
      <c r="I22" s="1237"/>
      <c r="J22" s="1235">
        <v>3</v>
      </c>
      <c r="K22" s="1044"/>
      <c r="L22" s="1239">
        <f>J22</f>
        <v>3</v>
      </c>
      <c r="M22" s="1240">
        <f t="shared" si="2"/>
        <v>3</v>
      </c>
    </row>
    <row r="23" spans="1:13">
      <c r="A23" s="245" t="s">
        <v>861</v>
      </c>
      <c r="B23" s="246"/>
      <c r="C23" s="564">
        <v>2.75</v>
      </c>
      <c r="D23" s="247"/>
      <c r="E23" s="564">
        <v>3</v>
      </c>
      <c r="F23" s="248">
        <f t="shared" si="0"/>
        <v>3</v>
      </c>
      <c r="H23" s="245" t="s">
        <v>861</v>
      </c>
      <c r="I23" s="246"/>
      <c r="J23" s="76">
        <v>3</v>
      </c>
      <c r="K23" s="247"/>
      <c r="L23" s="76">
        <f>J23</f>
        <v>3</v>
      </c>
      <c r="M23" s="248">
        <f t="shared" si="2"/>
        <v>3</v>
      </c>
    </row>
    <row r="24" spans="1:13" ht="4.5" customHeight="1"/>
    <row r="25" spans="1:13" ht="12.75" hidden="1" customHeight="1">
      <c r="A25" s="2129" t="s">
        <v>365</v>
      </c>
      <c r="B25" s="2196"/>
      <c r="C25" s="2196"/>
      <c r="D25" s="2196"/>
      <c r="E25" s="2196"/>
      <c r="F25" s="2197"/>
      <c r="H25" s="2129"/>
      <c r="I25" s="2185"/>
      <c r="J25" s="2185"/>
      <c r="K25" s="2185"/>
      <c r="L25" s="2185"/>
      <c r="M25" s="2186"/>
    </row>
    <row r="26" spans="1:13" hidden="1">
      <c r="A26" s="2198"/>
      <c r="B26" s="2199"/>
      <c r="C26" s="2199"/>
      <c r="D26" s="2199"/>
      <c r="E26" s="2199"/>
      <c r="F26" s="2200"/>
      <c r="H26" s="2187"/>
      <c r="I26" s="2188"/>
      <c r="J26" s="2188"/>
      <c r="K26" s="2188"/>
      <c r="L26" s="2188"/>
      <c r="M26" s="2189"/>
    </row>
    <row r="27" spans="1:13" ht="4.5" customHeight="1"/>
    <row r="29" spans="1:13" ht="12.75" customHeight="1">
      <c r="A29" s="4" t="s">
        <v>838</v>
      </c>
      <c r="B29" s="5" t="s">
        <v>839</v>
      </c>
      <c r="C29" s="5"/>
      <c r="D29" s="2148" t="s">
        <v>840</v>
      </c>
      <c r="E29" s="2148"/>
      <c r="F29" s="2148"/>
      <c r="G29" s="328"/>
      <c r="H29" s="5"/>
      <c r="I29" s="5" t="s">
        <v>841</v>
      </c>
      <c r="J29" s="5"/>
      <c r="K29" s="5"/>
      <c r="L29" s="5"/>
      <c r="M29" s="329"/>
    </row>
    <row r="30" spans="1:13">
      <c r="A30" s="6"/>
      <c r="B30" s="7"/>
      <c r="C30" s="7"/>
      <c r="D30" s="9"/>
      <c r="E30" s="9"/>
      <c r="F30" s="8"/>
      <c r="G30" s="8"/>
      <c r="H30" s="7"/>
      <c r="I30" s="7">
        <v>5</v>
      </c>
      <c r="J30" s="7">
        <v>4</v>
      </c>
      <c r="K30" s="7">
        <v>3</v>
      </c>
      <c r="L30" s="7">
        <v>2</v>
      </c>
      <c r="M30" s="10">
        <v>1</v>
      </c>
    </row>
    <row r="31" spans="1:13">
      <c r="A31" s="11"/>
      <c r="B31" s="12"/>
      <c r="C31" s="12"/>
      <c r="D31" s="13"/>
      <c r="E31" s="13"/>
      <c r="F31" s="14"/>
      <c r="G31" s="14"/>
      <c r="H31" s="13"/>
      <c r="I31" s="13"/>
      <c r="J31" s="13"/>
      <c r="K31" s="13"/>
      <c r="L31" s="13"/>
      <c r="M31" s="15"/>
    </row>
    <row r="32" spans="1:13">
      <c r="A32" s="16" t="s">
        <v>842</v>
      </c>
      <c r="B32" s="12">
        <v>25</v>
      </c>
      <c r="C32" s="1048">
        <v>0.25</v>
      </c>
      <c r="D32" s="17" t="s">
        <v>843</v>
      </c>
      <c r="E32" s="17"/>
      <c r="F32" s="14"/>
      <c r="G32" s="14"/>
      <c r="H32" s="333"/>
      <c r="I32" s="333">
        <v>10.9</v>
      </c>
      <c r="J32" s="333">
        <v>8.9</v>
      </c>
      <c r="K32" s="333">
        <v>4.9000000000000004</v>
      </c>
      <c r="L32" s="333">
        <v>0.9</v>
      </c>
      <c r="M32" s="18" t="s">
        <v>844</v>
      </c>
    </row>
    <row r="33" spans="1:13">
      <c r="A33" s="19" t="s">
        <v>845</v>
      </c>
      <c r="B33" s="12">
        <v>10</v>
      </c>
      <c r="C33" s="1048">
        <v>0.1</v>
      </c>
      <c r="D33" s="17" t="s">
        <v>846</v>
      </c>
      <c r="E33" s="17"/>
      <c r="F33" s="3"/>
      <c r="G33" s="3"/>
      <c r="H33" s="333"/>
      <c r="I33" s="333">
        <v>99.9</v>
      </c>
      <c r="J33" s="333">
        <v>84.9</v>
      </c>
      <c r="K33" s="333">
        <v>69.900000000000006</v>
      </c>
      <c r="L33" s="333">
        <v>49.9</v>
      </c>
      <c r="M33" s="18" t="s">
        <v>847</v>
      </c>
    </row>
    <row r="34" spans="1:13">
      <c r="A34" s="20" t="s">
        <v>848</v>
      </c>
      <c r="B34" s="21">
        <v>40</v>
      </c>
      <c r="C34" s="1048">
        <v>0.2</v>
      </c>
      <c r="D34" s="17" t="s">
        <v>853</v>
      </c>
      <c r="E34" s="17"/>
      <c r="F34" s="3"/>
      <c r="G34" s="3"/>
      <c r="H34" s="333"/>
      <c r="I34" s="333">
        <v>5.9</v>
      </c>
      <c r="J34" s="333">
        <v>4.9000000000000004</v>
      </c>
      <c r="K34" s="333">
        <v>2.9</v>
      </c>
      <c r="L34" s="333">
        <v>-2.0000010000000001</v>
      </c>
      <c r="M34" s="18" t="s">
        <v>854</v>
      </c>
    </row>
    <row r="35" spans="1:13">
      <c r="A35" s="20"/>
      <c r="B35" s="21"/>
      <c r="C35" s="1048">
        <v>0.2</v>
      </c>
      <c r="D35" s="17" t="s">
        <v>855</v>
      </c>
      <c r="E35" s="17"/>
      <c r="F35" s="22"/>
      <c r="G35" s="22"/>
      <c r="H35" s="333"/>
      <c r="I35" s="333">
        <v>2.9</v>
      </c>
      <c r="J35" s="333">
        <v>1.9</v>
      </c>
      <c r="K35" s="333">
        <v>0.9</v>
      </c>
      <c r="L35" s="333">
        <v>-2.0000010000000001</v>
      </c>
      <c r="M35" s="18" t="s">
        <v>854</v>
      </c>
    </row>
    <row r="36" spans="1:13">
      <c r="A36" s="19" t="s">
        <v>856</v>
      </c>
      <c r="B36" s="12">
        <v>25</v>
      </c>
      <c r="C36" s="1048">
        <v>0.25</v>
      </c>
      <c r="D36" s="17" t="s">
        <v>857</v>
      </c>
      <c r="E36" s="17"/>
      <c r="F36" s="3"/>
      <c r="G36" s="3"/>
      <c r="H36" s="333"/>
      <c r="I36" s="333">
        <v>59.9</v>
      </c>
      <c r="J36" s="333">
        <v>24.9</v>
      </c>
      <c r="K36" s="333">
        <v>14.9</v>
      </c>
      <c r="L36" s="333">
        <v>9.9</v>
      </c>
      <c r="M36" s="18" t="s">
        <v>858</v>
      </c>
    </row>
    <row r="37" spans="1:13">
      <c r="A37" s="23"/>
      <c r="B37" s="24"/>
      <c r="C37" s="3"/>
      <c r="D37" s="13"/>
      <c r="E37" s="13"/>
      <c r="F37" s="3"/>
      <c r="G37" s="3"/>
      <c r="H37" s="12"/>
      <c r="I37" s="12"/>
      <c r="J37" s="12"/>
      <c r="K37" s="12"/>
      <c r="L37" s="12"/>
      <c r="M37" s="18"/>
    </row>
    <row r="38" spans="1:13">
      <c r="A38" s="6" t="s">
        <v>859</v>
      </c>
      <c r="B38" s="26"/>
      <c r="C38" s="27"/>
      <c r="D38" s="26"/>
      <c r="E38" s="26"/>
      <c r="F38" s="8"/>
      <c r="G38" s="8"/>
      <c r="H38" s="26"/>
      <c r="I38" s="26"/>
      <c r="J38" s="26"/>
      <c r="K38" s="26"/>
      <c r="L38" s="26"/>
      <c r="M38" s="28"/>
    </row>
    <row r="44" spans="1:13">
      <c r="A44" s="317"/>
    </row>
    <row r="65" spans="1:11">
      <c r="A65" s="36"/>
      <c r="B65" s="40"/>
      <c r="C65" s="40"/>
      <c r="D65" s="40"/>
      <c r="E65" s="40"/>
      <c r="F65" s="40"/>
      <c r="G65" s="40"/>
      <c r="H65" s="40"/>
      <c r="I65" s="40"/>
      <c r="J65" s="40"/>
      <c r="K65" s="59"/>
    </row>
    <row r="66" spans="1:11">
      <c r="A66" s="37"/>
      <c r="B66" s="30"/>
      <c r="C66" s="30"/>
      <c r="D66" s="30"/>
      <c r="E66" s="30"/>
      <c r="F66" s="30"/>
      <c r="G66" s="30"/>
      <c r="H66" s="30"/>
      <c r="I66" s="30"/>
      <c r="J66" s="30"/>
      <c r="K66" s="70"/>
    </row>
    <row r="67" spans="1:11">
      <c r="A67" s="37"/>
      <c r="B67" s="30"/>
      <c r="C67" s="30"/>
      <c r="D67" s="30"/>
      <c r="E67" s="30"/>
      <c r="F67" s="30"/>
      <c r="G67" s="30"/>
      <c r="H67" s="30"/>
      <c r="I67" s="30"/>
      <c r="J67" s="30"/>
      <c r="K67" s="70"/>
    </row>
    <row r="68" spans="1:11">
      <c r="A68" s="37"/>
      <c r="B68" s="30"/>
      <c r="C68" s="30"/>
      <c r="D68" s="30"/>
      <c r="E68" s="30"/>
      <c r="F68" s="30"/>
      <c r="G68" s="30"/>
      <c r="H68" s="30"/>
      <c r="I68" s="30"/>
      <c r="J68" s="30"/>
      <c r="K68" s="70"/>
    </row>
    <row r="69" spans="1:11">
      <c r="A69" s="37"/>
      <c r="B69" s="30"/>
      <c r="C69" s="30"/>
      <c r="D69" s="30"/>
      <c r="E69" s="30"/>
      <c r="F69" s="30"/>
      <c r="G69" s="30"/>
      <c r="H69" s="30"/>
      <c r="I69" s="30"/>
      <c r="J69" s="30"/>
      <c r="K69" s="70"/>
    </row>
    <row r="70" spans="1:11">
      <c r="A70" s="38"/>
      <c r="B70" s="41"/>
      <c r="C70" s="41"/>
      <c r="D70" s="41"/>
      <c r="E70" s="41"/>
      <c r="F70" s="41"/>
      <c r="G70" s="41"/>
      <c r="H70" s="41"/>
      <c r="I70" s="41"/>
      <c r="J70" s="41"/>
      <c r="K70" s="60"/>
    </row>
  </sheetData>
  <mergeCells count="12">
    <mergeCell ref="D29:F29"/>
    <mergeCell ref="A3:M5"/>
    <mergeCell ref="A12:F13"/>
    <mergeCell ref="H12:M13"/>
    <mergeCell ref="A25:F26"/>
    <mergeCell ref="H25:M26"/>
    <mergeCell ref="E7:F7"/>
    <mergeCell ref="E8:F8"/>
    <mergeCell ref="E9:F9"/>
    <mergeCell ref="L7:M7"/>
    <mergeCell ref="L8:M8"/>
    <mergeCell ref="L9:M9"/>
  </mergeCells>
  <phoneticPr fontId="8" type="noConversion"/>
  <printOptions horizontalCentered="1" verticalCentered="1"/>
  <pageMargins left="0.35433070866141736" right="0.35433070866141736" top="0.19685039370078741" bottom="0.39370078740157483" header="0" footer="0.19685039370078741"/>
  <pageSetup paperSize="9" scale="68" orientation="landscape" r:id="rId1"/>
  <headerFooter alignWithMargins="0">
    <oddFooter>&amp;CPage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64"/>
  <sheetViews>
    <sheetView topLeftCell="A46" workbookViewId="0">
      <selection activeCell="F16" sqref="F16"/>
    </sheetView>
  </sheetViews>
  <sheetFormatPr defaultColWidth="9.109375" defaultRowHeight="13.2"/>
  <cols>
    <col min="1" max="3" width="1.5546875" style="1015" customWidth="1"/>
    <col min="4" max="4" width="1.5546875" style="1340" customWidth="1"/>
    <col min="5" max="7" width="9.109375" style="1015"/>
    <col min="8" max="8" width="3.44140625" style="1015" customWidth="1"/>
    <col min="9" max="9" width="8.109375" style="1015" hidden="1" customWidth="1"/>
    <col min="10" max="10" width="8.109375" style="1341" customWidth="1"/>
    <col min="11" max="17" width="8.109375" style="1015" customWidth="1"/>
    <col min="18" max="16384" width="9.109375" style="1015"/>
  </cols>
  <sheetData>
    <row r="1" spans="1:22" ht="13.8" thickBot="1">
      <c r="A1" s="1015" t="s">
        <v>771</v>
      </c>
    </row>
    <row r="2" spans="1:22">
      <c r="I2" s="1342" t="s">
        <v>772</v>
      </c>
      <c r="J2" s="1343" t="s">
        <v>773</v>
      </c>
      <c r="K2" s="1342" t="s">
        <v>774</v>
      </c>
      <c r="L2" s="1342" t="s">
        <v>775</v>
      </c>
      <c r="M2" s="1343" t="s">
        <v>776</v>
      </c>
      <c r="N2" s="1342" t="s">
        <v>777</v>
      </c>
      <c r="O2" s="1343" t="s">
        <v>778</v>
      </c>
      <c r="P2" s="1342" t="s">
        <v>779</v>
      </c>
      <c r="Q2" s="1342" t="s">
        <v>780</v>
      </c>
      <c r="R2" s="1343" t="s">
        <v>781</v>
      </c>
      <c r="T2" s="1344"/>
      <c r="U2" s="1345" t="s">
        <v>782</v>
      </c>
      <c r="V2" s="1346" t="s">
        <v>783</v>
      </c>
    </row>
    <row r="3" spans="1:22">
      <c r="I3" s="1343" t="s">
        <v>784</v>
      </c>
      <c r="J3" s="1343" t="s">
        <v>784</v>
      </c>
      <c r="K3" s="1343" t="s">
        <v>784</v>
      </c>
      <c r="L3" s="1343" t="s">
        <v>784</v>
      </c>
      <c r="M3" s="1343" t="s">
        <v>784</v>
      </c>
      <c r="N3" s="1343" t="s">
        <v>784</v>
      </c>
      <c r="O3" s="1343" t="s">
        <v>784</v>
      </c>
      <c r="P3" s="1343" t="s">
        <v>784</v>
      </c>
      <c r="Q3" s="1343" t="s">
        <v>784</v>
      </c>
      <c r="R3" s="1343" t="s">
        <v>784</v>
      </c>
      <c r="T3" s="1347">
        <v>4</v>
      </c>
      <c r="U3" s="1348">
        <v>0</v>
      </c>
      <c r="V3" s="1349">
        <v>2.5</v>
      </c>
    </row>
    <row r="4" spans="1:22">
      <c r="T4" s="1347">
        <v>3</v>
      </c>
      <c r="U4" s="1348">
        <v>-7</v>
      </c>
      <c r="V4" s="1349">
        <v>1.75</v>
      </c>
    </row>
    <row r="5" spans="1:22">
      <c r="D5" s="1340" t="s">
        <v>785</v>
      </c>
      <c r="T5" s="1347">
        <v>2</v>
      </c>
      <c r="U5" s="1348">
        <v>-14</v>
      </c>
      <c r="V5" s="1349">
        <v>1.25</v>
      </c>
    </row>
    <row r="6" spans="1:22" ht="14.4" thickBot="1">
      <c r="E6" s="1350" t="s">
        <v>786</v>
      </c>
      <c r="I6" s="1351">
        <v>69.819452145468389</v>
      </c>
      <c r="J6" s="1351">
        <v>48.244873586376464</v>
      </c>
      <c r="K6" s="1351">
        <v>53.378354283322388</v>
      </c>
      <c r="L6" s="1351">
        <v>57.976516221989378</v>
      </c>
      <c r="M6" s="1351">
        <v>54.473046163128863</v>
      </c>
      <c r="N6" s="1351">
        <v>50.058543872969828</v>
      </c>
      <c r="O6" s="1351">
        <v>54.814526514635169</v>
      </c>
      <c r="P6" s="1351">
        <v>60.445197993873471</v>
      </c>
      <c r="Q6" s="1351">
        <v>67.032737526138206</v>
      </c>
      <c r="R6" s="1351">
        <v>77.415855021601445</v>
      </c>
      <c r="T6" s="1352">
        <v>1</v>
      </c>
      <c r="U6" s="1353"/>
      <c r="V6" s="1354"/>
    </row>
    <row r="7" spans="1:22" ht="13.8">
      <c r="E7" s="1350" t="s">
        <v>787</v>
      </c>
      <c r="I7" s="1351">
        <v>47</v>
      </c>
      <c r="J7" s="1351"/>
      <c r="K7" s="1351"/>
      <c r="L7" s="1351"/>
      <c r="M7" s="1351"/>
      <c r="N7" s="1351"/>
      <c r="O7" s="1351"/>
      <c r="P7" s="1351"/>
      <c r="Q7" s="1351"/>
      <c r="R7" s="1351"/>
    </row>
    <row r="8" spans="1:22" ht="13.8">
      <c r="E8" s="1350" t="s">
        <v>788</v>
      </c>
      <c r="I8" s="1351">
        <v>-60.163677112214884</v>
      </c>
      <c r="J8" s="1351">
        <v>-55.5505</v>
      </c>
      <c r="K8" s="1351">
        <v>-63.835162949239447</v>
      </c>
      <c r="L8" s="1351">
        <v>-67.539374341249939</v>
      </c>
      <c r="M8" s="1351">
        <v>-60.876128096554076</v>
      </c>
      <c r="N8" s="1351">
        <v>-51.917664860278258</v>
      </c>
      <c r="O8" s="1351">
        <v>-50.570188197100784</v>
      </c>
      <c r="P8" s="1351">
        <v>-49.375060200619473</v>
      </c>
      <c r="Q8" s="1351">
        <v>-46.132182801336405</v>
      </c>
      <c r="R8" s="1351">
        <v>-36.872799650870803</v>
      </c>
    </row>
    <row r="9" spans="1:22" ht="13.8">
      <c r="E9" s="1350" t="s">
        <v>822</v>
      </c>
      <c r="I9" s="1351">
        <v>-8.1359999999999992</v>
      </c>
      <c r="J9" s="1351">
        <v>-8.9220000000000006</v>
      </c>
      <c r="K9" s="1351">
        <v>-8.8219999999999992</v>
      </c>
      <c r="L9" s="1351">
        <v>-8.8219999999999992</v>
      </c>
      <c r="M9" s="1351">
        <v>-8.8219999999999992</v>
      </c>
      <c r="N9" s="1351">
        <v>-8.8219999999999992</v>
      </c>
      <c r="O9" s="1351">
        <v>-8.8219999999999992</v>
      </c>
      <c r="P9" s="1351">
        <v>-8.8219999999999992</v>
      </c>
      <c r="Q9" s="1351">
        <v>-8.8219999999999992</v>
      </c>
      <c r="R9" s="1351">
        <v>-8.8219999999999992</v>
      </c>
    </row>
    <row r="10" spans="1:22" ht="13.8">
      <c r="E10" s="1350" t="s">
        <v>789</v>
      </c>
      <c r="I10" s="1355">
        <v>-5.6440833569315725</v>
      </c>
      <c r="J10" s="1355">
        <v>-1.7040833569315728</v>
      </c>
      <c r="K10" s="1355">
        <v>-1.7040833569315728</v>
      </c>
      <c r="L10" s="1355">
        <v>-1.7040833569315728</v>
      </c>
      <c r="M10" s="1355">
        <v>-1.7040833569315728</v>
      </c>
      <c r="N10" s="1355">
        <v>-1.7040833569315728</v>
      </c>
      <c r="O10" s="1355">
        <v>-1.7040833569315728</v>
      </c>
      <c r="P10" s="1355">
        <v>-1.7040833569315728</v>
      </c>
      <c r="Q10" s="1355">
        <v>-1.7040833569315728</v>
      </c>
      <c r="R10" s="1355">
        <v>-1.7040833569315728</v>
      </c>
    </row>
    <row r="11" spans="1:22">
      <c r="I11" s="1356">
        <f t="shared" ref="I11:N11" si="0">SUM(I6:I10)</f>
        <v>42.875691676321935</v>
      </c>
      <c r="J11" s="1356">
        <f t="shared" si="0"/>
        <v>-17.931709770555109</v>
      </c>
      <c r="K11" s="1356">
        <f t="shared" si="0"/>
        <v>-20.982892022848631</v>
      </c>
      <c r="L11" s="1356">
        <f t="shared" si="0"/>
        <v>-20.088941476192133</v>
      </c>
      <c r="M11" s="1356">
        <f t="shared" si="0"/>
        <v>-16.929165290356785</v>
      </c>
      <c r="N11" s="1356">
        <f t="shared" si="0"/>
        <v>-12.385204344240002</v>
      </c>
      <c r="O11" s="1356">
        <f>SUM(O6:O10)</f>
        <v>-6.2817450393971868</v>
      </c>
      <c r="P11" s="1356">
        <f>SUM(P6:P10)</f>
        <v>0.54405443632242645</v>
      </c>
      <c r="Q11" s="1356">
        <f>SUM(Q6:Q10)</f>
        <v>10.374471367870228</v>
      </c>
      <c r="R11" s="1356">
        <f>SUM(R6:R10)</f>
        <v>30.016972013799069</v>
      </c>
    </row>
    <row r="12" spans="1:22">
      <c r="D12" s="1340" t="s">
        <v>790</v>
      </c>
      <c r="I12" s="1351"/>
      <c r="J12" s="1351"/>
      <c r="K12" s="1351"/>
      <c r="L12" s="1351"/>
      <c r="M12" s="1351"/>
      <c r="N12" s="1351"/>
      <c r="O12" s="1351"/>
      <c r="P12" s="1351"/>
      <c r="Q12" s="1351"/>
      <c r="R12" s="1351"/>
    </row>
    <row r="13" spans="1:22">
      <c r="E13" s="1015" t="s">
        <v>791</v>
      </c>
      <c r="I13" s="1356">
        <v>572.11973</v>
      </c>
      <c r="J13" s="1356">
        <v>562.45231066410508</v>
      </c>
      <c r="K13" s="1356">
        <v>454.26701199629429</v>
      </c>
      <c r="L13" s="1356">
        <v>455.0409346839586</v>
      </c>
      <c r="M13" s="1356">
        <v>461.30015605849377</v>
      </c>
      <c r="N13" s="1356">
        <v>468.64266004313259</v>
      </c>
      <c r="O13" s="1356">
        <v>487.56159537131475</v>
      </c>
      <c r="P13" s="1356">
        <v>490.64221213433382</v>
      </c>
      <c r="Q13" s="1356">
        <v>497.01271617569324</v>
      </c>
      <c r="R13" s="1356">
        <v>505.29496377382367</v>
      </c>
    </row>
    <row r="14" spans="1:22">
      <c r="I14" s="1351"/>
      <c r="J14" s="1351"/>
      <c r="K14" s="1351"/>
      <c r="L14" s="1351"/>
      <c r="M14" s="1351"/>
      <c r="N14" s="1351"/>
      <c r="O14" s="1351"/>
      <c r="P14" s="1351"/>
      <c r="Q14" s="1351"/>
      <c r="R14" s="1351"/>
    </row>
    <row r="15" spans="1:22">
      <c r="D15" s="1340" t="s">
        <v>792</v>
      </c>
      <c r="I15" s="1351"/>
      <c r="J15" s="1351"/>
      <c r="K15" s="1351"/>
      <c r="L15" s="1351"/>
      <c r="M15" s="1351"/>
      <c r="N15" s="1351"/>
      <c r="O15" s="1351"/>
      <c r="P15" s="1351"/>
      <c r="Q15" s="1351"/>
      <c r="R15" s="1351"/>
    </row>
    <row r="16" spans="1:22">
      <c r="E16" s="1015" t="s">
        <v>793</v>
      </c>
      <c r="I16" s="1351">
        <v>-2.1312448296555431E-2</v>
      </c>
      <c r="J16" s="1351">
        <v>0.75099070998570738</v>
      </c>
      <c r="K16" s="1351">
        <v>-4.605025389548409</v>
      </c>
      <c r="L16" s="1351">
        <v>2.7124015270485273</v>
      </c>
      <c r="M16" s="1351">
        <v>2.9143055975999914</v>
      </c>
      <c r="N16" s="1351">
        <v>3.4597256519992641</v>
      </c>
      <c r="O16" s="1351">
        <v>-70.429226969666956</v>
      </c>
      <c r="P16" s="1351">
        <v>2.4259367306215864</v>
      </c>
      <c r="Q16" s="1351">
        <v>4.0140835982144978</v>
      </c>
      <c r="R16" s="1351">
        <v>-29.747852295247796</v>
      </c>
    </row>
    <row r="17" spans="4:18">
      <c r="E17" s="1015" t="s">
        <v>600</v>
      </c>
      <c r="I17" s="1351">
        <v>3.2130000000000001</v>
      </c>
      <c r="J17" s="1351">
        <v>7</v>
      </c>
      <c r="K17" s="1351">
        <v>10</v>
      </c>
      <c r="L17" s="1351">
        <v>3</v>
      </c>
      <c r="M17" s="1351">
        <v>3</v>
      </c>
      <c r="N17" s="1351">
        <v>3</v>
      </c>
      <c r="O17" s="1351">
        <v>76.066000000000003</v>
      </c>
      <c r="P17" s="1351">
        <v>3</v>
      </c>
      <c r="Q17" s="1351">
        <v>3</v>
      </c>
      <c r="R17" s="1351">
        <v>40.832999999999998</v>
      </c>
    </row>
    <row r="18" spans="4:18">
      <c r="E18" s="1015" t="s">
        <v>794</v>
      </c>
      <c r="I18" s="1351">
        <v>7.2729999999999997</v>
      </c>
      <c r="J18" s="1351">
        <v>7.1159999999999988</v>
      </c>
      <c r="K18" s="1351">
        <v>7.6219774999999998</v>
      </c>
      <c r="L18" s="1351">
        <v>10.081177499999999</v>
      </c>
      <c r="M18" s="1351">
        <v>13.447525000000001</v>
      </c>
      <c r="N18" s="1351">
        <v>15.586830000000003</v>
      </c>
      <c r="O18" s="1351">
        <v>16.858205000000002</v>
      </c>
      <c r="P18" s="1351">
        <v>18.120025000000002</v>
      </c>
      <c r="Q18" s="1351">
        <v>19.506025000000001</v>
      </c>
      <c r="R18" s="1351">
        <v>20.242355000000003</v>
      </c>
    </row>
    <row r="19" spans="4:18">
      <c r="E19" s="1015" t="s">
        <v>933</v>
      </c>
      <c r="I19" s="1351">
        <v>19.724</v>
      </c>
      <c r="J19" s="1351">
        <v>21.690999999999999</v>
      </c>
      <c r="K19" s="1351">
        <v>23.835000000000001</v>
      </c>
      <c r="L19" s="1351">
        <v>25.312999999999999</v>
      </c>
      <c r="M19" s="1351">
        <v>24.312999999999999</v>
      </c>
      <c r="N19" s="1351">
        <v>23.344999999999999</v>
      </c>
      <c r="O19" s="1351">
        <v>24.521999999999998</v>
      </c>
      <c r="P19" s="1351">
        <v>26.23</v>
      </c>
      <c r="Q19" s="1351">
        <v>27.565000000000001</v>
      </c>
      <c r="R19" s="1351">
        <v>29.11</v>
      </c>
    </row>
    <row r="20" spans="4:18">
      <c r="E20" s="1015" t="s">
        <v>21</v>
      </c>
      <c r="I20" s="1351">
        <v>2.4559999999708531</v>
      </c>
      <c r="J20" s="1351">
        <v>3.5129940614003599</v>
      </c>
      <c r="K20" s="1351">
        <v>3.7343177069003599</v>
      </c>
      <c r="L20" s="1351">
        <v>3.5936968740000004</v>
      </c>
      <c r="M20" s="1351">
        <v>3.5439383980000003</v>
      </c>
      <c r="N20" s="1351">
        <v>3.4312389219999999</v>
      </c>
      <c r="O20" s="1351">
        <v>3.0925984459999998</v>
      </c>
      <c r="P20" s="1351">
        <v>3.3299579699999997</v>
      </c>
      <c r="Q20" s="1351">
        <v>3.4603174939999999</v>
      </c>
      <c r="R20" s="1351">
        <v>3.405677018</v>
      </c>
    </row>
    <row r="21" spans="4:18">
      <c r="E21" s="1015" t="s">
        <v>795</v>
      </c>
      <c r="I21" s="1355">
        <v>-0.41799999999999998</v>
      </c>
      <c r="J21" s="1355">
        <v>0</v>
      </c>
      <c r="K21" s="1355">
        <v>0</v>
      </c>
      <c r="L21" s="1355">
        <v>0</v>
      </c>
      <c r="M21" s="1355">
        <v>0</v>
      </c>
      <c r="N21" s="1355">
        <v>0</v>
      </c>
      <c r="O21" s="1355">
        <v>0</v>
      </c>
      <c r="P21" s="1355">
        <v>0</v>
      </c>
      <c r="Q21" s="1355">
        <v>0</v>
      </c>
      <c r="R21" s="1355">
        <v>0</v>
      </c>
    </row>
    <row r="22" spans="4:18">
      <c r="I22" s="1356">
        <f t="shared" ref="I22:N22" si="1">SUM(I16:I21)</f>
        <v>32.226687551674296</v>
      </c>
      <c r="J22" s="1356">
        <f t="shared" si="1"/>
        <v>40.070984771386065</v>
      </c>
      <c r="K22" s="1356">
        <f t="shared" si="1"/>
        <v>40.586269817351955</v>
      </c>
      <c r="L22" s="1356">
        <f t="shared" si="1"/>
        <v>44.700275901048528</v>
      </c>
      <c r="M22" s="1356">
        <f t="shared" si="1"/>
        <v>47.218768995599994</v>
      </c>
      <c r="N22" s="1356">
        <f t="shared" si="1"/>
        <v>48.822794573999268</v>
      </c>
      <c r="O22" s="1356">
        <f>SUM(O16:O21)</f>
        <v>50.109576476333046</v>
      </c>
      <c r="P22" s="1356">
        <f>SUM(P16:P21)</f>
        <v>53.105919700621591</v>
      </c>
      <c r="Q22" s="1356">
        <f>SUM(Q16:Q21)</f>
        <v>57.545426092214505</v>
      </c>
      <c r="R22" s="1356">
        <f>SUM(R16:R21)</f>
        <v>63.843179722752204</v>
      </c>
    </row>
    <row r="23" spans="4:18">
      <c r="D23" s="1340" t="s">
        <v>796</v>
      </c>
      <c r="I23" s="1351"/>
      <c r="J23" s="1351"/>
      <c r="K23" s="1351"/>
      <c r="L23" s="1351"/>
      <c r="M23" s="1351"/>
      <c r="N23" s="1351"/>
      <c r="O23" s="1351"/>
      <c r="P23" s="1351"/>
      <c r="Q23" s="1351"/>
      <c r="R23" s="1351"/>
    </row>
    <row r="24" spans="4:18">
      <c r="E24" s="1357" t="s">
        <v>797</v>
      </c>
      <c r="I24" s="1351">
        <v>2.4559999999708531</v>
      </c>
      <c r="J24" s="1351">
        <v>3.5129940614003599</v>
      </c>
      <c r="K24" s="1351">
        <v>3.7343177069003599</v>
      </c>
      <c r="L24" s="1351">
        <v>3.5936968740000004</v>
      </c>
      <c r="M24" s="1351">
        <v>3.5439383980000003</v>
      </c>
      <c r="N24" s="1351">
        <v>3.4312389219999999</v>
      </c>
      <c r="O24" s="1351">
        <v>3.0925984459999998</v>
      </c>
      <c r="P24" s="1351">
        <v>3.3299579699999997</v>
      </c>
      <c r="Q24" s="1351">
        <v>3.4603174939999999</v>
      </c>
      <c r="R24" s="1351">
        <v>3.405677018</v>
      </c>
    </row>
    <row r="25" spans="4:18" ht="13.8">
      <c r="E25" s="1358" t="s">
        <v>798</v>
      </c>
      <c r="I25" s="1359">
        <v>4.6970000000000001</v>
      </c>
      <c r="J25" s="1359">
        <v>5.8120000000000003</v>
      </c>
      <c r="K25" s="1359">
        <v>6.5449999999999999</v>
      </c>
      <c r="L25" s="1359">
        <v>6.266</v>
      </c>
      <c r="M25" s="1359">
        <v>5.0880000000000001</v>
      </c>
      <c r="N25" s="1359">
        <v>3.5379999999999998</v>
      </c>
      <c r="O25" s="1359">
        <v>2.5880000000000001</v>
      </c>
      <c r="P25" s="1359">
        <v>3.387</v>
      </c>
      <c r="Q25" s="1359">
        <v>3.907</v>
      </c>
      <c r="R25" s="1359">
        <v>3.9020000000000001</v>
      </c>
    </row>
    <row r="26" spans="4:18">
      <c r="E26" s="1015" t="s">
        <v>794</v>
      </c>
      <c r="I26" s="1355">
        <f t="shared" ref="I26:R26" si="2">+I18</f>
        <v>7.2729999999999997</v>
      </c>
      <c r="J26" s="1355">
        <f t="shared" si="2"/>
        <v>7.1159999999999988</v>
      </c>
      <c r="K26" s="1355">
        <f t="shared" si="2"/>
        <v>7.6219774999999998</v>
      </c>
      <c r="L26" s="1355">
        <f t="shared" si="2"/>
        <v>10.081177499999999</v>
      </c>
      <c r="M26" s="1355">
        <f t="shared" si="2"/>
        <v>13.447525000000001</v>
      </c>
      <c r="N26" s="1355">
        <f t="shared" si="2"/>
        <v>15.586830000000003</v>
      </c>
      <c r="O26" s="1355">
        <f t="shared" si="2"/>
        <v>16.858205000000002</v>
      </c>
      <c r="P26" s="1355">
        <f t="shared" si="2"/>
        <v>18.120025000000002</v>
      </c>
      <c r="Q26" s="1355">
        <f t="shared" si="2"/>
        <v>19.506025000000001</v>
      </c>
      <c r="R26" s="1355">
        <f t="shared" si="2"/>
        <v>20.242355000000003</v>
      </c>
    </row>
    <row r="27" spans="4:18">
      <c r="I27" s="1356">
        <f t="shared" ref="I27:N27" si="3">SUM(I24:I26)</f>
        <v>14.425999999970852</v>
      </c>
      <c r="J27" s="1356">
        <f t="shared" si="3"/>
        <v>16.44099406140036</v>
      </c>
      <c r="K27" s="1356">
        <f t="shared" si="3"/>
        <v>17.901295206900357</v>
      </c>
      <c r="L27" s="1356">
        <f t="shared" si="3"/>
        <v>19.940874374</v>
      </c>
      <c r="M27" s="1356">
        <f t="shared" si="3"/>
        <v>22.079463398000001</v>
      </c>
      <c r="N27" s="1356">
        <f t="shared" si="3"/>
        <v>22.556068922000001</v>
      </c>
      <c r="O27" s="1356">
        <f>SUM(O24:O26)</f>
        <v>22.538803446000003</v>
      </c>
      <c r="P27" s="1356">
        <f>SUM(P24:P26)</f>
        <v>24.836982970000001</v>
      </c>
      <c r="Q27" s="1356">
        <f>SUM(Q24:Q26)</f>
        <v>26.873342493999999</v>
      </c>
      <c r="R27" s="1356">
        <f>SUM(R24:R26)</f>
        <v>27.550032018000003</v>
      </c>
    </row>
    <row r="28" spans="4:18">
      <c r="I28" s="1360"/>
      <c r="J28" s="1360"/>
      <c r="K28" s="1360"/>
      <c r="L28" s="1360"/>
      <c r="M28" s="1360"/>
      <c r="N28" s="1360"/>
      <c r="O28" s="1360"/>
      <c r="P28" s="1360"/>
      <c r="Q28" s="1360"/>
      <c r="R28" s="1360"/>
    </row>
    <row r="29" spans="4:18">
      <c r="I29" s="1360"/>
      <c r="J29" s="1360"/>
      <c r="K29" s="1360"/>
      <c r="L29" s="1360"/>
      <c r="M29" s="1360"/>
      <c r="N29" s="1360"/>
      <c r="O29" s="1360"/>
      <c r="P29" s="1360"/>
      <c r="Q29" s="1360"/>
      <c r="R29" s="1360"/>
    </row>
    <row r="30" spans="4:18">
      <c r="D30" s="1018" t="s">
        <v>799</v>
      </c>
      <c r="E30" s="1020"/>
      <c r="F30" s="1020"/>
      <c r="G30" s="1020"/>
      <c r="H30" s="1020"/>
      <c r="I30" s="1361">
        <f t="shared" ref="I30:R30" si="4">+I11*360/I13</f>
        <v>26.979053848529041</v>
      </c>
      <c r="J30" s="1361">
        <f t="shared" si="4"/>
        <v>-11.477267307832246</v>
      </c>
      <c r="K30" s="1361">
        <f t="shared" si="4"/>
        <v>-16.628636746106338</v>
      </c>
      <c r="L30" s="1361">
        <f t="shared" si="4"/>
        <v>-15.893117256477268</v>
      </c>
      <c r="M30" s="1361">
        <f t="shared" si="4"/>
        <v>-13.211570437352394</v>
      </c>
      <c r="N30" s="1361">
        <f t="shared" si="4"/>
        <v>-9.5140155689540435</v>
      </c>
      <c r="O30" s="1361">
        <f t="shared" si="4"/>
        <v>-4.6382410666712577</v>
      </c>
      <c r="P30" s="1361">
        <f t="shared" si="4"/>
        <v>0.3991902698792838</v>
      </c>
      <c r="Q30" s="1361">
        <f t="shared" si="4"/>
        <v>7.5145153652628727</v>
      </c>
      <c r="R30" s="1362">
        <f t="shared" si="4"/>
        <v>21.38574634558324</v>
      </c>
    </row>
    <row r="31" spans="4:18">
      <c r="D31" s="1363"/>
      <c r="E31" s="1017" t="s">
        <v>800</v>
      </c>
      <c r="F31" s="1017"/>
      <c r="G31" s="1017"/>
      <c r="H31" s="1017"/>
      <c r="I31" s="1172">
        <f>IF(I30&gt;-2.0001,4,IF(I30&gt;-7.0001,3,IF(I30&gt;-12.0001,2,1)))</f>
        <v>4</v>
      </c>
      <c r="J31" s="1172">
        <f>IF(J30&gt;-0.0001,4,IF(J30&gt;-7.0001,3,IF(J30&gt;-14.0001,2,1)))</f>
        <v>2</v>
      </c>
      <c r="K31" s="1172">
        <f t="shared" ref="K31:R31" si="5">IF(K30&gt;-0.0001,4,IF(K30&gt;-7.0001,3,IF(K30&gt;-14.0001,2,1)))</f>
        <v>1</v>
      </c>
      <c r="L31" s="1172">
        <f t="shared" si="5"/>
        <v>1</v>
      </c>
      <c r="M31" s="1172">
        <f t="shared" si="5"/>
        <v>2</v>
      </c>
      <c r="N31" s="1172">
        <f t="shared" si="5"/>
        <v>2</v>
      </c>
      <c r="O31" s="1172">
        <f t="shared" si="5"/>
        <v>3</v>
      </c>
      <c r="P31" s="1172">
        <f t="shared" si="5"/>
        <v>4</v>
      </c>
      <c r="Q31" s="1172">
        <f t="shared" si="5"/>
        <v>4</v>
      </c>
      <c r="R31" s="1364">
        <f t="shared" si="5"/>
        <v>4</v>
      </c>
    </row>
    <row r="32" spans="4:18">
      <c r="I32" s="1360"/>
      <c r="J32" s="1360"/>
      <c r="K32" s="1360"/>
      <c r="L32" s="1360"/>
      <c r="M32" s="1360"/>
      <c r="N32" s="1360"/>
      <c r="O32" s="1360"/>
      <c r="P32" s="1360"/>
      <c r="Q32" s="1360"/>
      <c r="R32" s="1360"/>
    </row>
    <row r="33" spans="3:18">
      <c r="C33" s="1053"/>
      <c r="D33" s="1365" t="s">
        <v>801</v>
      </c>
      <c r="E33" s="1020"/>
      <c r="F33" s="1020"/>
      <c r="G33" s="1020"/>
      <c r="H33" s="1020"/>
      <c r="I33" s="1366">
        <f t="shared" ref="I33:R33" si="6">+I22/I27</f>
        <v>2.2339309269194101</v>
      </c>
      <c r="J33" s="1366">
        <f t="shared" si="6"/>
        <v>2.4372604613648905</v>
      </c>
      <c r="K33" s="1366">
        <f t="shared" si="6"/>
        <v>2.2672253235457114</v>
      </c>
      <c r="L33" s="1366">
        <f t="shared" si="6"/>
        <v>2.2416407155812177</v>
      </c>
      <c r="M33" s="1366">
        <f t="shared" si="6"/>
        <v>2.1385831776997422</v>
      </c>
      <c r="N33" s="1366">
        <f t="shared" si="6"/>
        <v>2.1645081305093941</v>
      </c>
      <c r="O33" s="1366">
        <f t="shared" si="6"/>
        <v>2.2232580623185689</v>
      </c>
      <c r="P33" s="1366">
        <f t="shared" si="6"/>
        <v>2.1381791727589041</v>
      </c>
      <c r="Q33" s="1366">
        <f t="shared" si="6"/>
        <v>2.1413572243595174</v>
      </c>
      <c r="R33" s="1367">
        <f t="shared" si="6"/>
        <v>2.3173541025665534</v>
      </c>
    </row>
    <row r="34" spans="3:18">
      <c r="C34" s="1053"/>
      <c r="D34" s="1368"/>
      <c r="E34" s="1017" t="s">
        <v>800</v>
      </c>
      <c r="F34" s="1017"/>
      <c r="G34" s="1017"/>
      <c r="H34" s="1017"/>
      <c r="I34" s="1172">
        <f t="shared" ref="I34:N34" si="7">IF(I33&gt;2.4999,4,IF(I33&gt;1.7499,3,IF(I33&gt;1.2499,2,1)))</f>
        <v>3</v>
      </c>
      <c r="J34" s="1172">
        <f t="shared" si="7"/>
        <v>3</v>
      </c>
      <c r="K34" s="1172">
        <f t="shared" si="7"/>
        <v>3</v>
      </c>
      <c r="L34" s="1172">
        <f t="shared" si="7"/>
        <v>3</v>
      </c>
      <c r="M34" s="1172">
        <f t="shared" si="7"/>
        <v>3</v>
      </c>
      <c r="N34" s="1172">
        <f t="shared" si="7"/>
        <v>3</v>
      </c>
      <c r="O34" s="1172">
        <f>IF(O33&gt;2.4999,4,IF(O33&gt;1.7499,3,IF(O33&gt;1.2499,2,1)))</f>
        <v>3</v>
      </c>
      <c r="P34" s="1172">
        <f>IF(P33&gt;2.4999,4,IF(P33&gt;1.7499,3,IF(P33&gt;1.2499,2,1)))</f>
        <v>3</v>
      </c>
      <c r="Q34" s="1172">
        <f>IF(Q33&gt;2.4999,4,IF(Q33&gt;1.7499,3,IF(Q33&gt;1.2499,2,1)))</f>
        <v>3</v>
      </c>
      <c r="R34" s="1364">
        <f>IF(R33&gt;2.4999,4,IF(R33&gt;1.7499,3,IF(R33&gt;1.2499,2,1)))</f>
        <v>3</v>
      </c>
    </row>
    <row r="35" spans="3:18" ht="13.8" thickBot="1"/>
    <row r="36" spans="3:18" ht="13.8" thickBot="1">
      <c r="D36" s="1369" t="s">
        <v>802</v>
      </c>
      <c r="E36" s="1370"/>
      <c r="F36" s="1370"/>
      <c r="G36" s="1370"/>
      <c r="H36" s="1370"/>
      <c r="I36" s="1371">
        <f t="shared" ref="I36:R36" si="8">(I31+I34)/2</f>
        <v>3.5</v>
      </c>
      <c r="J36" s="1371">
        <f t="shared" si="8"/>
        <v>2.5</v>
      </c>
      <c r="K36" s="1371">
        <f t="shared" si="8"/>
        <v>2</v>
      </c>
      <c r="L36" s="1371">
        <f t="shared" si="8"/>
        <v>2</v>
      </c>
      <c r="M36" s="1371">
        <f t="shared" si="8"/>
        <v>2.5</v>
      </c>
      <c r="N36" s="1371">
        <f t="shared" si="8"/>
        <v>2.5</v>
      </c>
      <c r="O36" s="1371">
        <f t="shared" si="8"/>
        <v>3</v>
      </c>
      <c r="P36" s="1371">
        <f t="shared" si="8"/>
        <v>3.5</v>
      </c>
      <c r="Q36" s="1371">
        <f t="shared" si="8"/>
        <v>3.5</v>
      </c>
      <c r="R36" s="1372">
        <f t="shared" si="8"/>
        <v>3.5</v>
      </c>
    </row>
    <row r="38" spans="3:18">
      <c r="D38" s="1340" t="s">
        <v>803</v>
      </c>
    </row>
    <row r="39" spans="3:18">
      <c r="D39" s="1373" t="s">
        <v>804</v>
      </c>
      <c r="I39" s="1359">
        <f t="shared" ref="I39:R39" si="9">IF(I$31=1,"infinite",I$11-VLOOKUP(I$31,$T$3:$V$6,2,FALSE)*I$13/360)</f>
        <v>42.875691676321935</v>
      </c>
      <c r="J39" s="1359">
        <f t="shared" si="9"/>
        <v>3.9414356441600908</v>
      </c>
      <c r="K39" s="1359" t="str">
        <f t="shared" si="9"/>
        <v>infinite</v>
      </c>
      <c r="L39" s="1359" t="str">
        <f t="shared" si="9"/>
        <v>infinite</v>
      </c>
      <c r="M39" s="1359">
        <f t="shared" si="9"/>
        <v>1.0102852230290829</v>
      </c>
      <c r="N39" s="1359">
        <f t="shared" si="9"/>
        <v>5.8397879907707093</v>
      </c>
      <c r="O39" s="1359">
        <f t="shared" si="9"/>
        <v>3.1986193150450433</v>
      </c>
      <c r="P39" s="1359">
        <f t="shared" si="9"/>
        <v>0.54405443632242645</v>
      </c>
      <c r="Q39" s="1359">
        <f t="shared" si="9"/>
        <v>10.374471367870228</v>
      </c>
      <c r="R39" s="1359">
        <f t="shared" si="9"/>
        <v>30.016972013799069</v>
      </c>
    </row>
    <row r="40" spans="3:18">
      <c r="D40" s="1373" t="s">
        <v>805</v>
      </c>
      <c r="I40" s="1359" t="str">
        <f t="shared" ref="I40:R40" si="10">IF(I$31=1,"infinite",IF(I$11&gt;0,"N/A",I$13-I$11*360/VLOOKUP(I$31,$T$3:$V$6,2,FALSE)))</f>
        <v>N/A</v>
      </c>
      <c r="J40" s="1359">
        <f t="shared" si="10"/>
        <v>101.35120227840224</v>
      </c>
      <c r="K40" s="1359" t="str">
        <f t="shared" si="10"/>
        <v>infinite</v>
      </c>
      <c r="L40" s="1359" t="str">
        <f t="shared" si="10"/>
        <v>infinite</v>
      </c>
      <c r="M40" s="1359">
        <f t="shared" si="10"/>
        <v>25.978762877890745</v>
      </c>
      <c r="N40" s="1359">
        <f t="shared" si="10"/>
        <v>150.16597690553255</v>
      </c>
      <c r="O40" s="1359">
        <f t="shared" si="10"/>
        <v>164.50042191660231</v>
      </c>
      <c r="P40" s="1359" t="str">
        <f t="shared" si="10"/>
        <v>N/A</v>
      </c>
      <c r="Q40" s="1359" t="str">
        <f t="shared" si="10"/>
        <v>N/A</v>
      </c>
      <c r="R40" s="1359" t="str">
        <f t="shared" si="10"/>
        <v>N/A</v>
      </c>
    </row>
    <row r="41" spans="3:18">
      <c r="D41" s="1373" t="s">
        <v>806</v>
      </c>
      <c r="I41" s="1359">
        <f t="shared" ref="I41:R41" si="11">IF(I$34=1,"infinite",I$22-VLOOKUP(I$34,$T$3:$V$6,3,FALSE)*I$27)</f>
        <v>6.9811875517253057</v>
      </c>
      <c r="J41" s="1359">
        <f t="shared" si="11"/>
        <v>11.299245163935435</v>
      </c>
      <c r="K41" s="1359">
        <f t="shared" si="11"/>
        <v>9.2590032052763291</v>
      </c>
      <c r="L41" s="1359">
        <f t="shared" si="11"/>
        <v>9.8037457465485289</v>
      </c>
      <c r="M41" s="1359">
        <f t="shared" si="11"/>
        <v>8.5797080490999917</v>
      </c>
      <c r="N41" s="1359">
        <f t="shared" si="11"/>
        <v>9.3496739604992669</v>
      </c>
      <c r="O41" s="1359">
        <f t="shared" si="11"/>
        <v>10.666670445833041</v>
      </c>
      <c r="P41" s="1359">
        <f t="shared" si="11"/>
        <v>9.6411995031215909</v>
      </c>
      <c r="Q41" s="1359">
        <f t="shared" si="11"/>
        <v>10.517076727714503</v>
      </c>
      <c r="R41" s="1359">
        <f t="shared" si="11"/>
        <v>15.630623691252197</v>
      </c>
    </row>
    <row r="42" spans="3:18">
      <c r="D42" s="1373" t="s">
        <v>807</v>
      </c>
      <c r="I42" s="1359">
        <f t="shared" ref="I42:R42" si="12">IF(I$34=1,"infinite",I$22/VLOOKUP(I$34,$T$3:$V$6,3,FALSE)-I$27)</f>
        <v>3.9892500295573186</v>
      </c>
      <c r="J42" s="1359">
        <f t="shared" si="12"/>
        <v>6.4567115222488205</v>
      </c>
      <c r="K42" s="1359">
        <f t="shared" si="12"/>
        <v>5.2908589744436156</v>
      </c>
      <c r="L42" s="1359">
        <f t="shared" si="12"/>
        <v>5.6021404265991599</v>
      </c>
      <c r="M42" s="1359">
        <f t="shared" si="12"/>
        <v>4.9026903137714228</v>
      </c>
      <c r="N42" s="1359">
        <f t="shared" si="12"/>
        <v>5.3426708345710097</v>
      </c>
      <c r="O42" s="1359">
        <f t="shared" si="12"/>
        <v>6.0952402547617375</v>
      </c>
      <c r="P42" s="1359">
        <f t="shared" si="12"/>
        <v>5.5092568589266229</v>
      </c>
      <c r="Q42" s="1359">
        <f t="shared" si="12"/>
        <v>6.0097581301225773</v>
      </c>
      <c r="R42" s="1359">
        <f t="shared" si="12"/>
        <v>8.9317849664298308</v>
      </c>
    </row>
    <row r="43" spans="3:18">
      <c r="J43" s="1015"/>
    </row>
    <row r="44" spans="3:18">
      <c r="D44" s="1340" t="s">
        <v>808</v>
      </c>
    </row>
    <row r="45" spans="3:18">
      <c r="D45" s="1373" t="s">
        <v>809</v>
      </c>
      <c r="I45" s="1359" t="str">
        <f t="shared" ref="I45:N45" si="13">IF(I$31=4,"N/A",VLOOKUP(I$31+1,$T$3:$V$6,2,FALSE)*I13/360-I11)</f>
        <v>N/A</v>
      </c>
      <c r="J45" s="1359">
        <f t="shared" si="13"/>
        <v>6.9951370631975092</v>
      </c>
      <c r="K45" s="1359">
        <f t="shared" si="13"/>
        <v>3.3169526674371852</v>
      </c>
      <c r="L45" s="1359">
        <f t="shared" si="13"/>
        <v>2.3929051273715203</v>
      </c>
      <c r="M45" s="1359">
        <f t="shared" si="13"/>
        <v>7.9594400336638511</v>
      </c>
      <c r="N45" s="1359">
        <f t="shared" si="13"/>
        <v>3.2727081767346462</v>
      </c>
      <c r="O45" s="1359">
        <f>IF(O$31=4,"N/A",VLOOKUP(O$31+1,$T$3:$V$6,2,FALSE)*O13/360-O11)</f>
        <v>6.2817450393971868</v>
      </c>
      <c r="P45" s="1359" t="str">
        <f>IF(P$31=4,"N/A",VLOOKUP(P$31+1,$T$3:$V$6,2,FALSE)*P13/360-P11)</f>
        <v>N/A</v>
      </c>
      <c r="Q45" s="1359" t="str">
        <f>IF(Q$31=4,"N/A",VLOOKUP(Q$31+1,$T$3:$V$6,2,FALSE)*Q13/360-Q11)</f>
        <v>N/A</v>
      </c>
      <c r="R45" s="1359" t="str">
        <f>IF(R$31=4,"N/A",VLOOKUP(R$31+1,$T$3:$V$6,2,FALSE)*R13/360-R11)</f>
        <v>N/A</v>
      </c>
    </row>
    <row r="46" spans="3:18">
      <c r="D46" s="1373" t="s">
        <v>810</v>
      </c>
      <c r="I46" s="1359" t="str">
        <f t="shared" ref="I46:P46" si="14">IF(I$31=4,"N/A",(I11*360)/VLOOKUP(I$31+1,$T$3:$V$6,2,FALSE)-I13)</f>
        <v>N/A</v>
      </c>
      <c r="J46" s="1359">
        <f t="shared" si="14"/>
        <v>359.7499061073006</v>
      </c>
      <c r="K46" s="1359">
        <f t="shared" si="14"/>
        <v>85.29306859124199</v>
      </c>
      <c r="L46" s="1359">
        <f t="shared" si="14"/>
        <v>61.531846132410521</v>
      </c>
      <c r="M46" s="1359">
        <f t="shared" si="14"/>
        <v>409.34263030271228</v>
      </c>
      <c r="N46" s="1359">
        <f>IF(N$31=4,"N/A",(N11*360)/VLOOKUP(N$31+1,$T$3:$V$6,2,FALSE)-N13)</f>
        <v>168.3107062320675</v>
      </c>
      <c r="O46" s="1374" t="e">
        <f>IF(O$31=4,"N/A",(O11*360)/VLOOKUP(O$31+1,$T$3:$V$6,2,FALSE)-O13)</f>
        <v>#DIV/0!</v>
      </c>
      <c r="P46" s="1359" t="str">
        <f t="shared" si="14"/>
        <v>N/A</v>
      </c>
      <c r="Q46" s="1359" t="str">
        <f>IF(Q$31=4,"N/A",(Q11*360)/VLOOKUP(Q$31+1,$T$3:$V$6,2,FALSE)-Q13)</f>
        <v>N/A</v>
      </c>
      <c r="R46" s="1359" t="str">
        <f>IF(R$31=4,"N/A",(R11*360)/VLOOKUP(R$31+1,$T$3:$V$6,2,FALSE)-R13)</f>
        <v>N/A</v>
      </c>
    </row>
    <row r="47" spans="3:18">
      <c r="D47" s="1373" t="s">
        <v>811</v>
      </c>
      <c r="I47" s="1359">
        <f t="shared" ref="I47:N47" si="15">IF(I$34=4,"N/A",VLOOKUP(I$34+1,$T$3:$V$6,3,FALSE)*I27-I22)</f>
        <v>3.8383124482528359</v>
      </c>
      <c r="J47" s="1359">
        <f t="shared" si="15"/>
        <v>1.0315003821148352</v>
      </c>
      <c r="K47" s="1359">
        <f t="shared" si="15"/>
        <v>4.166968199898939</v>
      </c>
      <c r="L47" s="1359">
        <f t="shared" si="15"/>
        <v>5.1519100339514736</v>
      </c>
      <c r="M47" s="1359">
        <f t="shared" si="15"/>
        <v>7.9798894994000094</v>
      </c>
      <c r="N47" s="1359">
        <f t="shared" si="15"/>
        <v>7.5673777310007395</v>
      </c>
      <c r="O47" s="1359">
        <f>IF(O$34=4,"N/A",VLOOKUP(O$34+1,$T$3:$V$6,3,FALSE)*O27-O22)</f>
        <v>6.2374321386669607</v>
      </c>
      <c r="P47" s="1359">
        <f>IF(P$34=4,"N/A",VLOOKUP(P$34+1,$T$3:$V$6,3,FALSE)*P27-P22)</f>
        <v>8.9865377243784152</v>
      </c>
      <c r="Q47" s="1359">
        <f>IF(Q$34=4,"N/A",VLOOKUP(Q$34+1,$T$3:$V$6,3,FALSE)*Q27-Q22)</f>
        <v>9.6379301427854855</v>
      </c>
      <c r="R47" s="1359">
        <f>IF(R$34=4,"N/A",VLOOKUP(R$34+1,$T$3:$V$6,3,FALSE)*R27-R22)</f>
        <v>5.0319003222478003</v>
      </c>
    </row>
    <row r="48" spans="3:18">
      <c r="D48" s="1373" t="s">
        <v>812</v>
      </c>
      <c r="I48" s="1359">
        <f t="shared" ref="I48:N48" si="16">IF(I$34=4,"N/A",I27-(I22/VLOOKUP(I$34+1,$T$3:$V$6,3,FALSE)))</f>
        <v>1.5353249793011337</v>
      </c>
      <c r="J48" s="1359">
        <f t="shared" si="16"/>
        <v>0.41260015284593266</v>
      </c>
      <c r="K48" s="1359">
        <f t="shared" si="16"/>
        <v>1.6667872799595749</v>
      </c>
      <c r="L48" s="1359">
        <f t="shared" si="16"/>
        <v>2.060764013580588</v>
      </c>
      <c r="M48" s="1359">
        <f t="shared" si="16"/>
        <v>3.1919557997600023</v>
      </c>
      <c r="N48" s="1359">
        <f t="shared" si="16"/>
        <v>3.0269510924002958</v>
      </c>
      <c r="O48" s="1359">
        <f>IF(O$34=4,"N/A",O27-(O22/VLOOKUP(O$34+1,$T$3:$V$6,3,FALSE)))</f>
        <v>2.4949728554667843</v>
      </c>
      <c r="P48" s="1359">
        <f>IF(P$34=4,"N/A",P27-(P22/VLOOKUP(P$34+1,$T$3:$V$6,3,FALSE)))</f>
        <v>3.5946150897513647</v>
      </c>
      <c r="Q48" s="1359">
        <f>IF(Q$34=4,"N/A",Q27-(Q22/VLOOKUP(Q$34+1,$T$3:$V$6,3,FALSE)))</f>
        <v>3.8551720571141956</v>
      </c>
      <c r="R48" s="1359">
        <f>IF(R$34=4,"N/A",R27-(R22/VLOOKUP(R$34+1,$T$3:$V$6,3,FALSE)))</f>
        <v>2.0127601288991208</v>
      </c>
    </row>
    <row r="49" spans="4:18">
      <c r="D49" s="1373"/>
      <c r="I49" s="1359"/>
      <c r="J49" s="1359"/>
      <c r="K49" s="1359"/>
      <c r="L49" s="1359"/>
      <c r="M49" s="1359"/>
      <c r="N49" s="1359"/>
      <c r="O49" s="1359"/>
      <c r="P49" s="1359"/>
      <c r="Q49" s="1359"/>
      <c r="R49" s="1359"/>
    </row>
    <row r="52" spans="4:18" ht="13.8" thickBot="1">
      <c r="D52" s="1340" t="s">
        <v>813</v>
      </c>
    </row>
    <row r="53" spans="4:18" ht="13.8" thickBot="1">
      <c r="D53" s="1375"/>
      <c r="E53" s="1376"/>
      <c r="F53" s="1376"/>
      <c r="G53" s="1376"/>
      <c r="H53" s="1376"/>
      <c r="I53" s="1377" t="s">
        <v>772</v>
      </c>
      <c r="J53" s="1378" t="s">
        <v>773</v>
      </c>
      <c r="K53" s="1377" t="s">
        <v>774</v>
      </c>
      <c r="L53" s="1377" t="s">
        <v>775</v>
      </c>
      <c r="M53" s="1378" t="s">
        <v>776</v>
      </c>
      <c r="N53" s="1377" t="s">
        <v>777</v>
      </c>
      <c r="O53" s="1377" t="s">
        <v>777</v>
      </c>
      <c r="P53" s="1377" t="s">
        <v>777</v>
      </c>
      <c r="Q53" s="1377" t="s">
        <v>777</v>
      </c>
      <c r="R53" s="1379" t="s">
        <v>777</v>
      </c>
    </row>
    <row r="54" spans="4:18" ht="7.5" customHeight="1">
      <c r="D54" s="1380"/>
      <c r="E54" s="1381"/>
      <c r="F54" s="1381"/>
      <c r="G54" s="1381"/>
      <c r="H54" s="1382"/>
      <c r="I54" s="1382"/>
      <c r="J54" s="1383"/>
      <c r="K54" s="1382"/>
      <c r="L54" s="1382"/>
      <c r="M54" s="1382"/>
      <c r="N54" s="1382"/>
      <c r="O54" s="1382"/>
      <c r="P54" s="1382"/>
      <c r="Q54" s="1382"/>
      <c r="R54" s="1382"/>
    </row>
    <row r="55" spans="4:18">
      <c r="D55" s="1384" t="s">
        <v>799</v>
      </c>
      <c r="E55" s="1385"/>
      <c r="F55" s="1385"/>
      <c r="G55" s="1385"/>
      <c r="H55" s="1385"/>
      <c r="I55" s="1386">
        <v>26.979053848529041</v>
      </c>
      <c r="J55" s="1386">
        <v>-11.477267307832246</v>
      </c>
      <c r="K55" s="1386">
        <v>-16.628636746106338</v>
      </c>
      <c r="L55" s="1386">
        <v>-15.893117256477268</v>
      </c>
      <c r="M55" s="1386">
        <v>-13.211570437352394</v>
      </c>
      <c r="N55" s="1386">
        <v>-9.5140155689540435</v>
      </c>
      <c r="O55" s="1386">
        <v>-4.6382410666712577</v>
      </c>
      <c r="P55" s="1386">
        <v>0.3991902698792838</v>
      </c>
      <c r="Q55" s="1386">
        <v>7.5145153652628727</v>
      </c>
      <c r="R55" s="1387">
        <v>21.38574634558324</v>
      </c>
    </row>
    <row r="56" spans="4:18">
      <c r="D56" s="1388"/>
      <c r="E56" s="1389" t="s">
        <v>800</v>
      </c>
      <c r="F56" s="1389"/>
      <c r="G56" s="1389"/>
      <c r="H56" s="1389"/>
      <c r="I56" s="1390">
        <v>4</v>
      </c>
      <c r="J56" s="1390">
        <v>2</v>
      </c>
      <c r="K56" s="1390">
        <v>1</v>
      </c>
      <c r="L56" s="1390">
        <v>1</v>
      </c>
      <c r="M56" s="1390">
        <v>1</v>
      </c>
      <c r="N56" s="1390">
        <v>2</v>
      </c>
      <c r="O56" s="1390">
        <v>3</v>
      </c>
      <c r="P56" s="1390">
        <v>4</v>
      </c>
      <c r="Q56" s="1390">
        <v>4</v>
      </c>
      <c r="R56" s="1391">
        <v>4</v>
      </c>
    </row>
    <row r="57" spans="4:18" ht="7.5" customHeight="1">
      <c r="D57" s="1380"/>
      <c r="E57" s="1381"/>
      <c r="F57" s="1381"/>
      <c r="G57" s="1381"/>
      <c r="H57" s="1381"/>
      <c r="I57" s="1392"/>
      <c r="J57" s="1392"/>
      <c r="K57" s="1392"/>
      <c r="L57" s="1392"/>
      <c r="M57" s="1392"/>
      <c r="N57" s="1392"/>
      <c r="O57" s="1392"/>
      <c r="P57" s="1392"/>
      <c r="Q57" s="1392"/>
      <c r="R57" s="1392"/>
    </row>
    <row r="58" spans="4:18">
      <c r="D58" s="1384" t="s">
        <v>801</v>
      </c>
      <c r="E58" s="1385"/>
      <c r="F58" s="1385"/>
      <c r="G58" s="1385"/>
      <c r="H58" s="1385"/>
      <c r="I58" s="1393">
        <v>2.2339309269194101</v>
      </c>
      <c r="J58" s="1393">
        <v>2.4372604613648905</v>
      </c>
      <c r="K58" s="1393">
        <v>2.2672253235457114</v>
      </c>
      <c r="L58" s="1393">
        <v>2.2416407155812177</v>
      </c>
      <c r="M58" s="1393">
        <v>2.1385831776997422</v>
      </c>
      <c r="N58" s="1393">
        <v>2.1645081305093941</v>
      </c>
      <c r="O58" s="1393">
        <v>2.2232580623185689</v>
      </c>
      <c r="P58" s="1393">
        <v>2.1381791727589041</v>
      </c>
      <c r="Q58" s="1393">
        <v>2.1413572243595174</v>
      </c>
      <c r="R58" s="1394">
        <v>2.3173541025665534</v>
      </c>
    </row>
    <row r="59" spans="4:18">
      <c r="D59" s="1388"/>
      <c r="E59" s="1389" t="s">
        <v>800</v>
      </c>
      <c r="F59" s="1389"/>
      <c r="G59" s="1389"/>
      <c r="H59" s="1389"/>
      <c r="I59" s="1390">
        <v>3</v>
      </c>
      <c r="J59" s="1390">
        <v>3</v>
      </c>
      <c r="K59" s="1390">
        <v>3</v>
      </c>
      <c r="L59" s="1390">
        <v>3</v>
      </c>
      <c r="M59" s="1390">
        <v>3</v>
      </c>
      <c r="N59" s="1390">
        <v>3</v>
      </c>
      <c r="O59" s="1390">
        <v>3</v>
      </c>
      <c r="P59" s="1390">
        <v>3</v>
      </c>
      <c r="Q59" s="1390">
        <v>3</v>
      </c>
      <c r="R59" s="1391">
        <v>3</v>
      </c>
    </row>
    <row r="60" spans="4:18" ht="6.75" customHeight="1" thickBot="1">
      <c r="D60" s="1380"/>
      <c r="E60" s="1381"/>
      <c r="F60" s="1381"/>
      <c r="G60" s="1381"/>
      <c r="H60" s="1381"/>
      <c r="I60" s="1381"/>
      <c r="J60" s="1395"/>
      <c r="K60" s="1381"/>
      <c r="L60" s="1381"/>
      <c r="M60" s="1381"/>
      <c r="N60" s="1381"/>
      <c r="O60" s="1381"/>
      <c r="P60" s="1381"/>
      <c r="Q60" s="1381"/>
      <c r="R60" s="1381"/>
    </row>
    <row r="61" spans="4:18" ht="13.8" thickBot="1">
      <c r="D61" s="1375" t="s">
        <v>802</v>
      </c>
      <c r="E61" s="1376"/>
      <c r="F61" s="1376"/>
      <c r="G61" s="1376"/>
      <c r="H61" s="1376"/>
      <c r="I61" s="1396">
        <v>3.5</v>
      </c>
      <c r="J61" s="1396">
        <v>2.5</v>
      </c>
      <c r="K61" s="1396">
        <v>2</v>
      </c>
      <c r="L61" s="1396">
        <v>2</v>
      </c>
      <c r="M61" s="1396">
        <v>2</v>
      </c>
      <c r="N61" s="1396">
        <v>2.5</v>
      </c>
      <c r="O61" s="1396">
        <v>3</v>
      </c>
      <c r="P61" s="1396">
        <v>3.5</v>
      </c>
      <c r="Q61" s="1396">
        <v>3.5</v>
      </c>
      <c r="R61" s="1397">
        <v>3.5</v>
      </c>
    </row>
    <row r="62" spans="4:18" ht="7.5" customHeight="1">
      <c r="H62" s="1023"/>
      <c r="I62" s="1023"/>
      <c r="J62" s="1398"/>
      <c r="K62" s="1023"/>
      <c r="L62" s="1023"/>
      <c r="M62" s="1023"/>
      <c r="N62" s="1023"/>
      <c r="O62" s="1023"/>
      <c r="P62" s="1023"/>
      <c r="Q62" s="1023"/>
      <c r="R62" s="1023"/>
    </row>
    <row r="63" spans="4:18">
      <c r="E63" s="1399" t="s">
        <v>814</v>
      </c>
      <c r="F63" s="1399"/>
      <c r="G63" s="1399"/>
      <c r="H63" s="1400"/>
      <c r="I63" s="1401">
        <v>3</v>
      </c>
      <c r="J63" s="1401">
        <v>3</v>
      </c>
      <c r="K63" s="1401">
        <v>3</v>
      </c>
      <c r="L63" s="1401">
        <v>3</v>
      </c>
      <c r="M63" s="1401">
        <v>3</v>
      </c>
      <c r="N63" s="1401">
        <v>3</v>
      </c>
      <c r="O63" s="1401">
        <v>3</v>
      </c>
      <c r="P63" s="1401">
        <v>4</v>
      </c>
      <c r="Q63" s="1401">
        <v>4</v>
      </c>
      <c r="R63" s="1401">
        <v>4</v>
      </c>
    </row>
    <row r="64" spans="4:18">
      <c r="D64" s="1373" t="s">
        <v>815</v>
      </c>
    </row>
  </sheetData>
  <phoneticPr fontId="129" type="noConversion"/>
  <pageMargins left="0.47244094488188981" right="0.31496062992125984" top="0.19685039370078741" bottom="0.19685039370078741" header="0.51181102362204722" footer="0.51181102362204722"/>
  <pageSetup paperSize="9" scale="8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65"/>
  <sheetViews>
    <sheetView topLeftCell="A13" workbookViewId="0">
      <selection activeCell="Q25" sqref="Q25"/>
    </sheetView>
  </sheetViews>
  <sheetFormatPr defaultColWidth="9.109375" defaultRowHeight="13.2"/>
  <cols>
    <col min="1" max="3" width="1.5546875" style="1015" customWidth="1"/>
    <col min="4" max="4" width="1.5546875" style="1340" customWidth="1"/>
    <col min="5" max="6" width="37.109375" style="1015" customWidth="1"/>
    <col min="7" max="7" width="9.109375" style="1015"/>
    <col min="8" max="9" width="8.109375" style="1341" customWidth="1"/>
    <col min="10" max="12" width="8.109375" style="1015" customWidth="1"/>
    <col min="13" max="16384" width="9.109375" style="1015"/>
  </cols>
  <sheetData>
    <row r="1" spans="1:15" ht="13.8" thickBot="1">
      <c r="A1" s="1015" t="s">
        <v>771</v>
      </c>
      <c r="K1" s="1745" t="s">
        <v>1157</v>
      </c>
      <c r="L1" s="1744">
        <v>2</v>
      </c>
    </row>
    <row r="2" spans="1:15">
      <c r="H2" s="1343" t="s">
        <v>833</v>
      </c>
      <c r="I2" s="1343"/>
      <c r="J2" s="1342" t="s">
        <v>834</v>
      </c>
      <c r="K2" s="1342"/>
      <c r="L2" s="1342"/>
      <c r="M2" s="1344"/>
      <c r="N2" s="1345" t="s">
        <v>782</v>
      </c>
      <c r="O2" s="1346" t="s">
        <v>783</v>
      </c>
    </row>
    <row r="3" spans="1:15">
      <c r="H3" s="1343" t="s">
        <v>784</v>
      </c>
      <c r="I3" s="1343"/>
      <c r="J3" s="1343" t="s">
        <v>784</v>
      </c>
      <c r="K3" s="1343"/>
      <c r="L3" s="1343"/>
      <c r="M3" s="1347">
        <v>4</v>
      </c>
      <c r="N3" s="1460">
        <v>0</v>
      </c>
      <c r="O3" s="1461">
        <v>2.5</v>
      </c>
    </row>
    <row r="4" spans="1:15">
      <c r="H4" s="1445" t="s">
        <v>1204</v>
      </c>
      <c r="M4" s="1347">
        <v>3</v>
      </c>
      <c r="N4" s="1460">
        <v>-7</v>
      </c>
      <c r="O4" s="1461">
        <v>1.75</v>
      </c>
    </row>
    <row r="5" spans="1:15">
      <c r="D5" s="1340" t="s">
        <v>785</v>
      </c>
      <c r="M5" s="1347">
        <v>2</v>
      </c>
      <c r="N5" s="1460">
        <v>-14</v>
      </c>
      <c r="O5" s="1461">
        <v>1.25</v>
      </c>
    </row>
    <row r="6" spans="1:15" ht="14.4" thickBot="1">
      <c r="E6" s="1350" t="s">
        <v>786</v>
      </c>
      <c r="F6" s="1350"/>
      <c r="H6" s="1446">
        <f>SOFP!D18/1000</f>
        <v>65.052999999999997</v>
      </c>
      <c r="I6" s="1351"/>
      <c r="J6" s="1446">
        <f>SOFP!N18/1000</f>
        <v>58.247</v>
      </c>
      <c r="K6" s="1351"/>
      <c r="L6" s="1351"/>
      <c r="M6" s="1352">
        <v>1</v>
      </c>
      <c r="N6" s="1353"/>
      <c r="O6" s="1354"/>
    </row>
    <row r="7" spans="1:15" ht="13.8">
      <c r="E7" s="1350" t="s">
        <v>787</v>
      </c>
      <c r="F7" s="1350"/>
      <c r="H7" s="1351"/>
      <c r="I7" s="1351"/>
      <c r="J7" s="1351"/>
      <c r="K7" s="1351"/>
      <c r="L7" s="1351"/>
    </row>
    <row r="8" spans="1:15" ht="13.8">
      <c r="E8" s="1350" t="s">
        <v>788</v>
      </c>
      <c r="F8" s="1350"/>
      <c r="H8" s="1446">
        <f>SOFP!D24/1000</f>
        <v>-82.995000000000005</v>
      </c>
      <c r="I8" s="1446"/>
      <c r="J8" s="1446">
        <f>SOFP!N24/1000</f>
        <v>-77.087000000000003</v>
      </c>
      <c r="K8" s="1351"/>
      <c r="L8" s="1351"/>
    </row>
    <row r="9" spans="1:15" ht="13.8">
      <c r="E9" s="1350" t="s">
        <v>822</v>
      </c>
      <c r="F9" s="1350"/>
      <c r="H9" s="1446">
        <f>SOFP!D14/-1000</f>
        <v>-7.48</v>
      </c>
      <c r="I9" s="1446"/>
      <c r="J9" s="1446">
        <f>SOFP!N14/-1000</f>
        <v>-7.7130000000000001</v>
      </c>
      <c r="K9" s="1351"/>
      <c r="L9" s="1351"/>
    </row>
    <row r="10" spans="1:15" ht="13.8">
      <c r="E10" s="1350" t="s">
        <v>789</v>
      </c>
      <c r="F10" s="1350"/>
      <c r="H10" s="1447">
        <f>SOFP!D17/-1000</f>
        <v>-6.3E-2</v>
      </c>
      <c r="I10" s="1447"/>
      <c r="J10" s="1447">
        <f>SOFP!N17/-1000</f>
        <v>-6.3E-2</v>
      </c>
      <c r="K10" s="1359"/>
      <c r="L10" s="1359"/>
    </row>
    <row r="11" spans="1:15">
      <c r="H11" s="1356">
        <f>SUM(H6:H10)</f>
        <v>-25.485000000000007</v>
      </c>
      <c r="I11" s="1356"/>
      <c r="J11" s="1356">
        <f>SUM(J6:J10)</f>
        <v>-26.616000000000003</v>
      </c>
      <c r="K11" s="1356"/>
      <c r="L11" s="1356"/>
    </row>
    <row r="12" spans="1:15">
      <c r="D12" s="1340" t="s">
        <v>790</v>
      </c>
      <c r="H12" s="1351"/>
      <c r="I12" s="1351"/>
      <c r="J12" s="1351"/>
      <c r="K12" s="1351"/>
      <c r="L12" s="1351"/>
    </row>
    <row r="13" spans="1:15">
      <c r="E13" s="1015" t="s">
        <v>791</v>
      </c>
      <c r="H13" s="1448">
        <f>((Surplus!C18+Surplus!C19)/1000)/L1*12</f>
        <v>563.87205000000017</v>
      </c>
      <c r="I13" s="1448"/>
      <c r="J13" s="1448">
        <f>(Surplus!H18+Surplus!H19)/1000</f>
        <v>533.90493800000013</v>
      </c>
      <c r="K13" s="1356"/>
      <c r="L13" s="1356" t="s">
        <v>1064</v>
      </c>
    </row>
    <row r="14" spans="1:15">
      <c r="H14" s="1351"/>
      <c r="I14" s="1351"/>
      <c r="J14" s="1351"/>
      <c r="K14" s="1351"/>
      <c r="L14" s="1351"/>
    </row>
    <row r="15" spans="1:15">
      <c r="D15" s="1340" t="s">
        <v>792</v>
      </c>
      <c r="H15" s="1351"/>
      <c r="I15" s="1351"/>
      <c r="J15" s="1351"/>
      <c r="K15" s="1351"/>
      <c r="L15" s="1351"/>
    </row>
    <row r="16" spans="1:15">
      <c r="E16" s="1015" t="s">
        <v>793</v>
      </c>
      <c r="H16" s="1351"/>
      <c r="I16" s="1351"/>
      <c r="J16" s="1351"/>
      <c r="K16" s="1351"/>
      <c r="L16" s="1351"/>
    </row>
    <row r="17" spans="4:12">
      <c r="E17" s="1015" t="s">
        <v>600</v>
      </c>
      <c r="H17" s="1351"/>
      <c r="I17" s="1351"/>
      <c r="J17" s="1351"/>
      <c r="K17" s="1351"/>
      <c r="L17" s="1351"/>
    </row>
    <row r="18" spans="4:12">
      <c r="E18" s="1015" t="s">
        <v>794</v>
      </c>
      <c r="H18" s="1351"/>
      <c r="I18" s="1351"/>
      <c r="J18" s="1351"/>
      <c r="K18" s="1351"/>
      <c r="L18" s="1351"/>
    </row>
    <row r="19" spans="4:12">
      <c r="E19" s="1015" t="s">
        <v>933</v>
      </c>
      <c r="H19" s="1351"/>
      <c r="I19" s="1351"/>
      <c r="J19" s="1351"/>
      <c r="K19" s="1351"/>
      <c r="L19" s="1351"/>
    </row>
    <row r="20" spans="4:12">
      <c r="E20" s="1015" t="s">
        <v>21</v>
      </c>
      <c r="H20" s="1351"/>
      <c r="I20" s="1351"/>
      <c r="J20" s="1351"/>
      <c r="K20" s="1351"/>
      <c r="L20" s="1351"/>
    </row>
    <row r="21" spans="4:12">
      <c r="E21" s="1015" t="s">
        <v>795</v>
      </c>
      <c r="H21" s="1355">
        <v>0</v>
      </c>
      <c r="I21" s="1355"/>
      <c r="J21" s="1355">
        <v>0</v>
      </c>
      <c r="K21" s="1359"/>
      <c r="L21" s="1359"/>
    </row>
    <row r="22" spans="4:12">
      <c r="G22" s="1015" t="s">
        <v>1065</v>
      </c>
      <c r="H22" s="1448">
        <f>-Surplus!C20/1000</f>
        <v>-5.6915130000000422</v>
      </c>
      <c r="I22" s="1356"/>
      <c r="J22" s="1448">
        <f>Surplus!H20/-1000</f>
        <v>17.948039999999978</v>
      </c>
      <c r="K22" s="1449" t="s">
        <v>1066</v>
      </c>
      <c r="L22" s="1356"/>
    </row>
    <row r="23" spans="4:12">
      <c r="D23" s="1340" t="s">
        <v>796</v>
      </c>
      <c r="H23" s="1351"/>
      <c r="I23" s="1351"/>
      <c r="J23" s="1351"/>
      <c r="K23" s="1351"/>
      <c r="L23" s="1351"/>
    </row>
    <row r="24" spans="4:12">
      <c r="E24" s="1357" t="s">
        <v>797</v>
      </c>
      <c r="F24" s="1357"/>
      <c r="H24" s="1446">
        <f>Surplus!C24/1000</f>
        <v>0.88283500000000004</v>
      </c>
      <c r="I24" s="1446"/>
      <c r="J24" s="1446">
        <f>Surplus!H24/1000</f>
        <v>5.5868390000000003</v>
      </c>
      <c r="K24" s="1351"/>
      <c r="L24" s="1351"/>
    </row>
    <row r="25" spans="4:12" ht="13.8">
      <c r="E25" s="1358" t="s">
        <v>798</v>
      </c>
      <c r="F25" s="1358"/>
      <c r="H25" s="1359">
        <f>J25/12*L1</f>
        <v>1.0016666666666667</v>
      </c>
      <c r="I25" s="1359"/>
      <c r="J25" s="1359">
        <f>Cash!H32/-1000</f>
        <v>6.01</v>
      </c>
      <c r="K25" s="1610" t="s">
        <v>636</v>
      </c>
      <c r="L25" s="1359"/>
    </row>
    <row r="26" spans="4:12">
      <c r="E26" s="1015" t="s">
        <v>794</v>
      </c>
      <c r="H26" s="1447">
        <f>Surplus!C28/1000</f>
        <v>1.1659999999999999</v>
      </c>
      <c r="I26" s="1447"/>
      <c r="J26" s="1447">
        <f>Surplus!H28/1000</f>
        <v>7.3849999999999998</v>
      </c>
      <c r="K26" s="1359"/>
      <c r="L26" s="1359"/>
    </row>
    <row r="27" spans="4:12">
      <c r="H27" s="1356">
        <f>SUM(H24:H26)</f>
        <v>3.0505016666666664</v>
      </c>
      <c r="I27" s="1356"/>
      <c r="J27" s="1356">
        <f>SUM(J24:J26)</f>
        <v>18.981839000000001</v>
      </c>
      <c r="K27" s="1356"/>
      <c r="L27" s="1356"/>
    </row>
    <row r="28" spans="4:12">
      <c r="H28" s="1360"/>
      <c r="I28" s="1360"/>
      <c r="J28" s="1360"/>
      <c r="K28" s="1360"/>
      <c r="L28" s="1360"/>
    </row>
    <row r="29" spans="4:12">
      <c r="H29" s="1360"/>
      <c r="I29" s="1360"/>
      <c r="J29" s="1360"/>
      <c r="K29" s="1360"/>
      <c r="L29" s="1360"/>
    </row>
    <row r="30" spans="4:12">
      <c r="D30" s="1018" t="s">
        <v>799</v>
      </c>
      <c r="E30" s="1020"/>
      <c r="F30" s="1020"/>
      <c r="G30" s="1020"/>
      <c r="H30" s="1361">
        <f>+H11*360/H13</f>
        <v>-16.270712478123361</v>
      </c>
      <c r="I30" s="1361"/>
      <c r="J30" s="1361">
        <f>+J11*360/J13</f>
        <v>-17.94656561127367</v>
      </c>
      <c r="K30" s="1359"/>
      <c r="L30" s="1359"/>
    </row>
    <row r="31" spans="4:12">
      <c r="D31" s="1363"/>
      <c r="E31" s="1017" t="s">
        <v>800</v>
      </c>
      <c r="F31" s="1017"/>
      <c r="G31" s="1017"/>
      <c r="H31" s="1172">
        <f>IF(H30&gt;-0.0001,4,IF(H30&gt;-7.0001,3,IF(H30&gt;-14.0001,2,1)))</f>
        <v>1</v>
      </c>
      <c r="I31" s="1172"/>
      <c r="J31" s="1172">
        <f>IF(J30&gt;-0.0001,4,IF(J30&gt;-7.0001,3,IF(J30&gt;-14.0001,2,1)))</f>
        <v>1</v>
      </c>
      <c r="K31" s="1450"/>
      <c r="L31" s="1450"/>
    </row>
    <row r="32" spans="4:12">
      <c r="H32" s="1360"/>
      <c r="I32" s="1360"/>
      <c r="J32" s="1360"/>
      <c r="K32" s="1360"/>
      <c r="L32" s="1360"/>
    </row>
    <row r="33" spans="3:12">
      <c r="C33" s="1053"/>
      <c r="D33" s="1365" t="s">
        <v>801</v>
      </c>
      <c r="E33" s="1020"/>
      <c r="F33" s="1020"/>
      <c r="G33" s="1020"/>
      <c r="H33" s="1366">
        <f>+H22/H27</f>
        <v>-1.8657629537436877</v>
      </c>
      <c r="I33" s="1366"/>
      <c r="J33" s="1366">
        <f>+J22/J27</f>
        <v>0.94553746873524624</v>
      </c>
      <c r="K33" s="1451"/>
      <c r="L33" s="1451"/>
    </row>
    <row r="34" spans="3:12">
      <c r="C34" s="1053"/>
      <c r="D34" s="1368"/>
      <c r="E34" s="1017" t="s">
        <v>800</v>
      </c>
      <c r="F34" s="1017"/>
      <c r="G34" s="1017"/>
      <c r="H34" s="1172">
        <f>IF(H33&gt;2.4999,4,IF(H33&gt;1.7499,3,IF(H33&gt;1.2499,2,1)))</f>
        <v>1</v>
      </c>
      <c r="I34" s="1172"/>
      <c r="J34" s="1172">
        <f>IF(J33&gt;2.4999,4,IF(J33&gt;1.7499,3,IF(J33&gt;1.2499,2,1)))</f>
        <v>1</v>
      </c>
      <c r="K34" s="1450"/>
      <c r="L34" s="1450"/>
    </row>
    <row r="35" spans="3:12" ht="13.8" thickBot="1"/>
    <row r="36" spans="3:12" ht="13.8" thickBot="1">
      <c r="D36" s="1369" t="s">
        <v>802</v>
      </c>
      <c r="E36" s="1370"/>
      <c r="F36" s="1370"/>
      <c r="G36" s="1370"/>
      <c r="H36" s="1371">
        <f>(H31+H34)/2</f>
        <v>1</v>
      </c>
      <c r="I36" s="1371"/>
      <c r="J36" s="1371">
        <f>(J31+J34)/2</f>
        <v>1</v>
      </c>
      <c r="K36" s="1452"/>
      <c r="L36" s="1452"/>
    </row>
    <row r="38" spans="3:12">
      <c r="D38" s="1340" t="s">
        <v>803</v>
      </c>
    </row>
    <row r="39" spans="3:12">
      <c r="D39" s="1373" t="s">
        <v>804</v>
      </c>
      <c r="F39" s="1015" t="s">
        <v>1086</v>
      </c>
      <c r="H39" s="1359" t="str">
        <f>IF(H$31=1,"infinite",H$11-VLOOKUP(H$31,$M$3:$O$6,2,FALSE)*H$13/360)</f>
        <v>infinite</v>
      </c>
      <c r="I39" s="1359"/>
      <c r="J39" s="1359" t="str">
        <f>IF(J$31=1,"infinite",J$11-VLOOKUP(J$31,$M$3:$O$6,2,FALSE)*J$13/360)</f>
        <v>infinite</v>
      </c>
      <c r="K39" s="1359"/>
      <c r="L39" s="1359"/>
    </row>
    <row r="40" spans="3:12">
      <c r="D40" s="1373" t="s">
        <v>805</v>
      </c>
      <c r="F40" s="1015" t="s">
        <v>291</v>
      </c>
      <c r="H40" s="1359" t="str">
        <f>IF(H$31=1,"infinite",IF(H$11&gt;0,"N/A",H$13-H$11*360/VLOOKUP(H$31,$M$3:$O$6,2,FALSE)))</f>
        <v>infinite</v>
      </c>
      <c r="I40" s="1359"/>
      <c r="J40" s="1359" t="str">
        <f>IF(J$31=1,"infinite",IF(J$11&gt;0,"N/A",J$13-J$11*360/VLOOKUP(J$31,$M$3:$O$6,2,FALSE)))</f>
        <v>infinite</v>
      </c>
      <c r="K40" s="1359"/>
      <c r="L40" s="1359"/>
    </row>
    <row r="41" spans="3:12">
      <c r="D41" s="1373" t="s">
        <v>806</v>
      </c>
      <c r="F41" s="1015" t="s">
        <v>1087</v>
      </c>
      <c r="H41" s="1359" t="str">
        <f>IF(H$34=1,"infinite",H$22-VLOOKUP(H$34,$M$3:$O$6,3,FALSE)*H$27)</f>
        <v>infinite</v>
      </c>
      <c r="I41" s="1359"/>
      <c r="J41" s="1359" t="str">
        <f>IF(J$34=1,"infinite",J$22-VLOOKUP(J$34,$M$3:$O$6,3,FALSE)*J$27)</f>
        <v>infinite</v>
      </c>
      <c r="K41" s="1359"/>
      <c r="L41" s="1359"/>
    </row>
    <row r="42" spans="3:12">
      <c r="D42" s="1373" t="s">
        <v>807</v>
      </c>
      <c r="F42" s="1015" t="s">
        <v>297</v>
      </c>
      <c r="H42" s="1359" t="str">
        <f>IF(H$34=1,"infinite",H$22/VLOOKUP(H$34,$M$3:$O$6,3,FALSE)-H$27)</f>
        <v>infinite</v>
      </c>
      <c r="I42" s="1359"/>
      <c r="J42" s="1359" t="str">
        <f>IF(J$34=1,"infinite",J$22/VLOOKUP(J$34,$M$3:$O$6,3,FALSE)-J$27)</f>
        <v>infinite</v>
      </c>
      <c r="K42" s="1359"/>
      <c r="L42" s="1359"/>
    </row>
    <row r="43" spans="3:12">
      <c r="H43" s="1015"/>
      <c r="I43" s="1015"/>
    </row>
    <row r="44" spans="3:12">
      <c r="D44" s="1340" t="s">
        <v>808</v>
      </c>
    </row>
    <row r="45" spans="3:12">
      <c r="D45" s="1373" t="s">
        <v>809</v>
      </c>
      <c r="H45" s="1359">
        <f>IF(H$31=4,"N/A",VLOOKUP(H$31+1,$M$3:$O$6,2,FALSE)*H13/360-H11)</f>
        <v>3.5566424999999988</v>
      </c>
      <c r="I45" s="1359"/>
      <c r="J45" s="1359">
        <f>IF(J$31=4,"N/A",VLOOKUP(J$31+1,$M$3:$O$6,2,FALSE)*J13/360-J11)</f>
        <v>5.8530301888888872</v>
      </c>
      <c r="K45" s="1359"/>
      <c r="L45" s="1359"/>
    </row>
    <row r="46" spans="3:12">
      <c r="D46" s="1373" t="s">
        <v>810</v>
      </c>
      <c r="H46" s="1359">
        <f>IF(H$31=4,"N/A",(H11*360)/VLOOKUP(H$31+1,$M$3:$O$6,2,FALSE)-H13)</f>
        <v>91.456521428571364</v>
      </c>
      <c r="I46" s="1359"/>
      <c r="J46" s="1359">
        <f>IF(J$31=4,"N/A",(J11*360)/VLOOKUP(J$31+1,$M$3:$O$6,2,FALSE)-J13)</f>
        <v>150.50649057142857</v>
      </c>
      <c r="K46" s="1359"/>
      <c r="L46" s="1359"/>
    </row>
    <row r="47" spans="3:12">
      <c r="D47" s="1373" t="s">
        <v>811</v>
      </c>
      <c r="H47" s="1359">
        <f>IF(H$34=4,"N/A",VLOOKUP(H$34+1,$M$3:$O$6,3,FALSE)*H27-H22)</f>
        <v>9.5046400833333742</v>
      </c>
      <c r="I47" s="1359"/>
      <c r="J47" s="1359">
        <f>IF(J$34=4,"N/A",VLOOKUP(J$34+1,$M$3:$O$6,3,FALSE)*J27-J22)</f>
        <v>5.7792587500000252</v>
      </c>
      <c r="K47" s="1359"/>
      <c r="L47" s="1359"/>
    </row>
    <row r="48" spans="3:12">
      <c r="D48" s="1373" t="s">
        <v>812</v>
      </c>
      <c r="H48" s="1359">
        <f>IF(H$34=4,"N/A",H27-(H22/VLOOKUP(H$34+1,$M$3:$O$6,3,FALSE)))</f>
        <v>7.6037120666667004</v>
      </c>
      <c r="I48" s="1359"/>
      <c r="J48" s="1359">
        <f>IF(J$34=4,"N/A",J27-(J22/VLOOKUP(J$34+1,$M$3:$O$6,3,FALSE)))</f>
        <v>4.623407000000018</v>
      </c>
      <c r="K48" s="1359"/>
      <c r="L48" s="1359"/>
    </row>
    <row r="49" spans="4:12">
      <c r="D49" s="1373"/>
      <c r="H49" s="1359"/>
      <c r="I49" s="1359"/>
      <c r="J49" s="1359"/>
      <c r="K49" s="1359"/>
      <c r="L49" s="1359"/>
    </row>
    <row r="51" spans="4:12" hidden="1"/>
    <row r="52" spans="4:12" ht="13.8" hidden="1" thickBot="1">
      <c r="D52" s="1340" t="s">
        <v>813</v>
      </c>
    </row>
    <row r="53" spans="4:12" ht="13.8" hidden="1" thickBot="1">
      <c r="D53" s="1375"/>
      <c r="E53" s="1376"/>
      <c r="F53" s="1376"/>
      <c r="G53" s="1376"/>
      <c r="H53" s="1378" t="s">
        <v>773</v>
      </c>
      <c r="I53" s="1378"/>
      <c r="J53" s="1377" t="s">
        <v>774</v>
      </c>
      <c r="K53" s="1453"/>
      <c r="L53" s="1453"/>
    </row>
    <row r="54" spans="4:12" ht="7.5" hidden="1" customHeight="1">
      <c r="D54" s="1380"/>
      <c r="E54" s="1381"/>
      <c r="F54" s="1381"/>
      <c r="G54" s="1381"/>
      <c r="H54" s="1383"/>
      <c r="I54" s="1383"/>
      <c r="J54" s="1382"/>
      <c r="K54" s="1382"/>
      <c r="L54" s="1382"/>
    </row>
    <row r="55" spans="4:12" hidden="1">
      <c r="D55" s="1384" t="s">
        <v>799</v>
      </c>
      <c r="E55" s="1385"/>
      <c r="F55" s="1385"/>
      <c r="G55" s="1385"/>
      <c r="H55" s="1386">
        <v>-11.477267307832246</v>
      </c>
      <c r="I55" s="1386"/>
      <c r="J55" s="1386">
        <v>-16.628636746106338</v>
      </c>
      <c r="K55" s="1454"/>
      <c r="L55" s="1454"/>
    </row>
    <row r="56" spans="4:12" hidden="1">
      <c r="D56" s="1388"/>
      <c r="E56" s="1389" t="s">
        <v>800</v>
      </c>
      <c r="F56" s="1389"/>
      <c r="G56" s="1389"/>
      <c r="H56" s="1390">
        <v>2</v>
      </c>
      <c r="I56" s="1390"/>
      <c r="J56" s="1390">
        <v>1</v>
      </c>
      <c r="K56" s="1455"/>
      <c r="L56" s="1455"/>
    </row>
    <row r="57" spans="4:12" ht="7.5" hidden="1" customHeight="1">
      <c r="D57" s="1380"/>
      <c r="E57" s="1381"/>
      <c r="F57" s="1381"/>
      <c r="G57" s="1381"/>
      <c r="H57" s="1392"/>
      <c r="I57" s="1392"/>
      <c r="J57" s="1392"/>
      <c r="K57" s="1392"/>
      <c r="L57" s="1392"/>
    </row>
    <row r="58" spans="4:12" hidden="1">
      <c r="D58" s="1384" t="s">
        <v>801</v>
      </c>
      <c r="E58" s="1385"/>
      <c r="F58" s="1385"/>
      <c r="G58" s="1385"/>
      <c r="H58" s="1393">
        <v>2.4372604613648905</v>
      </c>
      <c r="I58" s="1393"/>
      <c r="J58" s="1393">
        <v>2.2672253235457114</v>
      </c>
      <c r="K58" s="1456"/>
      <c r="L58" s="1456"/>
    </row>
    <row r="59" spans="4:12" hidden="1">
      <c r="D59" s="1388"/>
      <c r="E59" s="1389" t="s">
        <v>800</v>
      </c>
      <c r="F59" s="1389"/>
      <c r="G59" s="1389"/>
      <c r="H59" s="1390">
        <v>3</v>
      </c>
      <c r="I59" s="1390"/>
      <c r="J59" s="1390">
        <v>3</v>
      </c>
      <c r="K59" s="1455"/>
      <c r="L59" s="1455"/>
    </row>
    <row r="60" spans="4:12" ht="6.75" hidden="1" customHeight="1" thickBot="1">
      <c r="D60" s="1380"/>
      <c r="E60" s="1381"/>
      <c r="F60" s="1381"/>
      <c r="G60" s="1381"/>
      <c r="H60" s="1395"/>
      <c r="I60" s="1395"/>
      <c r="J60" s="1381"/>
      <c r="K60" s="1381"/>
      <c r="L60" s="1381"/>
    </row>
    <row r="61" spans="4:12" ht="13.8" hidden="1" thickBot="1">
      <c r="D61" s="1375" t="s">
        <v>802</v>
      </c>
      <c r="E61" s="1376"/>
      <c r="F61" s="1376"/>
      <c r="G61" s="1376"/>
      <c r="H61" s="1396">
        <v>2.5</v>
      </c>
      <c r="I61" s="1396"/>
      <c r="J61" s="1396">
        <v>2</v>
      </c>
      <c r="K61" s="1457"/>
      <c r="L61" s="1457"/>
    </row>
    <row r="62" spans="4:12" ht="7.5" hidden="1" customHeight="1">
      <c r="H62" s="1398"/>
      <c r="I62" s="1398"/>
      <c r="J62" s="1023"/>
      <c r="K62" s="1023"/>
      <c r="L62" s="1023"/>
    </row>
    <row r="63" spans="4:12" hidden="1">
      <c r="E63" s="1399" t="s">
        <v>814</v>
      </c>
      <c r="F63" s="1399"/>
      <c r="G63" s="1399"/>
      <c r="H63" s="1401">
        <v>3</v>
      </c>
      <c r="I63" s="1401"/>
      <c r="J63" s="1401">
        <v>3</v>
      </c>
      <c r="K63" s="1401"/>
      <c r="L63" s="1401"/>
    </row>
    <row r="64" spans="4:12" hidden="1">
      <c r="D64" s="1373" t="s">
        <v>815</v>
      </c>
    </row>
    <row r="65" hidden="1"/>
  </sheetData>
  <phoneticPr fontId="130" type="noConversion"/>
  <pageMargins left="0.47244094488188981" right="0.31496062992125984" top="0.19685039370078741" bottom="0.19685039370078741" header="0.51181102362204722" footer="0.51181102362204722"/>
  <pageSetup paperSize="9" scale="8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7"/>
    <pageSetUpPr fitToPage="1"/>
  </sheetPr>
  <dimension ref="A1:V263"/>
  <sheetViews>
    <sheetView workbookViewId="0">
      <pane xSplit="1" ySplit="2" topLeftCell="B48" activePane="bottomRight" state="frozen"/>
      <selection activeCell="H14" sqref="H14"/>
      <selection pane="topRight" activeCell="H14" sqref="H14"/>
      <selection pane="bottomLeft" activeCell="H14" sqref="H14"/>
      <selection pane="bottomRight" activeCell="C59" sqref="C59"/>
    </sheetView>
  </sheetViews>
  <sheetFormatPr defaultColWidth="9.109375" defaultRowHeight="13.2"/>
  <cols>
    <col min="1" max="1" width="38.33203125" style="1015" bestFit="1" customWidth="1"/>
    <col min="2" max="2" width="30" style="1015" customWidth="1"/>
    <col min="3" max="4" width="9.109375" style="1015"/>
    <col min="5" max="5" width="63" style="1015" customWidth="1"/>
    <col min="6" max="9" width="9.109375" style="1015" customWidth="1"/>
    <col min="10" max="10" width="9.109375" style="1015"/>
    <col min="11" max="11" width="29.109375" style="1015" customWidth="1"/>
    <col min="12" max="12" width="9.109375" style="1015"/>
    <col min="13" max="13" width="10.44140625" style="1653" customWidth="1"/>
    <col min="14" max="14" width="9.109375" style="1653"/>
    <col min="15" max="16384" width="9.109375" style="1015"/>
  </cols>
  <sheetData>
    <row r="1" spans="1:22">
      <c r="A1" s="1713" t="s">
        <v>1150</v>
      </c>
      <c r="B1" s="1340" t="s">
        <v>1149</v>
      </c>
      <c r="K1" s="1340" t="s">
        <v>1148</v>
      </c>
      <c r="M1" s="1015"/>
      <c r="N1" s="1015"/>
    </row>
    <row r="2" spans="1:22" ht="26.4">
      <c r="A2" s="1713" t="s">
        <v>1147</v>
      </c>
      <c r="B2" s="1712"/>
      <c r="C2" s="2" t="s">
        <v>930</v>
      </c>
      <c r="D2" s="2" t="s">
        <v>944</v>
      </c>
      <c r="E2" s="1711" t="s">
        <v>1146</v>
      </c>
      <c r="F2" s="1665"/>
      <c r="G2" s="1665"/>
      <c r="H2" s="1665"/>
      <c r="I2" s="1710"/>
      <c r="J2" s="1665"/>
      <c r="K2" s="1718"/>
      <c r="L2" s="609"/>
      <c r="M2" s="609"/>
      <c r="N2" s="609"/>
      <c r="O2" s="1665"/>
      <c r="P2" s="1665"/>
      <c r="Q2" s="1719"/>
      <c r="R2" s="1665"/>
      <c r="S2" s="1665"/>
      <c r="T2" s="1655"/>
      <c r="U2" s="1710"/>
      <c r="V2" s="1655"/>
    </row>
    <row r="3" spans="1:22">
      <c r="A3" s="1654"/>
      <c r="B3" s="1686" t="s">
        <v>724</v>
      </c>
      <c r="C3" s="1685"/>
      <c r="D3" s="1685"/>
      <c r="E3" s="1694" t="s">
        <v>1145</v>
      </c>
      <c r="F3" s="1665"/>
      <c r="G3" s="1665"/>
      <c r="H3" s="1665"/>
      <c r="I3" s="1665"/>
      <c r="J3" s="1665"/>
      <c r="K3" s="1716"/>
      <c r="L3" s="1716"/>
      <c r="M3" s="1716"/>
      <c r="N3" s="1716"/>
      <c r="O3" s="1665"/>
      <c r="P3" s="1665"/>
      <c r="Q3" s="1720"/>
      <c r="R3" s="1665"/>
      <c r="S3" s="1665"/>
      <c r="T3" s="1655"/>
      <c r="U3" s="1655"/>
      <c r="V3" s="1655"/>
    </row>
    <row r="4" spans="1:22">
      <c r="A4" s="1654" t="s">
        <v>1144</v>
      </c>
      <c r="B4" s="1701" t="s">
        <v>725</v>
      </c>
      <c r="C4" s="1691">
        <f>+Surplus!C20*-1</f>
        <v>-5691.5130000000427</v>
      </c>
      <c r="D4" s="1691">
        <f>+Surplus!H20*-1</f>
        <v>17948.039999999979</v>
      </c>
      <c r="E4" s="1693" t="s">
        <v>1143</v>
      </c>
      <c r="F4" s="1665"/>
      <c r="G4" s="1665"/>
      <c r="H4" s="1665"/>
      <c r="I4" s="1665"/>
      <c r="J4" s="1665"/>
      <c r="K4" s="1662"/>
      <c r="L4" s="1714"/>
      <c r="M4" s="1714"/>
      <c r="N4" s="1714"/>
      <c r="O4" s="1665"/>
      <c r="P4" s="1665"/>
      <c r="Q4" s="1721"/>
      <c r="R4" s="1665"/>
      <c r="S4" s="1665"/>
      <c r="T4" s="1655"/>
      <c r="U4" s="1655"/>
      <c r="V4" s="1655"/>
    </row>
    <row r="5" spans="1:22">
      <c r="A5" s="1654"/>
      <c r="B5" s="1655" t="s">
        <v>726</v>
      </c>
      <c r="C5" s="1691">
        <f>+Surplus!C17*-1</f>
        <v>88287.161999999968</v>
      </c>
      <c r="D5" s="1691">
        <f>+Surplus!H17*-1</f>
        <v>551852.978</v>
      </c>
      <c r="E5" s="1690" t="s">
        <v>1142</v>
      </c>
      <c r="F5" s="1716"/>
      <c r="G5" s="1716"/>
      <c r="H5" s="1716"/>
      <c r="I5" s="1716"/>
      <c r="J5" s="1716"/>
      <c r="K5" s="1665"/>
      <c r="L5" s="1714"/>
      <c r="M5" s="1714"/>
      <c r="N5" s="1714"/>
      <c r="O5" s="1716"/>
      <c r="P5" s="1716"/>
      <c r="Q5" s="1721"/>
      <c r="R5" s="1716"/>
      <c r="S5" s="1716"/>
      <c r="T5" s="1668"/>
      <c r="U5" s="1668"/>
      <c r="V5" s="1668"/>
    </row>
    <row r="6" spans="1:22">
      <c r="A6" s="1654"/>
      <c r="B6" s="1668" t="s">
        <v>1115</v>
      </c>
      <c r="C6" s="1695">
        <f>IF(C5&lt;&gt;0,C4/C5,0)*100</f>
        <v>-6.4465918612267155</v>
      </c>
      <c r="D6" s="1695">
        <f>IF(D5&lt;&gt;0,D4/D5,0)*100</f>
        <v>3.252322759051955</v>
      </c>
      <c r="E6" s="1693" t="s">
        <v>1141</v>
      </c>
      <c r="F6" s="1665"/>
      <c r="G6" s="1665"/>
      <c r="H6" s="1665"/>
      <c r="I6" s="1665"/>
      <c r="J6" s="1665"/>
      <c r="K6" s="1716"/>
      <c r="L6" s="1722"/>
      <c r="M6" s="1722"/>
      <c r="N6" s="1722"/>
      <c r="O6" s="1665"/>
      <c r="P6" s="1665"/>
      <c r="Q6" s="1721"/>
      <c r="R6" s="1665"/>
      <c r="S6" s="1665"/>
      <c r="T6" s="1655"/>
      <c r="U6" s="1655"/>
      <c r="V6" s="1655"/>
    </row>
    <row r="7" spans="1:22">
      <c r="A7" s="1654"/>
      <c r="B7" s="1677" t="s">
        <v>1110</v>
      </c>
      <c r="C7" s="1676">
        <f>IF(C6&gt;=$G$89,$G$87,INDEX($G$87:$K$87,,MATCH(C6,$G$89:$K$89,-1)+1))</f>
        <v>1</v>
      </c>
      <c r="D7" s="1676">
        <f>IF(D6&gt;=$G$89,$G$87,INDEX($G$87:$K$87,,MATCH(D6,$G$89:$K$89,-1)+1))</f>
        <v>2</v>
      </c>
      <c r="E7" s="1709" t="s">
        <v>1140</v>
      </c>
      <c r="F7" s="1665"/>
      <c r="G7" s="1665"/>
      <c r="H7" s="1665"/>
      <c r="I7" s="1665"/>
      <c r="J7" s="1665"/>
      <c r="K7" s="1677"/>
      <c r="L7" s="958"/>
      <c r="M7" s="958"/>
      <c r="N7" s="958"/>
      <c r="O7" s="1665"/>
      <c r="P7" s="1665"/>
      <c r="Q7" s="1723"/>
      <c r="R7" s="1665"/>
      <c r="S7" s="1665"/>
      <c r="T7" s="1655"/>
      <c r="U7" s="1655"/>
      <c r="V7" s="1655"/>
    </row>
    <row r="8" spans="1:22">
      <c r="A8" s="1654"/>
      <c r="B8" s="1655"/>
      <c r="C8" s="1655"/>
      <c r="D8" s="1655"/>
      <c r="E8" s="1703" t="s">
        <v>1139</v>
      </c>
      <c r="F8" s="1665"/>
      <c r="G8" s="1665"/>
      <c r="H8" s="1665"/>
      <c r="I8" s="1665"/>
      <c r="J8" s="1665"/>
      <c r="K8" s="1665"/>
      <c r="L8" s="1665"/>
      <c r="M8" s="1665"/>
      <c r="N8" s="1665"/>
      <c r="O8" s="1665"/>
      <c r="P8" s="1665"/>
      <c r="Q8" s="1724"/>
      <c r="R8" s="1665"/>
      <c r="S8" s="1665"/>
      <c r="T8" s="1655"/>
      <c r="U8" s="1655"/>
      <c r="V8" s="1655"/>
    </row>
    <row r="9" spans="1:22">
      <c r="A9" s="1654"/>
      <c r="B9" s="1655"/>
      <c r="C9" s="1655"/>
      <c r="D9" s="1655"/>
      <c r="E9" s="1703" t="s">
        <v>1138</v>
      </c>
      <c r="F9" s="1665"/>
      <c r="G9" s="1665"/>
      <c r="H9" s="1665"/>
      <c r="I9" s="1665"/>
      <c r="J9" s="1665"/>
      <c r="K9" s="1665"/>
      <c r="L9" s="1665"/>
      <c r="M9" s="1665"/>
      <c r="N9" s="1665"/>
      <c r="O9" s="1665"/>
      <c r="P9" s="1665"/>
      <c r="Q9" s="1724"/>
      <c r="R9" s="1665"/>
      <c r="S9" s="1665"/>
      <c r="T9" s="1655"/>
      <c r="U9" s="1655"/>
      <c r="V9" s="1655"/>
    </row>
    <row r="10" spans="1:22">
      <c r="A10" s="1654"/>
      <c r="B10" s="1686" t="s">
        <v>727</v>
      </c>
      <c r="C10" s="1685"/>
      <c r="D10" s="1685"/>
      <c r="E10" s="1655"/>
      <c r="F10" s="1665"/>
      <c r="G10" s="1665"/>
      <c r="H10" s="1665"/>
      <c r="I10" s="1665"/>
      <c r="J10" s="1665"/>
      <c r="K10" s="1716"/>
      <c r="L10" s="1716"/>
      <c r="M10" s="1716"/>
      <c r="N10" s="1716"/>
      <c r="O10" s="1665"/>
      <c r="P10" s="1665"/>
      <c r="Q10" s="1665"/>
      <c r="R10" s="1665"/>
      <c r="S10" s="1665"/>
      <c r="T10" s="1655"/>
      <c r="U10" s="1655"/>
      <c r="V10" s="1655"/>
    </row>
    <row r="11" spans="1:22">
      <c r="A11" s="1654"/>
      <c r="B11" s="1701" t="s">
        <v>725</v>
      </c>
      <c r="C11" s="1696">
        <f>C4</f>
        <v>-5691.5130000000427</v>
      </c>
      <c r="D11" s="1696">
        <f>D4</f>
        <v>17948.039999999979</v>
      </c>
      <c r="E11" s="1694" t="s">
        <v>1137</v>
      </c>
      <c r="F11" s="1716"/>
      <c r="G11" s="1716"/>
      <c r="H11" s="1716"/>
      <c r="I11" s="1716"/>
      <c r="J11" s="1716"/>
      <c r="K11" s="1662"/>
      <c r="L11" s="1714"/>
      <c r="M11" s="1714"/>
      <c r="N11" s="1714"/>
      <c r="O11" s="1665"/>
      <c r="P11" s="1716"/>
      <c r="Q11" s="1720"/>
      <c r="R11" s="1716"/>
      <c r="S11" s="1716"/>
      <c r="T11" s="1668"/>
      <c r="U11" s="1668"/>
      <c r="V11" s="1668"/>
    </row>
    <row r="12" spans="1:22">
      <c r="A12" s="1654"/>
      <c r="B12" s="1701" t="s">
        <v>728</v>
      </c>
      <c r="C12" s="1691">
        <f>+Surplus!B20*-1</f>
        <v>-211.59099999996397</v>
      </c>
      <c r="D12" s="1691">
        <f>+Surplus!G20*-1</f>
        <v>18159.810999999812</v>
      </c>
      <c r="E12" s="1708"/>
      <c r="F12" s="1665"/>
      <c r="G12" s="1665"/>
      <c r="H12" s="1665"/>
      <c r="I12" s="1665"/>
      <c r="J12" s="1665"/>
      <c r="K12" s="1662"/>
      <c r="L12" s="1714"/>
      <c r="M12" s="1714"/>
      <c r="N12" s="1714"/>
      <c r="O12" s="1716"/>
      <c r="P12" s="1665"/>
      <c r="Q12" s="1725"/>
      <c r="R12" s="1665"/>
      <c r="S12" s="1665"/>
      <c r="T12" s="1655"/>
      <c r="U12" s="1655"/>
      <c r="V12" s="1655"/>
    </row>
    <row r="13" spans="1:22">
      <c r="A13" s="1654"/>
      <c r="B13" s="1668" t="s">
        <v>1115</v>
      </c>
      <c r="C13" s="1695">
        <f>IF(C12&lt;&gt;0,C11/C12,0)*100</f>
        <v>2689.8653534417872</v>
      </c>
      <c r="D13" s="1695">
        <f>IF(D12&lt;&gt;0,D11/D12,0)*100</f>
        <v>98.833847995445353</v>
      </c>
      <c r="E13" s="1707" t="s">
        <v>1136</v>
      </c>
      <c r="F13" s="1658"/>
      <c r="G13" s="1658"/>
      <c r="H13" s="1658"/>
      <c r="I13" s="1658"/>
      <c r="J13" s="1658"/>
      <c r="K13" s="1716"/>
      <c r="L13" s="1722"/>
      <c r="M13" s="1722"/>
      <c r="N13" s="1722"/>
      <c r="O13" s="1665"/>
      <c r="P13" s="1658"/>
      <c r="Q13" s="1726"/>
      <c r="R13" s="1658"/>
      <c r="S13" s="1658"/>
      <c r="T13" s="1661"/>
      <c r="U13" s="1661"/>
      <c r="V13" s="1661"/>
    </row>
    <row r="14" spans="1:22">
      <c r="A14" s="1654"/>
      <c r="B14" s="1677" t="s">
        <v>1110</v>
      </c>
      <c r="C14" s="1676">
        <f>IF(C13&gt;=$G$90,$G$87,INDEX($G$87:$K$87,,MATCH(C13,$G$90:$K$90,-1)+1))</f>
        <v>4</v>
      </c>
      <c r="D14" s="1676">
        <f>IF(D13&gt;=$G$90,$G$87,INDEX($G$87:$K$87,,MATCH(D13,$G$90:$K$90,-1)+1))</f>
        <v>4</v>
      </c>
      <c r="E14" s="1655" t="s">
        <v>1135</v>
      </c>
      <c r="F14" s="1665"/>
      <c r="G14" s="1665"/>
      <c r="H14" s="1665"/>
      <c r="I14" s="1665"/>
      <c r="J14" s="1665"/>
      <c r="K14" s="1677"/>
      <c r="L14" s="958"/>
      <c r="M14" s="958"/>
      <c r="N14" s="958"/>
      <c r="O14" s="1665"/>
      <c r="P14" s="1665"/>
      <c r="Q14" s="1665"/>
      <c r="R14" s="1665"/>
      <c r="S14" s="1665"/>
      <c r="T14" s="1655"/>
      <c r="U14" s="1655"/>
      <c r="V14" s="1655"/>
    </row>
    <row r="15" spans="1:22">
      <c r="A15" s="1654"/>
      <c r="B15" s="1655"/>
      <c r="C15" s="1655"/>
      <c r="D15" s="1655"/>
      <c r="E15" s="1655"/>
      <c r="F15" s="1665"/>
      <c r="G15" s="1665"/>
      <c r="H15" s="1665"/>
      <c r="I15" s="1665"/>
      <c r="J15" s="1665"/>
      <c r="K15" s="1665"/>
      <c r="L15" s="1665"/>
      <c r="M15" s="1665"/>
      <c r="N15" s="1665"/>
      <c r="O15" s="1665"/>
      <c r="P15" s="1665"/>
      <c r="Q15" s="1665"/>
      <c r="R15" s="1665"/>
      <c r="S15" s="1665"/>
      <c r="T15" s="1655"/>
      <c r="U15" s="1655"/>
      <c r="V15" s="1655"/>
    </row>
    <row r="16" spans="1:22">
      <c r="A16" s="1654"/>
      <c r="B16" s="1686" t="s">
        <v>1108</v>
      </c>
      <c r="C16" s="1685"/>
      <c r="D16" s="1685"/>
      <c r="E16" s="1655"/>
      <c r="F16" s="1665"/>
      <c r="G16" s="1665"/>
      <c r="H16" s="1665"/>
      <c r="I16" s="1665"/>
      <c r="J16" s="1665"/>
      <c r="K16" s="1716"/>
      <c r="L16" s="1716"/>
      <c r="M16" s="1716"/>
      <c r="N16" s="1716"/>
      <c r="O16" s="1665"/>
      <c r="P16" s="1665"/>
      <c r="Q16" s="1665"/>
      <c r="R16" s="1665"/>
      <c r="S16" s="1665"/>
      <c r="T16" s="1655"/>
      <c r="U16" s="1655"/>
      <c r="V16" s="1655"/>
    </row>
    <row r="17" spans="1:22">
      <c r="A17" s="1654"/>
      <c r="B17" s="1701" t="s">
        <v>729</v>
      </c>
      <c r="C17" s="1691">
        <f>+-Surplus!C29</f>
        <v>-11215.465000000044</v>
      </c>
      <c r="D17" s="1691">
        <f>-+Surplus!H29</f>
        <v>-31291.190000000024</v>
      </c>
      <c r="E17" s="1694" t="s">
        <v>1134</v>
      </c>
      <c r="F17" s="1665"/>
      <c r="G17" s="1665"/>
      <c r="H17" s="1665"/>
      <c r="I17" s="1665"/>
      <c r="J17" s="1665"/>
      <c r="K17" s="1662"/>
      <c r="L17" s="1714"/>
      <c r="M17" s="1714"/>
      <c r="N17" s="1714"/>
      <c r="O17" s="1665"/>
      <c r="P17" s="1665"/>
      <c r="Q17" s="1720"/>
      <c r="R17" s="1665"/>
      <c r="S17" s="1665"/>
      <c r="T17" s="1655"/>
      <c r="U17" s="1655"/>
      <c r="V17" s="1655"/>
    </row>
    <row r="18" spans="1:22">
      <c r="A18" s="1654" t="s">
        <v>1132</v>
      </c>
      <c r="B18" s="1698" t="s">
        <v>730</v>
      </c>
      <c r="C18" s="1691">
        <f>+-Surplus!C30</f>
        <v>0</v>
      </c>
      <c r="D18" s="1691">
        <f>+-Surplus!H30</f>
        <v>15500</v>
      </c>
      <c r="E18" s="1690" t="s">
        <v>1133</v>
      </c>
      <c r="F18" s="1665"/>
      <c r="G18" s="1665"/>
      <c r="H18" s="1665"/>
      <c r="I18" s="1665"/>
      <c r="J18" s="1665"/>
      <c r="K18" s="1727"/>
      <c r="L18" s="1714"/>
      <c r="M18" s="1714"/>
      <c r="N18" s="1714"/>
      <c r="O18" s="1665"/>
      <c r="P18" s="1665"/>
      <c r="Q18" s="1721"/>
      <c r="R18" s="1665"/>
      <c r="S18" s="1665"/>
      <c r="T18" s="1655"/>
      <c r="U18" s="1655"/>
      <c r="V18" s="1655"/>
    </row>
    <row r="19" spans="1:22">
      <c r="A19" s="1654" t="s">
        <v>1132</v>
      </c>
      <c r="B19" s="1698" t="s">
        <v>731</v>
      </c>
      <c r="C19" s="1691">
        <f>+-Surplus!C23</f>
        <v>0</v>
      </c>
      <c r="D19" s="1691">
        <f>+-Surplus!H23</f>
        <v>0</v>
      </c>
      <c r="E19" s="1705"/>
      <c r="F19" s="1665"/>
      <c r="G19" s="1665"/>
      <c r="H19" s="1665"/>
      <c r="I19" s="1665"/>
      <c r="J19" s="1665"/>
      <c r="K19" s="1727"/>
      <c r="L19" s="1714"/>
      <c r="M19" s="1714"/>
      <c r="N19" s="1714"/>
      <c r="O19" s="1665"/>
      <c r="P19" s="1665"/>
      <c r="Q19" s="1715"/>
      <c r="R19" s="1665"/>
      <c r="S19" s="1665"/>
      <c r="T19" s="1655"/>
      <c r="U19" s="1655"/>
      <c r="V19" s="1655"/>
    </row>
    <row r="20" spans="1:22">
      <c r="A20" s="1654"/>
      <c r="B20" s="1698" t="s">
        <v>732</v>
      </c>
      <c r="C20" s="1691">
        <f>+-Surplus!C28</f>
        <v>-1166</v>
      </c>
      <c r="D20" s="1691">
        <f>+-Surplus!H28</f>
        <v>-7385</v>
      </c>
      <c r="E20" s="1015" t="s">
        <v>1131</v>
      </c>
      <c r="F20" s="1715"/>
      <c r="G20" s="1715"/>
      <c r="H20" s="1715"/>
      <c r="I20" s="1715"/>
      <c r="J20" s="1715"/>
      <c r="K20" s="1727"/>
      <c r="L20" s="1714"/>
      <c r="M20" s="1714"/>
      <c r="N20" s="1714"/>
      <c r="O20" s="1665"/>
      <c r="P20" s="1715"/>
      <c r="Q20" s="1728"/>
      <c r="R20" s="1715"/>
      <c r="S20" s="1715"/>
      <c r="T20" s="1705"/>
      <c r="U20" s="1705"/>
      <c r="V20" s="1705"/>
    </row>
    <row r="21" spans="1:22">
      <c r="A21" s="1654"/>
      <c r="B21" s="1697" t="s">
        <v>1130</v>
      </c>
      <c r="C21" s="1696">
        <v>360</v>
      </c>
      <c r="D21" s="1696">
        <v>360</v>
      </c>
      <c r="E21" s="1015" t="s">
        <v>1129</v>
      </c>
      <c r="F21" s="1715"/>
      <c r="G21" s="1715"/>
      <c r="H21" s="1715"/>
      <c r="I21" s="1715"/>
      <c r="J21" s="1715"/>
      <c r="K21" s="1729"/>
      <c r="L21" s="1714"/>
      <c r="M21" s="1714"/>
      <c r="N21" s="1714"/>
      <c r="O21" s="1665"/>
      <c r="P21" s="1715"/>
      <c r="Q21" s="1728"/>
      <c r="R21" s="1715"/>
      <c r="S21" s="1715"/>
      <c r="T21" s="1705"/>
      <c r="U21" s="1705"/>
      <c r="V21" s="1705"/>
    </row>
    <row r="22" spans="1:22">
      <c r="A22" s="1654"/>
      <c r="B22" s="1697" t="s">
        <v>1128</v>
      </c>
      <c r="C22" s="1691">
        <v>360</v>
      </c>
      <c r="D22" s="1691">
        <v>360</v>
      </c>
      <c r="E22" s="1015" t="s">
        <v>1127</v>
      </c>
      <c r="F22" s="1665"/>
      <c r="G22" s="1665"/>
      <c r="H22" s="1665"/>
      <c r="I22" s="1665"/>
      <c r="J22" s="1665"/>
      <c r="K22" s="1729"/>
      <c r="L22" s="1714"/>
      <c r="M22" s="1714"/>
      <c r="N22" s="1714"/>
      <c r="O22" s="1715"/>
      <c r="P22" s="1665"/>
      <c r="Q22" s="1728"/>
      <c r="R22" s="1665"/>
      <c r="S22" s="1665"/>
      <c r="T22" s="1655"/>
      <c r="U22" s="1655"/>
      <c r="V22" s="1655"/>
    </row>
    <row r="23" spans="1:22" ht="12.75" customHeight="1">
      <c r="A23" s="1654"/>
      <c r="B23" s="1706" t="s">
        <v>1126</v>
      </c>
      <c r="C23" s="1696">
        <f>+'Balance Sheet Data'!D8+'Balance Sheet Data'!D13+'Balance Sheet Data'!D19+'Balance Sheet Data'!D22-'Balance Sheet Data'!D15+'Balance Sheet Data'!D21</f>
        <v>343673</v>
      </c>
      <c r="D23" s="1696">
        <f>C23</f>
        <v>343673</v>
      </c>
      <c r="E23" s="1015" t="s">
        <v>1125</v>
      </c>
      <c r="F23" s="1665"/>
      <c r="G23" s="1665"/>
      <c r="H23" s="1665"/>
      <c r="I23" s="1665"/>
      <c r="J23" s="1665"/>
      <c r="K23" s="1730"/>
      <c r="L23" s="1714"/>
      <c r="M23" s="1714"/>
      <c r="N23" s="1714"/>
      <c r="O23" s="1715"/>
      <c r="P23" s="1665"/>
      <c r="Q23" s="1728"/>
      <c r="R23" s="1665"/>
      <c r="S23" s="1665"/>
      <c r="T23" s="1655"/>
      <c r="U23" s="1655"/>
      <c r="V23" s="1655"/>
    </row>
    <row r="24" spans="1:22" ht="12.75" customHeight="1">
      <c r="A24" s="1654"/>
      <c r="B24" s="1704" t="s">
        <v>1124</v>
      </c>
      <c r="C24" s="1691">
        <f>+'Balance Sheet Data'!P8+'Balance Sheet Data'!P13+'Balance Sheet Data'!P19+'Balance Sheet Data'!P21+'Balance Sheet Data'!P22-'Balance Sheet Data'!P15</f>
        <v>394630</v>
      </c>
      <c r="D24" s="1691">
        <f>+'Balance Sheet Data'!P8+'Balance Sheet Data'!P13+'Balance Sheet Data'!P19+'Balance Sheet Data'!P21+'Balance Sheet Data'!P22-'Balance Sheet Data'!P15</f>
        <v>394630</v>
      </c>
      <c r="E24" s="1015" t="s">
        <v>1123</v>
      </c>
      <c r="F24" s="1658"/>
      <c r="G24" s="1658"/>
      <c r="H24" s="1658"/>
      <c r="I24" s="1658"/>
      <c r="J24" s="1658"/>
      <c r="K24" s="1731"/>
      <c r="L24" s="1714"/>
      <c r="M24" s="1714"/>
      <c r="N24" s="1714"/>
      <c r="O24" s="1665"/>
      <c r="P24" s="1658"/>
      <c r="Q24" s="1728"/>
      <c r="R24" s="1658"/>
      <c r="S24" s="1658"/>
      <c r="T24" s="1661"/>
      <c r="U24" s="1661"/>
      <c r="V24" s="1661"/>
    </row>
    <row r="25" spans="1:22">
      <c r="A25" s="1654"/>
      <c r="B25" s="1668" t="s">
        <v>1115</v>
      </c>
      <c r="C25" s="1695">
        <f>(SUM(C17:C20)*C21/C22)/(SUM(C23:C24)/2)*100</f>
        <v>-3.3540335065684537</v>
      </c>
      <c r="D25" s="1695">
        <f>(SUM(D17:D20)*D21/D22)/(SUM(D23:D24)/2)*100</f>
        <v>-6.2782326497386647</v>
      </c>
      <c r="E25" s="1015" t="s">
        <v>1122</v>
      </c>
      <c r="F25" s="1665"/>
      <c r="G25" s="1665"/>
      <c r="H25" s="1665"/>
      <c r="I25" s="1665"/>
      <c r="J25" s="1665"/>
      <c r="K25" s="1716"/>
      <c r="L25" s="1722"/>
      <c r="M25" s="1722"/>
      <c r="N25" s="1722"/>
      <c r="O25" s="1665"/>
      <c r="P25" s="1665"/>
      <c r="Q25" s="1728"/>
      <c r="R25" s="1665"/>
      <c r="S25" s="1665"/>
      <c r="T25" s="1655"/>
      <c r="U25" s="1655"/>
      <c r="V25" s="1655"/>
    </row>
    <row r="26" spans="1:22">
      <c r="A26" s="1654"/>
      <c r="B26" s="1655"/>
      <c r="C26" s="1655"/>
      <c r="D26" s="1655"/>
      <c r="E26" s="1015" t="s">
        <v>1121</v>
      </c>
      <c r="F26" s="1665"/>
      <c r="G26" s="1665"/>
      <c r="H26" s="1665"/>
      <c r="I26" s="1665"/>
      <c r="J26" s="1665"/>
      <c r="K26" s="1665"/>
      <c r="L26" s="1665"/>
      <c r="M26" s="1665"/>
      <c r="N26" s="1665"/>
      <c r="O26" s="1658"/>
      <c r="P26" s="1665"/>
      <c r="Q26" s="1728"/>
      <c r="R26" s="1665"/>
      <c r="S26" s="1665"/>
      <c r="T26" s="1655"/>
      <c r="U26" s="1655"/>
      <c r="V26" s="1655"/>
    </row>
    <row r="27" spans="1:22">
      <c r="A27" s="1654"/>
      <c r="B27" s="1677" t="s">
        <v>1110</v>
      </c>
      <c r="C27" s="1676">
        <f>IF(C25&gt;=$G$91,$G$87,INDEX($G$87:$K$87,,MATCH(C25,$G$91:$K$91,-1)+1))</f>
        <v>1</v>
      </c>
      <c r="D27" s="1676">
        <f>IF(D25&gt;=$G$91,$G$87,INDEX($G$87:$K$87,,MATCH(D25,$G$91:$K$91,-1)+1))</f>
        <v>1</v>
      </c>
      <c r="E27" s="1015" t="s">
        <v>1120</v>
      </c>
      <c r="F27" s="1665"/>
      <c r="G27" s="1665"/>
      <c r="H27" s="1665"/>
      <c r="I27" s="1665"/>
      <c r="J27" s="1665"/>
      <c r="K27" s="1677"/>
      <c r="L27" s="958"/>
      <c r="M27" s="958"/>
      <c r="N27" s="958"/>
      <c r="O27" s="1665"/>
      <c r="P27" s="1665"/>
      <c r="Q27" s="1728"/>
      <c r="R27" s="1665"/>
      <c r="S27" s="1665"/>
      <c r="T27" s="1655"/>
      <c r="U27" s="1655"/>
      <c r="V27" s="1655"/>
    </row>
    <row r="28" spans="1:22">
      <c r="A28" s="1654"/>
      <c r="B28" s="1655"/>
      <c r="C28" s="1655"/>
      <c r="D28" s="1655"/>
      <c r="E28" s="1702" t="s">
        <v>1119</v>
      </c>
      <c r="F28" s="1665"/>
      <c r="G28" s="1665"/>
      <c r="H28" s="1665"/>
      <c r="I28" s="1665"/>
      <c r="J28" s="1665"/>
      <c r="K28" s="1665"/>
      <c r="L28" s="1665"/>
      <c r="M28" s="1665"/>
      <c r="N28" s="1665"/>
      <c r="O28" s="1665"/>
      <c r="P28" s="1665"/>
      <c r="Q28" s="1724"/>
      <c r="R28" s="1665"/>
      <c r="S28" s="1665"/>
      <c r="T28" s="1655"/>
      <c r="U28" s="1655"/>
      <c r="V28" s="1655"/>
    </row>
    <row r="29" spans="1:22">
      <c r="A29" s="1654"/>
      <c r="B29" s="1655"/>
      <c r="C29" s="1655"/>
      <c r="D29" s="1655"/>
      <c r="E29" s="1703" t="s">
        <v>1118</v>
      </c>
      <c r="F29" s="1665"/>
      <c r="G29" s="1665"/>
      <c r="H29" s="1665"/>
      <c r="I29" s="1665"/>
      <c r="J29" s="1665"/>
      <c r="K29" s="1665"/>
      <c r="L29" s="1665"/>
      <c r="M29" s="1665"/>
      <c r="N29" s="1665"/>
      <c r="O29" s="1665"/>
      <c r="P29" s="1665"/>
      <c r="Q29" s="1724"/>
      <c r="R29" s="1665"/>
      <c r="S29" s="1665"/>
      <c r="T29" s="1655"/>
      <c r="U29" s="1655"/>
      <c r="V29" s="1655"/>
    </row>
    <row r="30" spans="1:22">
      <c r="A30" s="1654"/>
      <c r="B30" s="1686" t="s">
        <v>820</v>
      </c>
      <c r="C30" s="1685"/>
      <c r="D30" s="1685"/>
      <c r="E30" s="1702"/>
      <c r="F30" s="1665"/>
      <c r="G30" s="1665"/>
      <c r="H30" s="1665"/>
      <c r="I30" s="1665"/>
      <c r="J30" s="1665"/>
      <c r="K30" s="1716"/>
      <c r="L30" s="1716"/>
      <c r="M30" s="1716"/>
      <c r="N30" s="1716"/>
      <c r="O30" s="1665"/>
      <c r="P30" s="1665"/>
      <c r="Q30" s="1732"/>
      <c r="R30" s="1665"/>
      <c r="S30" s="1665"/>
      <c r="T30" s="1655"/>
      <c r="U30" s="1655"/>
      <c r="V30" s="1655"/>
    </row>
    <row r="31" spans="1:22">
      <c r="A31" s="1654"/>
      <c r="B31" s="1701" t="s">
        <v>729</v>
      </c>
      <c r="C31" s="1696">
        <f t="shared" ref="C31:D33" si="0">C17</f>
        <v>-11215.465000000044</v>
      </c>
      <c r="D31" s="1696">
        <f t="shared" si="0"/>
        <v>-31291.190000000024</v>
      </c>
      <c r="E31" s="1700"/>
      <c r="F31" s="1658"/>
      <c r="G31" s="1658"/>
      <c r="H31" s="1658"/>
      <c r="I31" s="1658"/>
      <c r="J31" s="1658"/>
      <c r="K31" s="1662"/>
      <c r="L31" s="1714"/>
      <c r="M31" s="1714"/>
      <c r="N31" s="1714"/>
      <c r="O31" s="1665"/>
      <c r="P31" s="1658"/>
      <c r="Q31" s="1733"/>
      <c r="R31" s="1658"/>
      <c r="S31" s="1658"/>
      <c r="T31" s="1661"/>
      <c r="U31" s="1661"/>
      <c r="V31" s="1661"/>
    </row>
    <row r="32" spans="1:22">
      <c r="A32" s="1654"/>
      <c r="B32" s="1698" t="s">
        <v>730</v>
      </c>
      <c r="C32" s="1696">
        <f t="shared" si="0"/>
        <v>0</v>
      </c>
      <c r="D32" s="1696">
        <f t="shared" si="0"/>
        <v>15500</v>
      </c>
      <c r="E32" s="1699" t="s">
        <v>1117</v>
      </c>
      <c r="F32" s="1665"/>
      <c r="G32" s="1665"/>
      <c r="H32" s="1665"/>
      <c r="I32" s="1665"/>
      <c r="J32" s="1665"/>
      <c r="K32" s="1727"/>
      <c r="L32" s="1714"/>
      <c r="M32" s="1714"/>
      <c r="N32" s="1714"/>
      <c r="O32" s="1665"/>
      <c r="P32" s="1665"/>
      <c r="Q32" s="1734"/>
      <c r="R32" s="1665"/>
      <c r="S32" s="1665"/>
      <c r="T32" s="1655"/>
      <c r="U32" s="1655"/>
      <c r="V32" s="1655"/>
    </row>
    <row r="33" spans="1:22">
      <c r="A33" s="1654"/>
      <c r="B33" s="1698" t="s">
        <v>731</v>
      </c>
      <c r="C33" s="1696">
        <f t="shared" si="0"/>
        <v>0</v>
      </c>
      <c r="D33" s="1696">
        <f t="shared" si="0"/>
        <v>0</v>
      </c>
      <c r="E33" s="1690" t="s">
        <v>1116</v>
      </c>
      <c r="F33" s="1665"/>
      <c r="G33" s="1665"/>
      <c r="H33" s="1665"/>
      <c r="I33" s="1665"/>
      <c r="J33" s="1665"/>
      <c r="K33" s="1727"/>
      <c r="L33" s="1714"/>
      <c r="M33" s="1714"/>
      <c r="N33" s="1714"/>
      <c r="O33" s="1665"/>
      <c r="P33" s="1665"/>
      <c r="Q33" s="1721"/>
      <c r="R33" s="1665"/>
      <c r="S33" s="1665"/>
      <c r="T33" s="1655"/>
      <c r="U33" s="1655"/>
      <c r="V33" s="1655"/>
    </row>
    <row r="34" spans="1:22">
      <c r="A34" s="1654"/>
      <c r="B34" s="1697" t="s">
        <v>726</v>
      </c>
      <c r="C34" s="1696">
        <f>C5</f>
        <v>88287.161999999968</v>
      </c>
      <c r="D34" s="1696">
        <f>D5</f>
        <v>551852.978</v>
      </c>
      <c r="E34" s="1655"/>
      <c r="F34" s="1665"/>
      <c r="G34" s="1665"/>
      <c r="H34" s="1665"/>
      <c r="I34" s="1665"/>
      <c r="J34" s="1665"/>
      <c r="K34" s="1729"/>
      <c r="L34" s="1714"/>
      <c r="M34" s="1714"/>
      <c r="N34" s="1714"/>
      <c r="O34" s="1658"/>
      <c r="P34" s="1665"/>
      <c r="Q34" s="1665"/>
      <c r="R34" s="1665"/>
      <c r="S34" s="1665"/>
      <c r="T34" s="1655"/>
      <c r="U34" s="1655"/>
      <c r="V34" s="1655"/>
    </row>
    <row r="35" spans="1:22">
      <c r="A35" s="1654"/>
      <c r="B35" s="1668" t="s">
        <v>1115</v>
      </c>
      <c r="C35" s="1695">
        <f>IF(C34=0,0,SUM(C31:C33)/C34)*100</f>
        <v>-12.703392821710644</v>
      </c>
      <c r="D35" s="1695">
        <f>IF(D34=0,0,SUM(D31:D33)/D34)*100</f>
        <v>-2.8614849660193413</v>
      </c>
      <c r="E35" s="1661"/>
      <c r="F35" s="1665"/>
      <c r="G35" s="1665"/>
      <c r="H35" s="1665"/>
      <c r="I35" s="1665"/>
      <c r="J35" s="1665"/>
      <c r="K35" s="1716"/>
      <c r="L35" s="1722"/>
      <c r="M35" s="1722"/>
      <c r="N35" s="1722"/>
      <c r="O35" s="1665"/>
      <c r="P35" s="1665"/>
      <c r="Q35" s="1658"/>
      <c r="R35" s="1665"/>
      <c r="S35" s="1665"/>
      <c r="T35" s="1655"/>
      <c r="U35" s="1655"/>
      <c r="V35" s="1655"/>
    </row>
    <row r="36" spans="1:22">
      <c r="A36" s="1654"/>
      <c r="B36" s="1655"/>
      <c r="C36" s="1655"/>
      <c r="D36" s="1655"/>
      <c r="E36" s="1655"/>
      <c r="F36" s="1665"/>
      <c r="G36" s="1665"/>
      <c r="H36" s="1665"/>
      <c r="I36" s="1665"/>
      <c r="J36" s="1665"/>
      <c r="K36" s="1665"/>
      <c r="L36" s="1665"/>
      <c r="M36" s="1665"/>
      <c r="N36" s="1665"/>
      <c r="O36" s="1665"/>
      <c r="P36" s="1665"/>
      <c r="Q36" s="1665"/>
      <c r="R36" s="1665"/>
      <c r="S36" s="1665"/>
      <c r="T36" s="1655"/>
      <c r="U36" s="1655"/>
      <c r="V36" s="1655"/>
    </row>
    <row r="37" spans="1:22">
      <c r="A37" s="1654"/>
      <c r="B37" s="1677" t="s">
        <v>1110</v>
      </c>
      <c r="C37" s="1676">
        <f>IF(C35&gt;=$G$92,$G$87,INDEX($G$87:$K$87,,MATCH(C35,$G$92:$K$92,-1)+1))</f>
        <v>1</v>
      </c>
      <c r="D37" s="1676">
        <f>IF(D35&gt;=$G$92,$G$87,INDEX($G$87:$K$87,,MATCH(D35,$G$92:$K$92,-1)+1))</f>
        <v>1</v>
      </c>
      <c r="E37" s="1655"/>
      <c r="F37" s="1665"/>
      <c r="G37" s="1665"/>
      <c r="H37" s="1665"/>
      <c r="I37" s="1665"/>
      <c r="J37" s="1665"/>
      <c r="K37" s="1677"/>
      <c r="L37" s="958"/>
      <c r="M37" s="958"/>
      <c r="N37" s="958"/>
      <c r="O37" s="1665"/>
      <c r="P37" s="1665"/>
      <c r="Q37" s="1665"/>
      <c r="R37" s="1665"/>
      <c r="S37" s="1665"/>
      <c r="T37" s="1655"/>
      <c r="U37" s="1655"/>
      <c r="V37" s="1655"/>
    </row>
    <row r="38" spans="1:22">
      <c r="A38" s="1654"/>
      <c r="B38" s="1655"/>
      <c r="C38" s="1655"/>
      <c r="D38" s="1655"/>
      <c r="E38" s="1655"/>
      <c r="F38" s="1665"/>
      <c r="G38" s="1665"/>
      <c r="H38" s="1665"/>
      <c r="I38" s="1665"/>
      <c r="J38" s="1665"/>
      <c r="K38" s="1665"/>
      <c r="L38" s="1665"/>
      <c r="M38" s="1665"/>
      <c r="N38" s="1665"/>
      <c r="O38" s="1665"/>
      <c r="P38" s="1665"/>
      <c r="Q38" s="1665"/>
      <c r="R38" s="1665"/>
      <c r="S38" s="1665"/>
      <c r="T38" s="1655"/>
      <c r="U38" s="1655"/>
      <c r="V38" s="1655"/>
    </row>
    <row r="39" spans="1:22">
      <c r="A39" s="1654"/>
      <c r="B39" s="1686" t="s">
        <v>817</v>
      </c>
      <c r="C39" s="1685"/>
      <c r="D39" s="1685"/>
      <c r="E39" s="1655"/>
      <c r="F39" s="1716"/>
      <c r="G39" s="1716"/>
      <c r="H39" s="1716"/>
      <c r="I39" s="1716"/>
      <c r="J39" s="1716"/>
      <c r="K39" s="1716"/>
      <c r="L39" s="1716"/>
      <c r="M39" s="1716"/>
      <c r="N39" s="1716"/>
      <c r="O39" s="1665"/>
      <c r="P39" s="1716"/>
      <c r="Q39" s="1665"/>
      <c r="R39" s="1716"/>
      <c r="S39" s="1716"/>
      <c r="T39" s="1668"/>
      <c r="U39" s="1668"/>
      <c r="V39" s="1668"/>
    </row>
    <row r="40" spans="1:22">
      <c r="A40" s="1654"/>
      <c r="B40" s="1692" t="s">
        <v>821</v>
      </c>
      <c r="C40" s="1691">
        <f>+'Balance Sheet Data'!P13+'Balance Sheet Data'!P19</f>
        <v>-16767</v>
      </c>
      <c r="D40" s="1691">
        <f>+'Balance Sheet Data'!P13+'Balance Sheet Data'!P19</f>
        <v>-16767</v>
      </c>
      <c r="E40" s="1655"/>
      <c r="F40" s="1665"/>
      <c r="G40" s="1665"/>
      <c r="H40" s="1665"/>
      <c r="I40" s="1665"/>
      <c r="J40" s="1665"/>
      <c r="K40" s="1662"/>
      <c r="L40" s="1714"/>
      <c r="M40" s="1714"/>
      <c r="N40" s="1714"/>
      <c r="O40" s="1665"/>
      <c r="P40" s="1665"/>
      <c r="Q40" s="1665"/>
      <c r="R40" s="1665"/>
      <c r="S40" s="1665"/>
      <c r="T40" s="1655"/>
      <c r="U40" s="1655"/>
      <c r="V40" s="1655"/>
    </row>
    <row r="41" spans="1:22">
      <c r="A41" s="1654"/>
      <c r="B41" s="1692" t="s">
        <v>822</v>
      </c>
      <c r="C41" s="1691">
        <f>+-'Balance Sheet Data'!P9</f>
        <v>-7200</v>
      </c>
      <c r="D41" s="1691">
        <f>+-'Balance Sheet Data'!P9</f>
        <v>-7200</v>
      </c>
      <c r="E41" s="1694" t="s">
        <v>1114</v>
      </c>
      <c r="F41" s="1716"/>
      <c r="G41" s="1665"/>
      <c r="H41" s="1665"/>
      <c r="I41" s="1665"/>
      <c r="J41" s="1665"/>
      <c r="K41" s="1662"/>
      <c r="L41" s="1714"/>
      <c r="M41" s="1714"/>
      <c r="N41" s="1714"/>
      <c r="O41" s="1716"/>
      <c r="P41" s="1716"/>
      <c r="Q41" s="1720"/>
      <c r="R41" s="1716"/>
      <c r="S41" s="1665"/>
      <c r="T41" s="1679"/>
      <c r="U41" s="1679"/>
      <c r="V41" s="1679"/>
    </row>
    <row r="42" spans="1:22" ht="26.4">
      <c r="A42" s="1654"/>
      <c r="B42" s="1692" t="s">
        <v>823</v>
      </c>
      <c r="C42" s="1691">
        <f>-'Balance Sheet Data'!P12</f>
        <v>0</v>
      </c>
      <c r="D42" s="1691">
        <f>-'Balance Sheet Data'!P12</f>
        <v>0</v>
      </c>
      <c r="E42" s="1693" t="s">
        <v>1113</v>
      </c>
      <c r="F42" s="1716"/>
      <c r="G42" s="1665"/>
      <c r="H42" s="1665"/>
      <c r="I42" s="1665"/>
      <c r="J42" s="1665"/>
      <c r="K42" s="1662"/>
      <c r="L42" s="1714"/>
      <c r="M42" s="1714"/>
      <c r="N42" s="1714"/>
      <c r="O42" s="1665"/>
      <c r="P42" s="1716"/>
      <c r="Q42" s="1721"/>
      <c r="R42" s="1716"/>
      <c r="S42" s="1665"/>
      <c r="T42" s="1655"/>
      <c r="U42" s="1655"/>
      <c r="V42" s="1655"/>
    </row>
    <row r="43" spans="1:22">
      <c r="A43" s="1654"/>
      <c r="B43" s="1668" t="s">
        <v>824</v>
      </c>
      <c r="C43" s="1680">
        <f>SUM(C40:C42)</f>
        <v>-23967</v>
      </c>
      <c r="D43" s="1680">
        <f>SUM(D40:D42)</f>
        <v>-23967</v>
      </c>
      <c r="E43" s="1668"/>
      <c r="F43" s="1716"/>
      <c r="G43" s="1665"/>
      <c r="H43" s="1665"/>
      <c r="I43" s="1665"/>
      <c r="J43" s="1665"/>
      <c r="K43" s="1716"/>
      <c r="L43" s="1735"/>
      <c r="M43" s="1735"/>
      <c r="N43" s="1735"/>
      <c r="O43" s="1665"/>
      <c r="P43" s="1716"/>
      <c r="Q43" s="1716"/>
      <c r="R43" s="1716"/>
      <c r="S43" s="1665"/>
      <c r="T43" s="1655"/>
      <c r="U43" s="1655"/>
      <c r="V43" s="1655"/>
    </row>
    <row r="44" spans="1:22">
      <c r="A44" s="1654"/>
      <c r="B44" s="1655"/>
      <c r="C44" s="1655"/>
      <c r="D44" s="1655"/>
      <c r="E44" s="1668"/>
      <c r="F44" s="1716"/>
      <c r="G44" s="1665"/>
      <c r="H44" s="1665"/>
      <c r="I44" s="1665"/>
      <c r="J44" s="1716"/>
      <c r="K44" s="1665"/>
      <c r="L44" s="1665"/>
      <c r="M44" s="1665"/>
      <c r="N44" s="1665"/>
      <c r="O44" s="1665"/>
      <c r="P44" s="1716"/>
      <c r="Q44" s="1716"/>
      <c r="R44" s="1716"/>
      <c r="S44" s="1665"/>
      <c r="T44" s="1655"/>
      <c r="U44" s="1655"/>
      <c r="V44" s="1668"/>
    </row>
    <row r="45" spans="1:22">
      <c r="A45" s="1654"/>
      <c r="B45" s="1681" t="s">
        <v>825</v>
      </c>
      <c r="C45" s="1689">
        <f>+'IncomeandExpenditure Data'!V52</f>
        <v>533904.93800000008</v>
      </c>
      <c r="D45" s="1689">
        <f>+'IncomeandExpenditure Data'!V52</f>
        <v>533904.93800000008</v>
      </c>
      <c r="E45" s="1655"/>
      <c r="F45" s="1665"/>
      <c r="G45" s="1665"/>
      <c r="H45" s="1665"/>
      <c r="I45" s="1665"/>
      <c r="J45" s="1665"/>
      <c r="K45" s="1716"/>
      <c r="L45" s="1735"/>
      <c r="M45" s="1735"/>
      <c r="N45" s="1735"/>
      <c r="O45" s="1665"/>
      <c r="P45" s="1714"/>
      <c r="Q45" s="1665"/>
      <c r="R45" s="1665"/>
      <c r="S45" s="1665"/>
      <c r="T45" s="1679"/>
      <c r="U45" s="1679"/>
      <c r="V45" s="1679"/>
    </row>
    <row r="46" spans="1:22">
      <c r="A46" s="1654"/>
      <c r="B46" s="1679"/>
      <c r="C46" s="1688"/>
      <c r="D46" s="1688"/>
      <c r="E46" s="1655"/>
      <c r="F46" s="1665"/>
      <c r="G46" s="1665"/>
      <c r="H46" s="1665"/>
      <c r="I46" s="1665"/>
      <c r="J46" s="1665"/>
      <c r="K46" s="1665"/>
      <c r="L46" s="1714"/>
      <c r="M46" s="1714"/>
      <c r="N46" s="1714"/>
      <c r="O46" s="1665"/>
      <c r="P46" s="1665"/>
      <c r="Q46" s="1665"/>
      <c r="R46" s="1665"/>
      <c r="S46" s="1665"/>
      <c r="T46" s="1679"/>
      <c r="U46" s="1679"/>
      <c r="V46" s="1679"/>
    </row>
    <row r="47" spans="1:22">
      <c r="A47" s="1654"/>
      <c r="B47" s="1679" t="s">
        <v>826</v>
      </c>
      <c r="C47" s="1688">
        <f>C22</f>
        <v>360</v>
      </c>
      <c r="D47" s="1688">
        <f>D22</f>
        <v>360</v>
      </c>
      <c r="E47" s="1655"/>
      <c r="F47" s="1665"/>
      <c r="G47" s="1665"/>
      <c r="H47" s="1665"/>
      <c r="I47" s="1665"/>
      <c r="J47" s="1665"/>
      <c r="K47" s="1665"/>
      <c r="L47" s="1714"/>
      <c r="M47" s="1714"/>
      <c r="N47" s="1714"/>
      <c r="O47" s="1665"/>
      <c r="P47" s="1665"/>
      <c r="Q47" s="1665"/>
      <c r="R47" s="1665"/>
      <c r="S47" s="1665"/>
      <c r="T47" s="1679"/>
      <c r="U47" s="1679"/>
      <c r="V47" s="1679"/>
    </row>
    <row r="48" spans="1:22">
      <c r="A48" s="1654"/>
      <c r="B48" s="1681" t="s">
        <v>827</v>
      </c>
      <c r="C48" s="1680">
        <f>IF(C45=0,0,(C43/C45)*C47)</f>
        <v>-16.160404944597083</v>
      </c>
      <c r="D48" s="1680">
        <f>IF(D45=0,0,(D43/D45)*D47)</f>
        <v>-16.160404944597083</v>
      </c>
      <c r="E48" s="1655"/>
      <c r="F48" s="1665"/>
      <c r="G48" s="1665"/>
      <c r="H48" s="1665"/>
      <c r="I48" s="1665"/>
      <c r="J48" s="1665"/>
      <c r="K48" s="1716"/>
      <c r="L48" s="1735"/>
      <c r="M48" s="1735"/>
      <c r="N48" s="1735"/>
      <c r="O48" s="1665"/>
      <c r="P48" s="1665"/>
      <c r="Q48" s="1665"/>
      <c r="R48" s="1665"/>
      <c r="S48" s="1665"/>
      <c r="T48" s="1679"/>
      <c r="U48" s="1679"/>
      <c r="V48" s="1679"/>
    </row>
    <row r="49" spans="1:22">
      <c r="A49" s="1654"/>
      <c r="B49" s="1679"/>
      <c r="C49" s="1687"/>
      <c r="D49" s="1687"/>
      <c r="E49" s="1655"/>
      <c r="F49" s="1665"/>
      <c r="G49" s="1665"/>
      <c r="H49" s="1665"/>
      <c r="I49" s="1665"/>
      <c r="J49" s="1665"/>
      <c r="K49" s="1665"/>
      <c r="L49" s="1717"/>
      <c r="M49" s="1717"/>
      <c r="N49" s="1717"/>
      <c r="O49" s="1665"/>
      <c r="P49" s="1665"/>
      <c r="Q49" s="1665"/>
      <c r="R49" s="1665"/>
      <c r="S49" s="1665"/>
      <c r="T49" s="1679"/>
      <c r="U49" s="1679"/>
      <c r="V49" s="1679"/>
    </row>
    <row r="50" spans="1:22">
      <c r="A50" s="1654"/>
      <c r="B50" s="1677" t="s">
        <v>1110</v>
      </c>
      <c r="C50" s="1676">
        <f>IF(C48&gt;=$G$93,$G$87,INDEX($G$87:$K$87,,MATCH(C48,$G$93:$K$93,-1)+1))</f>
        <v>1</v>
      </c>
      <c r="D50" s="1676">
        <f>IF(D48&gt;=$G$93,$G$87,INDEX($G$87:$K$87,,MATCH(D48,$G$93:$K$93,-1)+1))</f>
        <v>1</v>
      </c>
      <c r="E50" s="1655"/>
      <c r="F50" s="1665"/>
      <c r="G50" s="1665"/>
      <c r="H50" s="1665"/>
      <c r="I50" s="1665"/>
      <c r="J50" s="1665"/>
      <c r="K50" s="1677"/>
      <c r="L50" s="958"/>
      <c r="M50" s="958"/>
      <c r="N50" s="958"/>
      <c r="O50" s="1665"/>
      <c r="P50" s="1665"/>
      <c r="Q50" s="1665"/>
      <c r="R50" s="1665"/>
      <c r="S50" s="1665"/>
      <c r="T50" s="1679"/>
      <c r="U50" s="1679"/>
      <c r="V50" s="1679"/>
    </row>
    <row r="51" spans="1:22">
      <c r="A51" s="1654"/>
      <c r="B51" s="1682"/>
      <c r="C51" s="958"/>
      <c r="D51" s="958"/>
      <c r="E51" s="1655"/>
      <c r="F51" s="1665"/>
      <c r="G51" s="1665"/>
      <c r="H51" s="1665"/>
      <c r="I51" s="1665"/>
      <c r="J51" s="1665"/>
      <c r="K51" s="1682"/>
      <c r="L51" s="958"/>
      <c r="M51" s="958"/>
      <c r="N51" s="958"/>
      <c r="O51" s="1665"/>
      <c r="P51" s="1665"/>
      <c r="Q51" s="1665"/>
      <c r="R51" s="1665"/>
      <c r="S51" s="1665"/>
      <c r="T51" s="1679"/>
      <c r="U51" s="1679"/>
      <c r="V51" s="1679"/>
    </row>
    <row r="52" spans="1:22">
      <c r="A52" s="1654"/>
      <c r="B52" s="1686" t="s">
        <v>828</v>
      </c>
      <c r="C52" s="1685"/>
      <c r="D52" s="1685"/>
      <c r="E52" s="1655"/>
      <c r="F52" s="1665"/>
      <c r="G52" s="1665"/>
      <c r="H52" s="1665"/>
      <c r="I52" s="1665"/>
      <c r="J52" s="1665"/>
      <c r="K52" s="1716"/>
      <c r="L52" s="1716"/>
      <c r="M52" s="1716"/>
      <c r="N52" s="1716"/>
      <c r="O52" s="1665"/>
      <c r="P52" s="1665"/>
      <c r="Q52" s="1665"/>
      <c r="R52" s="1665"/>
      <c r="S52" s="1665"/>
      <c r="T52" s="1679"/>
      <c r="U52" s="1679"/>
      <c r="V52" s="1679"/>
    </row>
    <row r="53" spans="1:22">
      <c r="A53" s="1654"/>
      <c r="B53" s="1684" t="s">
        <v>1112</v>
      </c>
      <c r="C53" s="958"/>
      <c r="D53" s="958"/>
      <c r="E53" s="1655"/>
      <c r="F53" s="1665"/>
      <c r="G53" s="1665"/>
      <c r="H53" s="1665"/>
      <c r="I53" s="1665"/>
      <c r="J53" s="1665"/>
      <c r="K53" s="1684"/>
      <c r="L53" s="958"/>
      <c r="M53" s="958"/>
      <c r="N53" s="958"/>
      <c r="O53" s="1665"/>
      <c r="P53" s="1665"/>
      <c r="Q53" s="1665"/>
      <c r="R53" s="1665"/>
      <c r="S53" s="1665"/>
      <c r="T53" s="1679"/>
      <c r="U53" s="1679"/>
      <c r="V53" s="1679"/>
    </row>
    <row r="54" spans="1:22">
      <c r="A54" s="1654"/>
      <c r="B54" s="958"/>
      <c r="C54" s="958"/>
      <c r="D54" s="958"/>
      <c r="E54" s="1655"/>
      <c r="F54" s="1665"/>
      <c r="G54" s="1665"/>
      <c r="H54" s="1665"/>
      <c r="I54" s="1665"/>
      <c r="J54" s="1665"/>
      <c r="K54" s="958"/>
      <c r="L54" s="958"/>
      <c r="M54" s="958"/>
      <c r="N54" s="958"/>
      <c r="O54" s="1665"/>
      <c r="P54" s="1665"/>
      <c r="Q54" s="1665"/>
      <c r="R54" s="1665"/>
      <c r="S54" s="1665"/>
      <c r="T54" s="1655"/>
      <c r="U54" s="1655"/>
      <c r="V54" s="1655"/>
    </row>
    <row r="55" spans="1:22">
      <c r="A55" s="1654"/>
      <c r="B55" s="1683" t="s">
        <v>830</v>
      </c>
      <c r="C55" s="958">
        <f>C45/C47*30</f>
        <v>44492.078166666673</v>
      </c>
      <c r="D55" s="958">
        <f>D45/12</f>
        <v>44492.078166666673</v>
      </c>
      <c r="E55" s="1655"/>
      <c r="F55" s="1665"/>
      <c r="G55" s="1665"/>
      <c r="H55" s="1665"/>
      <c r="I55" s="1665"/>
      <c r="J55" s="1665"/>
      <c r="K55" s="1683"/>
      <c r="L55" s="958"/>
      <c r="M55" s="958"/>
      <c r="N55" s="958"/>
      <c r="O55" s="1665"/>
      <c r="P55" s="1665"/>
      <c r="Q55" s="1665"/>
      <c r="R55" s="1665"/>
      <c r="S55" s="1665"/>
      <c r="T55" s="1655"/>
      <c r="U55" s="1655"/>
      <c r="V55" s="1655"/>
    </row>
    <row r="56" spans="1:22">
      <c r="A56" s="1654"/>
      <c r="B56" s="1682" t="s">
        <v>831</v>
      </c>
      <c r="C56" s="949">
        <f>C55+C43</f>
        <v>20525.078166666673</v>
      </c>
      <c r="D56" s="949">
        <f>D55+D43</f>
        <v>20525.078166666673</v>
      </c>
      <c r="E56" s="1655"/>
      <c r="F56" s="1665"/>
      <c r="G56" s="1665"/>
      <c r="H56" s="1665"/>
      <c r="I56" s="1665"/>
      <c r="J56" s="1665"/>
      <c r="K56" s="1682"/>
      <c r="L56" s="949"/>
      <c r="M56" s="949"/>
      <c r="N56" s="949"/>
      <c r="O56" s="1665"/>
      <c r="P56" s="1665"/>
      <c r="Q56" s="1665"/>
      <c r="R56" s="1665"/>
      <c r="S56" s="1665"/>
      <c r="T56" s="1655"/>
      <c r="U56" s="1655"/>
      <c r="V56" s="1655"/>
    </row>
    <row r="57" spans="1:22">
      <c r="A57" s="1654"/>
      <c r="B57" s="1682"/>
      <c r="C57" s="949"/>
      <c r="D57" s="949"/>
      <c r="E57" s="1655"/>
      <c r="F57" s="1665"/>
      <c r="G57" s="1665"/>
      <c r="H57" s="1665"/>
      <c r="I57" s="1665"/>
      <c r="J57" s="1665"/>
      <c r="K57" s="1682"/>
      <c r="L57" s="949"/>
      <c r="M57" s="949"/>
      <c r="N57" s="949"/>
      <c r="O57" s="1665"/>
      <c r="P57" s="1665"/>
      <c r="Q57" s="1665"/>
      <c r="R57" s="1665"/>
      <c r="S57" s="1665"/>
      <c r="T57" s="1655"/>
      <c r="U57" s="1655"/>
      <c r="V57" s="1655"/>
    </row>
    <row r="58" spans="1:22">
      <c r="A58" s="1654"/>
      <c r="B58" s="1682"/>
      <c r="C58" s="949"/>
      <c r="D58" s="949"/>
      <c r="E58" s="1655"/>
      <c r="F58" s="1665"/>
      <c r="G58" s="1665"/>
      <c r="H58" s="1665"/>
      <c r="I58" s="1665"/>
      <c r="J58" s="1665"/>
      <c r="K58" s="1682"/>
      <c r="L58" s="949"/>
      <c r="M58" s="949"/>
      <c r="N58" s="949"/>
      <c r="O58" s="1665"/>
      <c r="P58" s="1665"/>
      <c r="Q58" s="1665"/>
      <c r="R58" s="1665"/>
      <c r="S58" s="1665"/>
      <c r="T58" s="1655"/>
      <c r="U58" s="1655"/>
      <c r="V58" s="1655"/>
    </row>
    <row r="59" spans="1:22">
      <c r="A59" s="1654"/>
      <c r="B59" s="1681" t="s">
        <v>1111</v>
      </c>
      <c r="C59" s="1680">
        <f>IF(C45=0,0,C56/C45*C47)</f>
        <v>13.839595055402917</v>
      </c>
      <c r="D59" s="1680">
        <f>IF(D45=0,0,D56/D45*D47)</f>
        <v>13.839595055402917</v>
      </c>
      <c r="E59" s="1655"/>
      <c r="F59" s="1665"/>
      <c r="G59" s="1665"/>
      <c r="H59" s="1665"/>
      <c r="I59" s="1665"/>
      <c r="J59" s="1665"/>
      <c r="K59" s="1716"/>
      <c r="L59" s="1735"/>
      <c r="M59" s="1735"/>
      <c r="N59" s="1735"/>
      <c r="O59" s="1665"/>
      <c r="P59" s="1665"/>
      <c r="Q59" s="1665"/>
      <c r="R59" s="1665"/>
      <c r="S59" s="1665"/>
      <c r="T59" s="1655"/>
      <c r="U59" s="1655"/>
      <c r="V59" s="1655"/>
    </row>
    <row r="60" spans="1:22">
      <c r="A60" s="1654"/>
      <c r="B60" s="1679"/>
      <c r="C60" s="1679"/>
      <c r="D60" s="1665"/>
      <c r="E60" s="1655"/>
      <c r="F60" s="1665"/>
      <c r="G60" s="1665"/>
      <c r="H60" s="1665"/>
      <c r="I60" s="1665"/>
      <c r="J60" s="1665"/>
      <c r="K60" s="1665"/>
      <c r="L60" s="1665"/>
      <c r="M60" s="1665"/>
      <c r="N60" s="1665"/>
      <c r="O60" s="1665"/>
      <c r="P60" s="1665"/>
      <c r="Q60" s="1665"/>
      <c r="R60" s="1665"/>
      <c r="S60" s="1665"/>
      <c r="T60" s="1655"/>
      <c r="U60" s="1655"/>
      <c r="V60" s="1655"/>
    </row>
    <row r="61" spans="1:22">
      <c r="A61" s="1654"/>
      <c r="B61" s="1677" t="s">
        <v>1110</v>
      </c>
      <c r="C61" s="1676">
        <f>IF(C59&gt;=$G$93,$G$87,INDEX($G$87:$K$87,,MATCH(C59,$G$93:$K$93,-1)+1))</f>
        <v>2</v>
      </c>
      <c r="D61" s="1678">
        <f>IF(D59&gt;=$G$93,$G$87,INDEX($G$87:$K$87,,MATCH(D59,$G$93:$K$93,-1)+1))</f>
        <v>2</v>
      </c>
      <c r="E61" s="1655"/>
      <c r="F61" s="1665"/>
      <c r="G61" s="1665"/>
      <c r="H61" s="1665"/>
      <c r="I61" s="1665"/>
      <c r="J61" s="1665"/>
      <c r="K61" s="1677"/>
      <c r="L61" s="958"/>
      <c r="M61" s="958"/>
      <c r="N61" s="958"/>
      <c r="O61" s="1665"/>
      <c r="P61" s="1665"/>
      <c r="Q61" s="1665"/>
      <c r="R61" s="1665"/>
      <c r="S61" s="1665"/>
      <c r="T61" s="1655"/>
      <c r="U61" s="1655"/>
      <c r="V61" s="1655"/>
    </row>
    <row r="62" spans="1:22">
      <c r="A62" s="1654"/>
      <c r="B62" s="1655"/>
      <c r="C62" s="1655"/>
      <c r="D62" s="1655"/>
      <c r="E62" s="1655"/>
      <c r="F62" s="1665"/>
      <c r="G62" s="1665"/>
      <c r="H62" s="1665"/>
      <c r="I62" s="1665"/>
      <c r="J62" s="1665"/>
      <c r="K62" s="1665"/>
      <c r="L62" s="1665"/>
      <c r="M62" s="1665"/>
      <c r="N62" s="1665"/>
      <c r="O62" s="1665"/>
      <c r="P62" s="1665"/>
      <c r="Q62" s="1665"/>
      <c r="R62" s="1665"/>
      <c r="S62" s="1665"/>
      <c r="T62" s="1655"/>
      <c r="U62" s="1655"/>
      <c r="V62" s="1655"/>
    </row>
    <row r="63" spans="1:22">
      <c r="A63" s="1654"/>
      <c r="B63" s="1655"/>
      <c r="C63" s="1655"/>
      <c r="D63" s="1655"/>
      <c r="E63" s="1655"/>
      <c r="F63" s="1665"/>
      <c r="G63" s="1665"/>
      <c r="H63" s="1665"/>
      <c r="I63" s="1665"/>
      <c r="J63" s="1665"/>
      <c r="K63" s="1665"/>
      <c r="L63" s="1665"/>
      <c r="M63" s="1665"/>
      <c r="N63" s="1665"/>
      <c r="O63" s="1665"/>
      <c r="P63" s="1665"/>
      <c r="Q63" s="1665"/>
      <c r="R63" s="1665"/>
      <c r="S63" s="1665"/>
      <c r="T63" s="1655"/>
      <c r="U63" s="1655"/>
      <c r="V63" s="1655"/>
    </row>
    <row r="64" spans="1:22">
      <c r="A64" s="1654"/>
      <c r="B64" s="1655"/>
      <c r="C64" s="1655"/>
      <c r="D64" s="1655"/>
      <c r="E64" s="1655"/>
      <c r="F64" s="1665"/>
      <c r="G64" s="1665"/>
      <c r="H64" s="1665"/>
      <c r="I64" s="1665"/>
      <c r="J64" s="1665"/>
      <c r="K64" s="1665"/>
      <c r="L64" s="1665"/>
      <c r="M64" s="1665"/>
      <c r="N64" s="1665"/>
      <c r="O64" s="1665"/>
      <c r="P64" s="1665"/>
      <c r="Q64" s="1665"/>
      <c r="R64" s="1665"/>
      <c r="S64" s="1665"/>
      <c r="T64" s="1655"/>
      <c r="U64" s="1655"/>
      <c r="V64" s="1655"/>
    </row>
    <row r="65" spans="1:22">
      <c r="A65" s="1654"/>
      <c r="B65" s="1655"/>
      <c r="C65" s="1655"/>
      <c r="D65" s="1655"/>
      <c r="E65" s="1655"/>
      <c r="F65" s="1665"/>
      <c r="G65" s="1665"/>
      <c r="H65" s="1665"/>
      <c r="I65" s="1665"/>
      <c r="J65" s="1665"/>
      <c r="K65" s="1665"/>
      <c r="L65" s="1665"/>
      <c r="M65" s="1665"/>
      <c r="N65" s="1665"/>
      <c r="O65" s="1665"/>
      <c r="P65" s="1665"/>
      <c r="Q65" s="1665"/>
      <c r="R65" s="1665"/>
      <c r="S65" s="1665"/>
      <c r="T65" s="1655"/>
      <c r="U65" s="1655"/>
      <c r="V65" s="1655"/>
    </row>
    <row r="66" spans="1:22">
      <c r="A66" s="1654"/>
      <c r="B66" s="1675" t="s">
        <v>1109</v>
      </c>
      <c r="C66" s="2207" t="s">
        <v>832</v>
      </c>
      <c r="D66" s="2207"/>
      <c r="E66" s="1655"/>
      <c r="F66" s="1673"/>
      <c r="G66" s="1665"/>
      <c r="H66" s="1665"/>
      <c r="I66" s="1665"/>
      <c r="J66" s="1665"/>
      <c r="K66" s="1716"/>
      <c r="L66" s="2208"/>
      <c r="M66" s="2208"/>
      <c r="N66" s="1665"/>
      <c r="O66" s="2208"/>
      <c r="P66" s="2208"/>
      <c r="Q66" s="1665"/>
      <c r="R66" s="1673"/>
      <c r="S66" s="1665"/>
      <c r="T66" s="1655"/>
      <c r="U66" s="1655"/>
      <c r="V66" s="1655"/>
    </row>
    <row r="67" spans="1:22">
      <c r="A67" s="1654"/>
      <c r="B67" s="1667"/>
      <c r="C67" s="1674" t="s">
        <v>833</v>
      </c>
      <c r="D67" s="1674" t="s">
        <v>834</v>
      </c>
      <c r="E67" s="1655"/>
      <c r="F67" s="1673"/>
      <c r="G67" s="1716"/>
      <c r="H67" s="1665"/>
      <c r="I67" s="1665"/>
      <c r="J67" s="1665"/>
      <c r="K67" s="1665"/>
      <c r="L67" s="71"/>
      <c r="M67" s="71"/>
      <c r="N67" s="71"/>
      <c r="O67" s="71"/>
      <c r="P67" s="71"/>
      <c r="Q67" s="1665"/>
      <c r="R67" s="1673"/>
      <c r="S67" s="1716"/>
      <c r="T67" s="1655"/>
      <c r="U67" s="1655"/>
      <c r="V67" s="1655"/>
    </row>
    <row r="68" spans="1:22">
      <c r="A68" s="1654"/>
      <c r="B68" s="1664" t="s">
        <v>724</v>
      </c>
      <c r="C68" s="1672">
        <f>C7</f>
        <v>1</v>
      </c>
      <c r="D68" s="1672">
        <f>D7</f>
        <v>2</v>
      </c>
      <c r="E68" s="1668"/>
      <c r="F68" s="1673"/>
      <c r="G68" s="1665"/>
      <c r="H68" s="1716"/>
      <c r="I68" s="1716"/>
      <c r="J68" s="1716"/>
      <c r="K68" s="1662"/>
      <c r="L68" s="1714"/>
      <c r="M68" s="1714"/>
      <c r="N68" s="1714"/>
      <c r="O68" s="1714"/>
      <c r="P68" s="1714"/>
      <c r="Q68" s="1716"/>
      <c r="R68" s="1673"/>
      <c r="S68" s="1665"/>
      <c r="T68" s="1668"/>
      <c r="U68" s="1668"/>
      <c r="V68" s="1668"/>
    </row>
    <row r="69" spans="1:22">
      <c r="A69" s="1654"/>
      <c r="B69" s="1664" t="s">
        <v>727</v>
      </c>
      <c r="C69" s="1672">
        <f>C14</f>
        <v>4</v>
      </c>
      <c r="D69" s="1672">
        <f>D14</f>
        <v>4</v>
      </c>
      <c r="E69" s="1655"/>
      <c r="F69" s="1673"/>
      <c r="G69" s="1658"/>
      <c r="H69" s="1665"/>
      <c r="I69" s="1665"/>
      <c r="J69" s="1665"/>
      <c r="K69" s="1662"/>
      <c r="L69" s="1714"/>
      <c r="M69" s="1714"/>
      <c r="N69" s="1714"/>
      <c r="O69" s="1714"/>
      <c r="P69" s="1714"/>
      <c r="Q69" s="1665"/>
      <c r="R69" s="1673"/>
      <c r="S69" s="1658"/>
      <c r="T69" s="1655"/>
      <c r="U69" s="1655"/>
      <c r="V69" s="1655"/>
    </row>
    <row r="70" spans="1:22">
      <c r="A70" s="1654"/>
      <c r="B70" s="1667" t="s">
        <v>1108</v>
      </c>
      <c r="C70" s="1672">
        <f>C27</f>
        <v>1</v>
      </c>
      <c r="D70" s="1672">
        <f>D27</f>
        <v>1</v>
      </c>
      <c r="E70" s="1661"/>
      <c r="F70" s="1673"/>
      <c r="G70" s="1665"/>
      <c r="H70" s="1658"/>
      <c r="I70" s="1658"/>
      <c r="J70" s="1658"/>
      <c r="K70" s="1665"/>
      <c r="L70" s="1714"/>
      <c r="M70" s="1714"/>
      <c r="N70" s="1714"/>
      <c r="O70" s="1714"/>
      <c r="P70" s="1714"/>
      <c r="Q70" s="1658"/>
      <c r="R70" s="1673"/>
      <c r="S70" s="1665"/>
      <c r="T70" s="1661"/>
      <c r="U70" s="1661"/>
      <c r="V70" s="1661"/>
    </row>
    <row r="71" spans="1:22">
      <c r="A71" s="1654"/>
      <c r="B71" s="1664" t="s">
        <v>820</v>
      </c>
      <c r="C71" s="1672">
        <f>C37</f>
        <v>1</v>
      </c>
      <c r="D71" s="1672">
        <f>D37</f>
        <v>1</v>
      </c>
      <c r="E71" s="1655"/>
      <c r="F71" s="1665"/>
      <c r="G71" s="1665"/>
      <c r="H71" s="1665"/>
      <c r="I71" s="1665"/>
      <c r="J71" s="1665"/>
      <c r="K71" s="1662"/>
      <c r="L71" s="1714"/>
      <c r="M71" s="1714"/>
      <c r="N71" s="1714"/>
      <c r="O71" s="1714"/>
      <c r="P71" s="1714"/>
      <c r="Q71" s="1665"/>
      <c r="R71" s="1665"/>
      <c r="S71" s="1665"/>
      <c r="T71" s="1655"/>
      <c r="U71" s="1655"/>
      <c r="V71" s="1655"/>
    </row>
    <row r="72" spans="1:22">
      <c r="A72" s="1654"/>
      <c r="B72" s="1664" t="s">
        <v>331</v>
      </c>
      <c r="C72" s="1672">
        <f>C61</f>
        <v>2</v>
      </c>
      <c r="D72" s="1672">
        <f>D61</f>
        <v>2</v>
      </c>
      <c r="E72" s="1665"/>
      <c r="F72" s="1665"/>
      <c r="G72" s="1665"/>
      <c r="H72" s="1665"/>
      <c r="I72" s="1665"/>
      <c r="J72" s="1665"/>
      <c r="K72" s="1662"/>
      <c r="L72" s="1714"/>
      <c r="M72" s="1714"/>
      <c r="N72" s="1714"/>
      <c r="O72" s="1714"/>
      <c r="P72" s="1714"/>
      <c r="Q72" s="1665"/>
      <c r="R72" s="1665"/>
      <c r="S72" s="1665"/>
      <c r="T72" s="1655"/>
      <c r="U72" s="1655"/>
      <c r="V72" s="1655"/>
    </row>
    <row r="73" spans="1:22">
      <c r="A73" s="1654"/>
      <c r="B73" s="1667" t="s">
        <v>835</v>
      </c>
      <c r="C73" s="1671">
        <f>SUMPRODUCT(C68:C72,$D$89:$D$93)</f>
        <v>1.55</v>
      </c>
      <c r="D73" s="1671">
        <f>SUMPRODUCT(D68:D72,$D$89:$D$93)</f>
        <v>1.8</v>
      </c>
      <c r="E73" s="1655"/>
      <c r="F73" s="1665"/>
      <c r="G73" s="1665"/>
      <c r="H73" s="1665"/>
      <c r="I73" s="1665"/>
      <c r="J73" s="1665"/>
      <c r="K73" s="1665"/>
      <c r="L73" s="1736"/>
      <c r="M73" s="1736"/>
      <c r="N73" s="1736"/>
      <c r="O73" s="1737"/>
      <c r="P73" s="1737"/>
      <c r="Q73" s="1665"/>
      <c r="R73" s="1665"/>
      <c r="S73" s="1665"/>
      <c r="T73" s="1655"/>
      <c r="U73" s="1655"/>
      <c r="V73" s="1655"/>
    </row>
    <row r="74" spans="1:22">
      <c r="A74" s="1654"/>
      <c r="B74" s="1667"/>
      <c r="C74" s="1666"/>
      <c r="D74" s="1666"/>
      <c r="E74" s="1655"/>
      <c r="F74" s="1665"/>
      <c r="G74" s="1665"/>
      <c r="H74" s="1665"/>
      <c r="I74" s="1665"/>
      <c r="J74" s="1665"/>
      <c r="K74" s="1665"/>
      <c r="L74" s="1665"/>
      <c r="M74" s="1665"/>
      <c r="N74" s="1665"/>
      <c r="O74" s="1665"/>
      <c r="P74" s="1665"/>
      <c r="Q74" s="1665"/>
      <c r="R74" s="1665"/>
      <c r="S74" s="1665"/>
      <c r="T74" s="1655"/>
      <c r="U74" s="1655"/>
      <c r="V74" s="1655"/>
    </row>
    <row r="75" spans="1:22">
      <c r="A75" s="1654"/>
      <c r="B75" s="1670" t="s">
        <v>1107</v>
      </c>
      <c r="C75" s="1669">
        <f>MIN(C73,4,IF(C77&gt;1,"1",IF(C77=1,"2",IF(C78&gt;1,"2",IF(C78=1,"3",C73)))))</f>
        <v>1</v>
      </c>
      <c r="D75" s="1669">
        <f>MIN(D73,4,IF(D77&gt;1,"1",IF(D77=1,"2",IF(D78&gt;1,"2",IF(D78=1,"3",D73)))))</f>
        <v>1</v>
      </c>
      <c r="E75" s="1665"/>
      <c r="F75" s="1665"/>
      <c r="G75" s="1716"/>
      <c r="H75" s="1716"/>
      <c r="I75" s="1716"/>
      <c r="J75" s="1716"/>
      <c r="K75" s="1716"/>
      <c r="L75" s="1738"/>
      <c r="M75" s="1738"/>
      <c r="N75" s="1738"/>
      <c r="O75" s="1738"/>
      <c r="P75" s="1738"/>
      <c r="Q75" s="1665"/>
      <c r="R75" s="1665"/>
      <c r="S75" s="1716"/>
      <c r="T75" s="1668"/>
      <c r="U75" s="1668"/>
      <c r="V75" s="1668"/>
    </row>
    <row r="76" spans="1:22">
      <c r="A76" s="1654"/>
      <c r="B76" s="1667"/>
      <c r="C76" s="1666"/>
      <c r="D76" s="1666"/>
      <c r="E76" s="1665" t="s">
        <v>554</v>
      </c>
      <c r="F76" s="1662"/>
      <c r="G76" s="1665"/>
      <c r="H76" s="1665"/>
      <c r="I76" s="1665"/>
      <c r="J76" s="1665"/>
      <c r="K76" s="1665"/>
      <c r="L76" s="1665"/>
      <c r="M76" s="1665"/>
      <c r="N76" s="1665"/>
      <c r="O76" s="1665"/>
      <c r="P76" s="1665"/>
      <c r="Q76" s="1665"/>
      <c r="R76" s="1662"/>
      <c r="S76" s="1665"/>
      <c r="T76" s="1655"/>
      <c r="U76" s="1655"/>
      <c r="V76" s="1655"/>
    </row>
    <row r="77" spans="1:22">
      <c r="A77" s="1654"/>
      <c r="B77" s="1664" t="s">
        <v>836</v>
      </c>
      <c r="C77" s="1663">
        <f>COUNTIF(C68:C72,1)</f>
        <v>3</v>
      </c>
      <c r="D77" s="1663">
        <f>COUNTIF(D68:D72,1)</f>
        <v>2</v>
      </c>
      <c r="E77" s="1661"/>
      <c r="F77" s="1662"/>
      <c r="G77" s="1658"/>
      <c r="H77" s="1658"/>
      <c r="I77" s="1658"/>
      <c r="J77" s="1658"/>
      <c r="K77" s="1662"/>
      <c r="L77" s="1739"/>
      <c r="M77" s="1739"/>
      <c r="N77" s="1739"/>
      <c r="O77" s="1739"/>
      <c r="P77" s="1739"/>
      <c r="Q77" s="1658"/>
      <c r="R77" s="1662"/>
      <c r="S77" s="1658"/>
      <c r="T77" s="1661"/>
      <c r="U77" s="1661"/>
      <c r="V77" s="1661"/>
    </row>
    <row r="78" spans="1:22">
      <c r="A78" s="1654"/>
      <c r="B78" s="1660" t="s">
        <v>837</v>
      </c>
      <c r="C78" s="1659">
        <f>COUNTIF(C72,2)+COUNTIF(C68:C70,2)</f>
        <v>1</v>
      </c>
      <c r="D78" s="1659">
        <f>COUNTIF(D72,2)+COUNTIF(D68:D70,2)</f>
        <v>2</v>
      </c>
      <c r="E78" s="1655"/>
      <c r="F78" s="1658"/>
      <c r="G78" s="1665"/>
      <c r="H78" s="1665"/>
      <c r="I78" s="1665"/>
      <c r="J78" s="1665"/>
      <c r="K78" s="1662"/>
      <c r="L78" s="1739"/>
      <c r="M78" s="1739"/>
      <c r="N78" s="1739"/>
      <c r="O78" s="1739"/>
      <c r="P78" s="1739"/>
      <c r="Q78" s="1665"/>
      <c r="R78" s="1658"/>
      <c r="S78" s="1665"/>
      <c r="T78" s="1655"/>
      <c r="U78" s="1655"/>
      <c r="V78" s="1655"/>
    </row>
    <row r="79" spans="1:22">
      <c r="A79" s="1654"/>
      <c r="B79" s="1655"/>
      <c r="C79" s="1655"/>
      <c r="D79" s="1655"/>
      <c r="E79" s="1655"/>
      <c r="F79" s="1665"/>
      <c r="G79" s="1665"/>
      <c r="H79" s="1665"/>
      <c r="I79" s="1665"/>
      <c r="J79" s="1665"/>
      <c r="K79" s="1665"/>
      <c r="L79" s="1665"/>
      <c r="M79" s="1665"/>
      <c r="N79" s="1665"/>
      <c r="O79" s="1665"/>
      <c r="P79" s="1665"/>
      <c r="Q79" s="1665"/>
      <c r="R79" s="1665"/>
      <c r="S79" s="1665"/>
      <c r="T79" s="1655"/>
      <c r="U79" s="1655"/>
      <c r="V79" s="1655"/>
    </row>
    <row r="80" spans="1:22">
      <c r="A80" s="1654"/>
      <c r="B80" s="1657" t="s">
        <v>1106</v>
      </c>
      <c r="C80" s="1655"/>
      <c r="D80" s="1655"/>
      <c r="E80" s="1655"/>
      <c r="F80" s="1665"/>
      <c r="G80" s="1665"/>
      <c r="H80" s="1665"/>
      <c r="I80" s="1665"/>
      <c r="J80" s="1665"/>
      <c r="K80" s="1657"/>
      <c r="L80" s="1665"/>
      <c r="M80" s="1665"/>
      <c r="N80" s="1665"/>
      <c r="O80" s="1665"/>
      <c r="P80" s="1665"/>
      <c r="Q80" s="1665"/>
      <c r="R80" s="1665"/>
      <c r="S80" s="1665"/>
      <c r="T80" s="1655"/>
      <c r="U80" s="1655"/>
      <c r="V80" s="1655"/>
    </row>
    <row r="81" spans="1:22">
      <c r="A81" s="1654"/>
      <c r="B81" s="1655"/>
      <c r="C81" s="1655"/>
      <c r="D81" s="1655"/>
      <c r="E81" s="1655"/>
      <c r="F81" s="1665"/>
      <c r="G81" s="1665"/>
      <c r="H81" s="1665"/>
      <c r="I81" s="1665"/>
      <c r="J81" s="1665"/>
      <c r="K81" s="1665"/>
      <c r="L81" s="1665"/>
      <c r="M81" s="1665"/>
      <c r="N81" s="1665"/>
      <c r="O81" s="1665"/>
      <c r="P81" s="1665"/>
      <c r="Q81" s="1665"/>
      <c r="R81" s="1665"/>
      <c r="S81" s="1665"/>
      <c r="T81" s="1655"/>
      <c r="U81" s="1655"/>
      <c r="V81" s="1655"/>
    </row>
    <row r="82" spans="1:22">
      <c r="A82" s="1654"/>
      <c r="B82" s="1655"/>
      <c r="C82" s="1655"/>
      <c r="D82" s="1655"/>
      <c r="E82" s="1655"/>
      <c r="F82" s="1665"/>
      <c r="G82" s="1665"/>
      <c r="H82" s="1665"/>
      <c r="I82" s="1665"/>
      <c r="J82" s="1665"/>
      <c r="K82" s="1665"/>
      <c r="L82" s="1665"/>
      <c r="M82" s="1665"/>
      <c r="N82" s="1665"/>
      <c r="O82" s="1665"/>
      <c r="P82" s="1665"/>
      <c r="Q82" s="1665"/>
      <c r="R82" s="1665"/>
      <c r="S82" s="1665"/>
      <c r="T82" s="1655"/>
      <c r="U82" s="1655"/>
      <c r="V82" s="1655"/>
    </row>
    <row r="83" spans="1:22">
      <c r="A83" s="1654"/>
      <c r="B83" s="1655"/>
      <c r="C83" s="1655"/>
      <c r="D83" s="1655"/>
      <c r="E83" s="1655"/>
      <c r="F83" s="1655"/>
      <c r="G83" s="1655"/>
      <c r="H83" s="1655"/>
      <c r="I83" s="1655"/>
      <c r="J83" s="1655"/>
      <c r="K83" s="1655"/>
      <c r="L83" s="1655"/>
      <c r="M83" s="1655"/>
      <c r="N83" s="1655"/>
      <c r="O83" s="1655"/>
      <c r="P83" s="1655"/>
      <c r="Q83" s="1655"/>
      <c r="R83" s="1655"/>
      <c r="S83" s="1655"/>
      <c r="T83" s="1655"/>
      <c r="U83" s="1655"/>
      <c r="V83" s="1655"/>
    </row>
    <row r="84" spans="1:22">
      <c r="A84" s="1654"/>
      <c r="B84" s="1655"/>
      <c r="C84" s="1655"/>
      <c r="D84" s="1655"/>
      <c r="E84" s="1655"/>
      <c r="F84" s="1655"/>
      <c r="G84" s="1655"/>
      <c r="H84" s="1655"/>
      <c r="I84" s="1655"/>
      <c r="J84" s="1655"/>
      <c r="K84" s="1655"/>
      <c r="L84" s="1655"/>
      <c r="M84" s="1655"/>
      <c r="N84" s="1655"/>
      <c r="O84" s="1655"/>
      <c r="P84" s="1655"/>
      <c r="Q84" s="1655"/>
      <c r="R84" s="1655"/>
      <c r="S84" s="1655"/>
      <c r="T84" s="1655"/>
      <c r="U84" s="1655"/>
      <c r="V84" s="1655"/>
    </row>
    <row r="85" spans="1:22">
      <c r="A85" s="1654"/>
      <c r="B85" s="1655"/>
      <c r="C85" s="1655"/>
      <c r="D85" s="1655"/>
      <c r="E85" s="1655"/>
      <c r="F85" s="1655"/>
      <c r="G85" s="1655"/>
      <c r="H85" s="1655"/>
      <c r="I85" s="1655"/>
      <c r="J85" s="1655"/>
      <c r="K85" s="1655"/>
      <c r="L85" s="1655"/>
      <c r="M85" s="1655"/>
      <c r="N85" s="1655"/>
      <c r="O85" s="1655"/>
      <c r="P85" s="1655"/>
      <c r="Q85" s="1655"/>
      <c r="R85" s="1655"/>
      <c r="S85" s="1655"/>
      <c r="T85" s="1655"/>
      <c r="U85" s="1655"/>
      <c r="V85" s="1655"/>
    </row>
    <row r="86" spans="1:22" ht="12.75" customHeight="1">
      <c r="A86" s="1654"/>
      <c r="B86" s="4" t="s">
        <v>838</v>
      </c>
      <c r="C86" s="5" t="s">
        <v>839</v>
      </c>
      <c r="D86" s="5"/>
      <c r="E86" s="1652"/>
      <c r="F86" s="2205" t="s">
        <v>841</v>
      </c>
      <c r="G86" s="2205"/>
      <c r="H86" s="2205"/>
      <c r="I86" s="2205"/>
      <c r="J86" s="2206"/>
      <c r="K86" s="4" t="s">
        <v>838</v>
      </c>
      <c r="L86" s="5" t="s">
        <v>839</v>
      </c>
      <c r="M86" s="5"/>
      <c r="N86" s="5"/>
      <c r="O86" s="2148" t="s">
        <v>840</v>
      </c>
      <c r="P86" s="2148"/>
      <c r="Q86" s="2148"/>
      <c r="R86" s="2205" t="s">
        <v>841</v>
      </c>
      <c r="S86" s="2205"/>
      <c r="T86" s="2205"/>
      <c r="U86" s="2205"/>
      <c r="V86" s="2206"/>
    </row>
    <row r="87" spans="1:22">
      <c r="A87" s="1654"/>
      <c r="B87" s="6"/>
      <c r="C87" s="7"/>
      <c r="D87" s="7"/>
      <c r="E87" s="8"/>
      <c r="F87" s="7">
        <v>5</v>
      </c>
      <c r="G87" s="7">
        <v>4</v>
      </c>
      <c r="H87" s="7">
        <v>3</v>
      </c>
      <c r="I87" s="7">
        <v>2</v>
      </c>
      <c r="J87" s="10">
        <v>1</v>
      </c>
      <c r="K87" s="6"/>
      <c r="L87" s="7"/>
      <c r="M87" s="7"/>
      <c r="N87" s="7"/>
      <c r="O87" s="9"/>
      <c r="P87" s="8"/>
      <c r="Q87" s="8"/>
      <c r="R87" s="7">
        <v>5</v>
      </c>
      <c r="S87" s="7">
        <v>4</v>
      </c>
      <c r="T87" s="7">
        <v>3</v>
      </c>
      <c r="U87" s="7">
        <v>2</v>
      </c>
      <c r="V87" s="10">
        <v>1</v>
      </c>
    </row>
    <row r="88" spans="1:22">
      <c r="A88" s="1654"/>
      <c r="B88" s="11"/>
      <c r="C88" s="12"/>
      <c r="D88" s="12"/>
      <c r="E88" s="14"/>
      <c r="F88" s="13"/>
      <c r="G88" s="13"/>
      <c r="H88" s="13"/>
      <c r="I88" s="13"/>
      <c r="J88" s="15"/>
      <c r="K88" s="11"/>
      <c r="L88" s="12"/>
      <c r="M88" s="12"/>
      <c r="N88" s="12"/>
      <c r="O88" s="13"/>
      <c r="P88" s="14"/>
      <c r="Q88" s="14"/>
      <c r="R88" s="13"/>
      <c r="S88" s="13"/>
      <c r="T88" s="13"/>
      <c r="U88" s="13"/>
      <c r="V88" s="15"/>
    </row>
    <row r="89" spans="1:22">
      <c r="A89" s="1654"/>
      <c r="B89" s="16" t="s">
        <v>842</v>
      </c>
      <c r="C89" s="12">
        <v>25</v>
      </c>
      <c r="D89" s="1656">
        <v>0.25</v>
      </c>
      <c r="E89" s="14"/>
      <c r="F89" s="12">
        <v>10.999999000000001</v>
      </c>
      <c r="G89" s="12">
        <v>8.9999990000000007</v>
      </c>
      <c r="H89" s="12">
        <v>4.9999989999999999</v>
      </c>
      <c r="I89" s="12">
        <v>0.99999899999999997</v>
      </c>
      <c r="J89" s="18" t="s">
        <v>844</v>
      </c>
      <c r="K89" s="16" t="s">
        <v>842</v>
      </c>
      <c r="L89" s="12">
        <v>25</v>
      </c>
      <c r="M89" s="12">
        <v>0.25</v>
      </c>
      <c r="N89" s="12">
        <v>0.25</v>
      </c>
      <c r="O89" s="17" t="s">
        <v>843</v>
      </c>
      <c r="P89" s="14"/>
      <c r="Q89" s="14"/>
      <c r="R89" s="12">
        <v>10.999999000000001</v>
      </c>
      <c r="S89" s="12">
        <v>8.9999990000000007</v>
      </c>
      <c r="T89" s="12">
        <v>4.9999989999999999</v>
      </c>
      <c r="U89" s="12">
        <v>0.99999899999999997</v>
      </c>
      <c r="V89" s="18" t="s">
        <v>844</v>
      </c>
    </row>
    <row r="90" spans="1:22">
      <c r="A90" s="1654"/>
      <c r="B90" s="19" t="s">
        <v>845</v>
      </c>
      <c r="C90" s="12">
        <v>10</v>
      </c>
      <c r="D90" s="1656">
        <v>0.1</v>
      </c>
      <c r="E90" s="3"/>
      <c r="F90" s="12">
        <v>99.999999000000003</v>
      </c>
      <c r="G90" s="12">
        <v>84.999999000000003</v>
      </c>
      <c r="H90" s="12">
        <v>69.999999000000003</v>
      </c>
      <c r="I90" s="12">
        <v>49.999999000000003</v>
      </c>
      <c r="J90" s="18" t="s">
        <v>847</v>
      </c>
      <c r="K90" s="19" t="s">
        <v>845</v>
      </c>
      <c r="L90" s="12">
        <v>10</v>
      </c>
      <c r="M90" s="12">
        <v>0.1</v>
      </c>
      <c r="N90" s="12">
        <v>0.1</v>
      </c>
      <c r="O90" s="17" t="s">
        <v>846</v>
      </c>
      <c r="P90" s="3"/>
      <c r="Q90" s="3"/>
      <c r="R90" s="12">
        <v>99.999999000000003</v>
      </c>
      <c r="S90" s="12">
        <v>84.999999000000003</v>
      </c>
      <c r="T90" s="12">
        <v>69.999999000000003</v>
      </c>
      <c r="U90" s="12">
        <v>49.999999000000003</v>
      </c>
      <c r="V90" s="18" t="s">
        <v>847</v>
      </c>
    </row>
    <row r="91" spans="1:22">
      <c r="A91" s="1654"/>
      <c r="B91" s="20" t="s">
        <v>848</v>
      </c>
      <c r="C91" s="21">
        <v>40</v>
      </c>
      <c r="D91" s="1656">
        <v>0.2</v>
      </c>
      <c r="E91" s="3"/>
      <c r="F91" s="12">
        <v>5.9999989999999999</v>
      </c>
      <c r="G91" s="12">
        <v>4.9999989999999999</v>
      </c>
      <c r="H91" s="12">
        <v>2.9999989999999999</v>
      </c>
      <c r="I91" s="12">
        <v>-2.0000010000000001</v>
      </c>
      <c r="J91" s="18" t="s">
        <v>854</v>
      </c>
      <c r="K91" s="20" t="s">
        <v>848</v>
      </c>
      <c r="L91" s="21">
        <v>40</v>
      </c>
      <c r="M91" s="21">
        <v>0.2</v>
      </c>
      <c r="N91" s="21">
        <v>0.2</v>
      </c>
      <c r="O91" s="17" t="s">
        <v>853</v>
      </c>
      <c r="P91" s="3"/>
      <c r="Q91" s="3"/>
      <c r="R91" s="12">
        <v>5.9999989999999999</v>
      </c>
      <c r="S91" s="12">
        <v>4.9999989999999999</v>
      </c>
      <c r="T91" s="12">
        <v>2.9999989999999999</v>
      </c>
      <c r="U91" s="12">
        <v>-2.0000010000000001</v>
      </c>
      <c r="V91" s="18" t="s">
        <v>854</v>
      </c>
    </row>
    <row r="92" spans="1:22">
      <c r="A92" s="1654"/>
      <c r="B92" s="20"/>
      <c r="C92" s="21"/>
      <c r="D92" s="1656">
        <v>0.2</v>
      </c>
      <c r="E92" s="22"/>
      <c r="F92" s="12">
        <v>2.9999989999999999</v>
      </c>
      <c r="G92" s="12">
        <v>1.9999990000000001</v>
      </c>
      <c r="H92" s="12">
        <v>0.99999899999999997</v>
      </c>
      <c r="I92" s="12">
        <v>-2.0000010000000001</v>
      </c>
      <c r="J92" s="18" t="s">
        <v>854</v>
      </c>
      <c r="K92" s="20"/>
      <c r="L92" s="21"/>
      <c r="M92" s="21">
        <v>0.2</v>
      </c>
      <c r="N92" s="21">
        <v>0.2</v>
      </c>
      <c r="O92" s="17" t="s">
        <v>855</v>
      </c>
      <c r="P92" s="22"/>
      <c r="Q92" s="22"/>
      <c r="R92" s="12">
        <v>2.9999989999999999</v>
      </c>
      <c r="S92" s="12">
        <v>1.9999990000000001</v>
      </c>
      <c r="T92" s="12">
        <v>0.99999899999999997</v>
      </c>
      <c r="U92" s="12">
        <v>-2.0000010000000001</v>
      </c>
      <c r="V92" s="18" t="s">
        <v>854</v>
      </c>
    </row>
    <row r="93" spans="1:22">
      <c r="A93" s="1654"/>
      <c r="B93" s="19" t="s">
        <v>856</v>
      </c>
      <c r="C93" s="12">
        <v>25</v>
      </c>
      <c r="D93" s="1656">
        <v>0.25</v>
      </c>
      <c r="E93" s="3"/>
      <c r="F93" s="12">
        <v>59.999999000000003</v>
      </c>
      <c r="G93" s="12">
        <v>24.999998999999999</v>
      </c>
      <c r="H93" s="12">
        <v>14.999999000000001</v>
      </c>
      <c r="I93" s="12">
        <v>9.9999990000000007</v>
      </c>
      <c r="J93" s="18" t="s">
        <v>858</v>
      </c>
      <c r="K93" s="19" t="s">
        <v>856</v>
      </c>
      <c r="L93" s="12">
        <v>25</v>
      </c>
      <c r="M93" s="12">
        <v>0.25</v>
      </c>
      <c r="N93" s="12">
        <v>0.25</v>
      </c>
      <c r="O93" s="17" t="s">
        <v>857</v>
      </c>
      <c r="P93" s="3"/>
      <c r="Q93" s="3"/>
      <c r="R93" s="12">
        <v>59.999999000000003</v>
      </c>
      <c r="S93" s="12">
        <v>24.999998999999999</v>
      </c>
      <c r="T93" s="12">
        <v>14.999999000000001</v>
      </c>
      <c r="U93" s="12">
        <v>9.9999990000000007</v>
      </c>
      <c r="V93" s="18" t="s">
        <v>858</v>
      </c>
    </row>
    <row r="94" spans="1:22">
      <c r="A94" s="1654"/>
      <c r="B94" s="23"/>
      <c r="C94" s="24"/>
      <c r="D94" s="3"/>
      <c r="E94" s="3"/>
      <c r="F94" s="12"/>
      <c r="G94" s="12"/>
      <c r="H94" s="12"/>
      <c r="I94" s="12"/>
      <c r="J94" s="18"/>
      <c r="K94" s="23"/>
      <c r="L94" s="24"/>
      <c r="M94" s="24"/>
      <c r="N94" s="24"/>
      <c r="O94" s="13"/>
      <c r="P94" s="3"/>
      <c r="Q94" s="3"/>
      <c r="R94" s="12"/>
      <c r="S94" s="12"/>
      <c r="T94" s="12"/>
      <c r="U94" s="12"/>
      <c r="V94" s="18"/>
    </row>
    <row r="95" spans="1:22">
      <c r="A95" s="1654"/>
      <c r="B95" s="6" t="s">
        <v>859</v>
      </c>
      <c r="C95" s="26"/>
      <c r="D95" s="27"/>
      <c r="E95" s="8"/>
      <c r="F95" s="26"/>
      <c r="G95" s="26"/>
      <c r="H95" s="26"/>
      <c r="I95" s="26"/>
      <c r="J95" s="28"/>
      <c r="K95" s="6" t="s">
        <v>859</v>
      </c>
      <c r="L95" s="26"/>
      <c r="M95" s="26"/>
      <c r="N95" s="26"/>
      <c r="O95" s="26"/>
      <c r="P95" s="8"/>
      <c r="Q95" s="8"/>
      <c r="R95" s="26"/>
      <c r="S95" s="26"/>
      <c r="T95" s="26"/>
      <c r="U95" s="26"/>
      <c r="V95" s="28"/>
    </row>
    <row r="96" spans="1:22">
      <c r="M96" s="1015"/>
      <c r="N96" s="1015"/>
    </row>
    <row r="97" spans="13:14">
      <c r="M97" s="1015"/>
      <c r="N97" s="1015"/>
    </row>
    <row r="98" spans="13:14">
      <c r="M98" s="1015"/>
      <c r="N98" s="1015"/>
    </row>
    <row r="99" spans="13:14">
      <c r="M99" s="1015"/>
      <c r="N99" s="1015"/>
    </row>
    <row r="100" spans="13:14">
      <c r="M100" s="1015"/>
      <c r="N100" s="1015"/>
    </row>
    <row r="101" spans="13:14">
      <c r="M101" s="1015"/>
      <c r="N101" s="1015"/>
    </row>
    <row r="102" spans="13:14">
      <c r="M102" s="1015"/>
      <c r="N102" s="1015"/>
    </row>
    <row r="103" spans="13:14">
      <c r="M103" s="1015"/>
      <c r="N103" s="1015"/>
    </row>
    <row r="104" spans="13:14">
      <c r="M104" s="1015"/>
      <c r="N104" s="1015"/>
    </row>
    <row r="105" spans="13:14">
      <c r="M105" s="1015"/>
      <c r="N105" s="1015"/>
    </row>
    <row r="106" spans="13:14">
      <c r="M106" s="1015"/>
      <c r="N106" s="1015"/>
    </row>
    <row r="107" spans="13:14">
      <c r="M107" s="1015"/>
      <c r="N107" s="1015"/>
    </row>
    <row r="108" spans="13:14">
      <c r="M108" s="1015"/>
      <c r="N108" s="1015"/>
    </row>
    <row r="109" spans="13:14">
      <c r="M109" s="1015"/>
      <c r="N109" s="1015"/>
    </row>
    <row r="110" spans="13:14">
      <c r="M110" s="1015"/>
      <c r="N110" s="1015"/>
    </row>
    <row r="111" spans="13:14">
      <c r="M111" s="1015"/>
      <c r="N111" s="1015"/>
    </row>
    <row r="112" spans="13:14">
      <c r="M112" s="1015"/>
      <c r="N112" s="1015"/>
    </row>
    <row r="113" spans="13:14">
      <c r="M113" s="1015"/>
      <c r="N113" s="1015"/>
    </row>
    <row r="114" spans="13:14">
      <c r="M114" s="1015"/>
      <c r="N114" s="1015"/>
    </row>
    <row r="115" spans="13:14">
      <c r="M115" s="1015"/>
      <c r="N115" s="1015"/>
    </row>
    <row r="116" spans="13:14">
      <c r="M116" s="1015"/>
      <c r="N116" s="1015"/>
    </row>
    <row r="117" spans="13:14">
      <c r="M117" s="1015"/>
      <c r="N117" s="1015"/>
    </row>
    <row r="118" spans="13:14">
      <c r="M118" s="1015"/>
      <c r="N118" s="1015"/>
    </row>
    <row r="119" spans="13:14">
      <c r="M119" s="1015"/>
      <c r="N119" s="1015"/>
    </row>
    <row r="120" spans="13:14">
      <c r="M120" s="1015"/>
      <c r="N120" s="1015"/>
    </row>
    <row r="121" spans="13:14">
      <c r="M121" s="1015"/>
      <c r="N121" s="1015"/>
    </row>
    <row r="122" spans="13:14">
      <c r="M122" s="1015"/>
      <c r="N122" s="1015"/>
    </row>
    <row r="123" spans="13:14">
      <c r="M123" s="1015"/>
      <c r="N123" s="1015"/>
    </row>
    <row r="124" spans="13:14">
      <c r="M124" s="1015"/>
      <c r="N124" s="1015"/>
    </row>
    <row r="125" spans="13:14">
      <c r="M125" s="1015"/>
      <c r="N125" s="1015"/>
    </row>
    <row r="126" spans="13:14">
      <c r="M126" s="1015"/>
      <c r="N126" s="1015"/>
    </row>
    <row r="127" spans="13:14">
      <c r="M127" s="1015"/>
      <c r="N127" s="1015"/>
    </row>
    <row r="128" spans="13:14">
      <c r="M128" s="1015"/>
      <c r="N128" s="1015"/>
    </row>
    <row r="129" spans="13:14">
      <c r="M129" s="1015"/>
      <c r="N129" s="1015"/>
    </row>
    <row r="130" spans="13:14">
      <c r="M130" s="1015"/>
      <c r="N130" s="1015"/>
    </row>
    <row r="131" spans="13:14">
      <c r="M131" s="1015"/>
      <c r="N131" s="1015"/>
    </row>
    <row r="132" spans="13:14">
      <c r="M132" s="1015"/>
      <c r="N132" s="1015"/>
    </row>
    <row r="133" spans="13:14">
      <c r="M133" s="1015"/>
      <c r="N133" s="1015"/>
    </row>
    <row r="134" spans="13:14">
      <c r="M134" s="1015"/>
      <c r="N134" s="1015"/>
    </row>
    <row r="135" spans="13:14">
      <c r="M135" s="1015"/>
      <c r="N135" s="1015"/>
    </row>
    <row r="136" spans="13:14">
      <c r="M136" s="1015"/>
      <c r="N136" s="1015"/>
    </row>
    <row r="137" spans="13:14">
      <c r="M137" s="1015"/>
      <c r="N137" s="1015"/>
    </row>
    <row r="138" spans="13:14">
      <c r="M138" s="1015"/>
      <c r="N138" s="1015"/>
    </row>
    <row r="139" spans="13:14">
      <c r="M139" s="1015"/>
      <c r="N139" s="1015"/>
    </row>
    <row r="140" spans="13:14">
      <c r="M140" s="1015"/>
      <c r="N140" s="1015"/>
    </row>
    <row r="141" spans="13:14">
      <c r="M141" s="1015"/>
      <c r="N141" s="1015"/>
    </row>
    <row r="142" spans="13:14">
      <c r="M142" s="1015"/>
      <c r="N142" s="1015"/>
    </row>
    <row r="143" spans="13:14">
      <c r="M143" s="1015"/>
      <c r="N143" s="1015"/>
    </row>
    <row r="144" spans="13:14">
      <c r="M144" s="1015"/>
      <c r="N144" s="1015"/>
    </row>
    <row r="145" spans="13:14">
      <c r="M145" s="1015"/>
      <c r="N145" s="1015"/>
    </row>
    <row r="146" spans="13:14">
      <c r="M146" s="1015"/>
      <c r="N146" s="1015"/>
    </row>
    <row r="147" spans="13:14">
      <c r="M147" s="1015"/>
      <c r="N147" s="1015"/>
    </row>
    <row r="148" spans="13:14">
      <c r="M148" s="1015"/>
      <c r="N148" s="1015"/>
    </row>
    <row r="149" spans="13:14">
      <c r="M149" s="1015"/>
      <c r="N149" s="1015"/>
    </row>
    <row r="150" spans="13:14">
      <c r="M150" s="1015"/>
      <c r="N150" s="1015"/>
    </row>
    <row r="151" spans="13:14">
      <c r="M151" s="1015"/>
      <c r="N151" s="1015"/>
    </row>
    <row r="152" spans="13:14">
      <c r="M152" s="1015"/>
      <c r="N152" s="1015"/>
    </row>
    <row r="153" spans="13:14">
      <c r="M153" s="1015"/>
      <c r="N153" s="1015"/>
    </row>
    <row r="154" spans="13:14">
      <c r="M154" s="1015"/>
      <c r="N154" s="1015"/>
    </row>
    <row r="155" spans="13:14">
      <c r="M155" s="1015"/>
      <c r="N155" s="1015"/>
    </row>
    <row r="156" spans="13:14">
      <c r="M156" s="1015"/>
      <c r="N156" s="1015"/>
    </row>
    <row r="157" spans="13:14">
      <c r="M157" s="1015"/>
      <c r="N157" s="1015"/>
    </row>
    <row r="158" spans="13:14">
      <c r="M158" s="1015"/>
      <c r="N158" s="1015"/>
    </row>
    <row r="159" spans="13:14">
      <c r="M159" s="1015"/>
      <c r="N159" s="1015"/>
    </row>
    <row r="160" spans="13:14">
      <c r="M160" s="1015"/>
      <c r="N160" s="1015"/>
    </row>
    <row r="161" spans="13:14">
      <c r="M161" s="1015"/>
      <c r="N161" s="1015"/>
    </row>
    <row r="162" spans="13:14">
      <c r="M162" s="1015"/>
      <c r="N162" s="1015"/>
    </row>
    <row r="163" spans="13:14">
      <c r="M163" s="1015"/>
      <c r="N163" s="1015"/>
    </row>
    <row r="164" spans="13:14">
      <c r="M164" s="1015"/>
      <c r="N164" s="1015"/>
    </row>
    <row r="165" spans="13:14">
      <c r="M165" s="1015"/>
      <c r="N165" s="1015"/>
    </row>
    <row r="166" spans="13:14">
      <c r="M166" s="1015"/>
      <c r="N166" s="1015"/>
    </row>
    <row r="167" spans="13:14">
      <c r="M167" s="1015"/>
      <c r="N167" s="1015"/>
    </row>
    <row r="168" spans="13:14">
      <c r="M168" s="1015"/>
      <c r="N168" s="1015"/>
    </row>
    <row r="169" spans="13:14">
      <c r="M169" s="1015"/>
      <c r="N169" s="1015"/>
    </row>
    <row r="170" spans="13:14">
      <c r="M170" s="1015"/>
      <c r="N170" s="1015"/>
    </row>
    <row r="171" spans="13:14">
      <c r="M171" s="1015"/>
      <c r="N171" s="1015"/>
    </row>
    <row r="172" spans="13:14">
      <c r="M172" s="1015"/>
      <c r="N172" s="1015"/>
    </row>
    <row r="173" spans="13:14">
      <c r="M173" s="1015"/>
      <c r="N173" s="1015"/>
    </row>
    <row r="174" spans="13:14">
      <c r="M174" s="1015"/>
      <c r="N174" s="1015"/>
    </row>
    <row r="175" spans="13:14">
      <c r="M175" s="1015"/>
      <c r="N175" s="1015"/>
    </row>
    <row r="176" spans="13:14">
      <c r="M176" s="1015"/>
      <c r="N176" s="1015"/>
    </row>
    <row r="177" spans="13:14">
      <c r="M177" s="1015"/>
      <c r="N177" s="1015"/>
    </row>
    <row r="178" spans="13:14">
      <c r="M178" s="1015"/>
      <c r="N178" s="1015"/>
    </row>
    <row r="179" spans="13:14">
      <c r="M179" s="1015"/>
      <c r="N179" s="1015"/>
    </row>
    <row r="180" spans="13:14">
      <c r="M180" s="1015"/>
      <c r="N180" s="1015"/>
    </row>
    <row r="181" spans="13:14">
      <c r="M181" s="1015"/>
      <c r="N181" s="1015"/>
    </row>
    <row r="182" spans="13:14">
      <c r="M182" s="1015"/>
      <c r="N182" s="1015"/>
    </row>
    <row r="183" spans="13:14">
      <c r="M183" s="1015"/>
      <c r="N183" s="1015"/>
    </row>
    <row r="184" spans="13:14">
      <c r="M184" s="1015"/>
      <c r="N184" s="1015"/>
    </row>
    <row r="185" spans="13:14">
      <c r="M185" s="1015"/>
      <c r="N185" s="1015"/>
    </row>
    <row r="186" spans="13:14">
      <c r="M186" s="1015"/>
      <c r="N186" s="1015"/>
    </row>
    <row r="187" spans="13:14">
      <c r="M187" s="1015"/>
      <c r="N187" s="1015"/>
    </row>
    <row r="188" spans="13:14">
      <c r="M188" s="1015"/>
      <c r="N188" s="1015"/>
    </row>
    <row r="189" spans="13:14">
      <c r="M189" s="1015"/>
      <c r="N189" s="1015"/>
    </row>
    <row r="190" spans="13:14">
      <c r="M190" s="1015"/>
      <c r="N190" s="1015"/>
    </row>
    <row r="191" spans="13:14">
      <c r="M191" s="1015"/>
      <c r="N191" s="1015"/>
    </row>
    <row r="192" spans="13:14">
      <c r="M192" s="1015"/>
      <c r="N192" s="1015"/>
    </row>
    <row r="193" spans="13:14">
      <c r="M193" s="1015"/>
      <c r="N193" s="1015"/>
    </row>
    <row r="194" spans="13:14">
      <c r="M194" s="1015"/>
      <c r="N194" s="1015"/>
    </row>
    <row r="195" spans="13:14">
      <c r="M195" s="1015"/>
      <c r="N195" s="1015"/>
    </row>
    <row r="196" spans="13:14">
      <c r="M196" s="1015"/>
      <c r="N196" s="1015"/>
    </row>
    <row r="197" spans="13:14">
      <c r="M197" s="1015"/>
      <c r="N197" s="1015"/>
    </row>
    <row r="198" spans="13:14">
      <c r="M198" s="1015"/>
      <c r="N198" s="1015"/>
    </row>
    <row r="199" spans="13:14">
      <c r="M199" s="1015"/>
      <c r="N199" s="1015"/>
    </row>
    <row r="200" spans="13:14">
      <c r="M200" s="1015"/>
      <c r="N200" s="1015"/>
    </row>
    <row r="201" spans="13:14">
      <c r="M201" s="1015"/>
      <c r="N201" s="1015"/>
    </row>
    <row r="202" spans="13:14">
      <c r="M202" s="1015"/>
      <c r="N202" s="1015"/>
    </row>
    <row r="203" spans="13:14">
      <c r="M203" s="1015"/>
      <c r="N203" s="1015"/>
    </row>
    <row r="204" spans="13:14">
      <c r="M204" s="1015"/>
      <c r="N204" s="1015"/>
    </row>
    <row r="205" spans="13:14">
      <c r="M205" s="1015"/>
      <c r="N205" s="1015"/>
    </row>
    <row r="206" spans="13:14">
      <c r="M206" s="1015"/>
      <c r="N206" s="1015"/>
    </row>
    <row r="207" spans="13:14">
      <c r="M207" s="1015"/>
      <c r="N207" s="1015"/>
    </row>
    <row r="208" spans="13:14">
      <c r="M208" s="1015"/>
      <c r="N208" s="1015"/>
    </row>
    <row r="209" spans="13:14">
      <c r="M209" s="1015"/>
      <c r="N209" s="1015"/>
    </row>
    <row r="210" spans="13:14">
      <c r="M210" s="1015"/>
      <c r="N210" s="1015"/>
    </row>
    <row r="211" spans="13:14">
      <c r="M211" s="1015"/>
      <c r="N211" s="1015"/>
    </row>
    <row r="212" spans="13:14">
      <c r="M212" s="1015"/>
      <c r="N212" s="1015"/>
    </row>
    <row r="213" spans="13:14">
      <c r="M213" s="1015"/>
      <c r="N213" s="1015"/>
    </row>
    <row r="214" spans="13:14">
      <c r="M214" s="1015"/>
      <c r="N214" s="1015"/>
    </row>
    <row r="215" spans="13:14">
      <c r="M215" s="1015"/>
      <c r="N215" s="1015"/>
    </row>
    <row r="216" spans="13:14">
      <c r="M216" s="1015"/>
      <c r="N216" s="1015"/>
    </row>
    <row r="217" spans="13:14">
      <c r="M217" s="1015"/>
      <c r="N217" s="1015"/>
    </row>
    <row r="218" spans="13:14">
      <c r="M218" s="1015"/>
      <c r="N218" s="1015"/>
    </row>
    <row r="219" spans="13:14">
      <c r="M219" s="1015"/>
      <c r="N219" s="1015"/>
    </row>
    <row r="220" spans="13:14">
      <c r="M220" s="1015"/>
      <c r="N220" s="1015"/>
    </row>
    <row r="221" spans="13:14">
      <c r="M221" s="1015"/>
      <c r="N221" s="1015"/>
    </row>
    <row r="222" spans="13:14">
      <c r="M222" s="1015"/>
      <c r="N222" s="1015"/>
    </row>
    <row r="223" spans="13:14">
      <c r="M223" s="1015"/>
      <c r="N223" s="1015"/>
    </row>
    <row r="224" spans="13:14">
      <c r="M224" s="1015"/>
      <c r="N224" s="1015"/>
    </row>
    <row r="225" spans="13:14">
      <c r="M225" s="1015"/>
      <c r="N225" s="1015"/>
    </row>
    <row r="226" spans="13:14">
      <c r="M226" s="1015"/>
      <c r="N226" s="1015"/>
    </row>
    <row r="227" spans="13:14">
      <c r="M227" s="1015"/>
      <c r="N227" s="1015"/>
    </row>
    <row r="228" spans="13:14">
      <c r="M228" s="1015"/>
      <c r="N228" s="1015"/>
    </row>
    <row r="229" spans="13:14">
      <c r="M229" s="1015"/>
      <c r="N229" s="1015"/>
    </row>
    <row r="230" spans="13:14">
      <c r="M230" s="1015"/>
      <c r="N230" s="1015"/>
    </row>
    <row r="231" spans="13:14">
      <c r="M231" s="1015"/>
      <c r="N231" s="1015"/>
    </row>
    <row r="232" spans="13:14">
      <c r="M232" s="1015"/>
      <c r="N232" s="1015"/>
    </row>
    <row r="233" spans="13:14">
      <c r="M233" s="1015"/>
      <c r="N233" s="1015"/>
    </row>
    <row r="234" spans="13:14">
      <c r="M234" s="1015"/>
      <c r="N234" s="1015"/>
    </row>
    <row r="235" spans="13:14">
      <c r="M235" s="1015"/>
      <c r="N235" s="1015"/>
    </row>
    <row r="236" spans="13:14">
      <c r="M236" s="1015"/>
      <c r="N236" s="1015"/>
    </row>
    <row r="237" spans="13:14">
      <c r="M237" s="1015"/>
      <c r="N237" s="1015"/>
    </row>
    <row r="238" spans="13:14">
      <c r="M238" s="1015"/>
      <c r="N238" s="1015"/>
    </row>
    <row r="239" spans="13:14">
      <c r="M239" s="1015"/>
      <c r="N239" s="1015"/>
    </row>
    <row r="240" spans="13:14">
      <c r="M240" s="1015"/>
      <c r="N240" s="1015"/>
    </row>
    <row r="241" spans="13:14">
      <c r="M241" s="1015"/>
      <c r="N241" s="1015"/>
    </row>
    <row r="242" spans="13:14">
      <c r="M242" s="1015"/>
      <c r="N242" s="1015"/>
    </row>
    <row r="243" spans="13:14">
      <c r="M243" s="1015"/>
      <c r="N243" s="1015"/>
    </row>
    <row r="244" spans="13:14">
      <c r="M244" s="1015"/>
      <c r="N244" s="1015"/>
    </row>
    <row r="245" spans="13:14">
      <c r="M245" s="1015"/>
      <c r="N245" s="1015"/>
    </row>
    <row r="246" spans="13:14">
      <c r="M246" s="1015"/>
      <c r="N246" s="1015"/>
    </row>
    <row r="247" spans="13:14">
      <c r="M247" s="1015"/>
      <c r="N247" s="1015"/>
    </row>
    <row r="248" spans="13:14">
      <c r="M248" s="1015"/>
      <c r="N248" s="1015"/>
    </row>
    <row r="249" spans="13:14">
      <c r="M249" s="1015"/>
      <c r="N249" s="1015"/>
    </row>
    <row r="250" spans="13:14">
      <c r="M250" s="1015"/>
      <c r="N250" s="1015"/>
    </row>
    <row r="251" spans="13:14">
      <c r="M251" s="1015"/>
      <c r="N251" s="1015"/>
    </row>
    <row r="252" spans="13:14">
      <c r="M252" s="1015"/>
      <c r="N252" s="1015"/>
    </row>
    <row r="253" spans="13:14">
      <c r="M253" s="1015"/>
      <c r="N253" s="1015"/>
    </row>
    <row r="254" spans="13:14">
      <c r="M254" s="1015"/>
      <c r="N254" s="1015"/>
    </row>
    <row r="255" spans="13:14">
      <c r="M255" s="1015"/>
      <c r="N255" s="1015"/>
    </row>
    <row r="256" spans="13:14">
      <c r="M256" s="1015"/>
      <c r="N256" s="1015"/>
    </row>
    <row r="257" spans="13:14">
      <c r="M257" s="1015"/>
      <c r="N257" s="1015"/>
    </row>
    <row r="258" spans="13:14">
      <c r="M258" s="1015"/>
      <c r="N258" s="1015"/>
    </row>
    <row r="259" spans="13:14">
      <c r="M259" s="1015"/>
      <c r="N259" s="1015"/>
    </row>
    <row r="260" spans="13:14">
      <c r="M260" s="1015"/>
      <c r="N260" s="1015"/>
    </row>
    <row r="261" spans="13:14">
      <c r="M261" s="1015"/>
      <c r="N261" s="1015"/>
    </row>
    <row r="262" spans="13:14">
      <c r="M262" s="1015"/>
      <c r="N262" s="1015"/>
    </row>
    <row r="263" spans="13:14">
      <c r="M263" s="1015"/>
      <c r="N263" s="1015"/>
    </row>
  </sheetData>
  <mergeCells count="6">
    <mergeCell ref="R86:V86"/>
    <mergeCell ref="C66:D66"/>
    <mergeCell ref="F86:J86"/>
    <mergeCell ref="L66:M66"/>
    <mergeCell ref="O66:P66"/>
    <mergeCell ref="O86:Q86"/>
  </mergeCells>
  <conditionalFormatting sqref="L2:N2 C2:D2">
    <cfRule type="expression" dxfId="10" priority="1" stopIfTrue="1">
      <formula>LEFT(#REF!,1)="H"</formula>
    </cfRule>
    <cfRule type="expression" dxfId="9" priority="2" stopIfTrue="1">
      <formula>LEFT(#REF!,1)="A"</formula>
    </cfRule>
    <cfRule type="expression" dxfId="8" priority="3" stopIfTrue="1">
      <formula>LEFT(#REF!,1)="F"</formula>
    </cfRule>
  </conditionalFormatting>
  <pageMargins left="0.2" right="0.2" top="0.34" bottom="0.28999999999999998" header="0.18" footer="0.19"/>
  <pageSetup paperSize="9" scale="4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24</vt:i4>
      </vt:variant>
    </vt:vector>
  </HeadingPairs>
  <TitlesOfParts>
    <vt:vector size="73" baseType="lpstr">
      <vt:lpstr>Summary Page</vt:lpstr>
      <vt:lpstr>Surplus</vt:lpstr>
      <vt:lpstr>NEW Risk Ratings</vt:lpstr>
      <vt:lpstr>OLD Risk Ratings</vt:lpstr>
      <vt:lpstr>TDA</vt:lpstr>
      <vt:lpstr>FRR</vt:lpstr>
      <vt:lpstr>COSratings</vt:lpstr>
      <vt:lpstr>COSratings calcs</vt:lpstr>
      <vt:lpstr>FRR Calcs</vt:lpstr>
      <vt:lpstr>Cash</vt:lpstr>
      <vt:lpstr>Financial Risk metrics</vt:lpstr>
      <vt:lpstr>Rolling Cashflow</vt:lpstr>
      <vt:lpstr>Income</vt:lpstr>
      <vt:lpstr>Contract Perf (old)</vt:lpstr>
      <vt:lpstr>Contract Performance</vt:lpstr>
      <vt:lpstr>Operating Costs</vt:lpstr>
      <vt:lpstr>Contract Performance OLD</vt:lpstr>
      <vt:lpstr>Finance</vt:lpstr>
      <vt:lpstr>contract Monitoring Month 3</vt:lpstr>
      <vt:lpstr>Contract Performance (old)</vt:lpstr>
      <vt:lpstr>Sheet5</vt:lpstr>
      <vt:lpstr>contract Monitoring</vt:lpstr>
      <vt:lpstr>SOFP</vt:lpstr>
      <vt:lpstr>Debtors</vt:lpstr>
      <vt:lpstr>Capital</vt:lpstr>
      <vt:lpstr>Specialty Performance</vt:lpstr>
      <vt:lpstr>Divisional Performance</vt:lpstr>
      <vt:lpstr>FRR 2</vt:lpstr>
      <vt:lpstr>Forward Financial Risk</vt:lpstr>
      <vt:lpstr>Tips</vt:lpstr>
      <vt:lpstr>Cost Improvement Prog</vt:lpstr>
      <vt:lpstr>IncomeandExpenditure Data</vt:lpstr>
      <vt:lpstr>Monthly workings for CIPs</vt:lpstr>
      <vt:lpstr>Chart Data</vt:lpstr>
      <vt:lpstr>Manual adjs </vt:lpstr>
      <vt:lpstr>KN Baseplan</vt:lpstr>
      <vt:lpstr>KN Forecast Actuals</vt:lpstr>
      <vt:lpstr>IncomeandExpenditure Data2</vt:lpstr>
      <vt:lpstr>Balance Sheet Data</vt:lpstr>
      <vt:lpstr>Cash Data</vt:lpstr>
      <vt:lpstr>Capital Data</vt:lpstr>
      <vt:lpstr>FRR SHAs</vt:lpstr>
      <vt:lpstr>Normalised data</vt:lpstr>
      <vt:lpstr>Workings 1</vt:lpstr>
      <vt:lpstr>Sheet1</vt:lpstr>
      <vt:lpstr>Deanery Forecast</vt:lpstr>
      <vt:lpstr>Deanery Budget</vt:lpstr>
      <vt:lpstr>Sheet3</vt:lpstr>
      <vt:lpstr>Sheet4</vt:lpstr>
      <vt:lpstr>Cash!Print_Area</vt:lpstr>
      <vt:lpstr>'Cash Data'!Print_Area</vt:lpstr>
      <vt:lpstr>'Chart Data'!Print_Area</vt:lpstr>
      <vt:lpstr>'Contract Perf (old)'!Print_Area</vt:lpstr>
      <vt:lpstr>'Contract Performance'!Print_Area</vt:lpstr>
      <vt:lpstr>'Contract Performance (old)'!Print_Area</vt:lpstr>
      <vt:lpstr>'Contract Performance OLD'!Print_Area</vt:lpstr>
      <vt:lpstr>COSratings!Print_Area</vt:lpstr>
      <vt:lpstr>'COSratings calcs'!Print_Area</vt:lpstr>
      <vt:lpstr>'Cost Improvement Prog'!Print_Area</vt:lpstr>
      <vt:lpstr>Debtors!Print_Area</vt:lpstr>
      <vt:lpstr>FRR!Print_Area</vt:lpstr>
      <vt:lpstr>'FRR 2'!Print_Area</vt:lpstr>
      <vt:lpstr>'FRR Calcs'!Print_Area</vt:lpstr>
      <vt:lpstr>'FRR SHAs'!Print_Area</vt:lpstr>
      <vt:lpstr>'IncomeandExpenditure Data'!Print_Area</vt:lpstr>
      <vt:lpstr>'IncomeandExpenditure Data2'!Print_Area</vt:lpstr>
      <vt:lpstr>'NEW Risk Ratings'!Print_Area</vt:lpstr>
      <vt:lpstr>'OLD Risk Ratings'!Print_Area</vt:lpstr>
      <vt:lpstr>'Operating Costs'!Print_Area</vt:lpstr>
      <vt:lpstr>'Rolling Cashflow'!Print_Area</vt:lpstr>
      <vt:lpstr>'Summary Page'!Print_Area</vt:lpstr>
      <vt:lpstr>Surplus!Print_Area</vt:lpstr>
      <vt:lpstr>'IncomeandExpenditure Data'!Print_Titles</vt:lpstr>
    </vt:vector>
  </TitlesOfParts>
  <Company>bsuh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stronachw</dc:creator>
  <cp:lastModifiedBy>Ford, Dominic</cp:lastModifiedBy>
  <cp:lastPrinted>2016-06-16T10:28:04Z</cp:lastPrinted>
  <dcterms:created xsi:type="dcterms:W3CDTF">2011-01-18T15:04:50Z</dcterms:created>
  <dcterms:modified xsi:type="dcterms:W3CDTF">2016-06-22T11:53:06Z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